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900" windowWidth="11880" windowHeight="3075" tabRatio="816"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SEMINARIOS'!$C$11:$C$146</definedName>
    <definedName name="_xlnm._FilterDatabase" localSheetId="4" hidden="1">'2. CONTRATACION DE PERSONAL'!$C$12:$C$835</definedName>
    <definedName name="_xlnm._FilterDatabase" localSheetId="5" hidden="1">'3. EQUIPO DE OFICINA'!$C$12:$C$192</definedName>
    <definedName name="_xlnm._FilterDatabase" localSheetId="6" hidden="1">'4. EQUIPO TECNOLÓGICOS'!$J$11:$J$192</definedName>
    <definedName name="_xlnm._FilterDatabase" localSheetId="7" hidden="1">'5. ACTIVIDADES ESPECIALES'!$J$13:$J$428</definedName>
    <definedName name="_xlnm._FilterDatabase" localSheetId="8" hidden="1">'6. Becas'!$J$13:$J$131</definedName>
    <definedName name="_xlnm._FilterDatabase" localSheetId="9" hidden="1">'7. Infraestructura'!$J$12:$J$117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I94" i="9"/>
  <c r="F94"/>
  <c r="I120" i="10"/>
  <c r="I603" i="12"/>
  <c r="I602"/>
  <c r="I601"/>
  <c r="E601"/>
  <c r="F601" s="1"/>
  <c r="D594" s="1"/>
  <c r="L32" i="24" s="1"/>
  <c r="P32" s="1"/>
  <c r="C598" i="12"/>
  <c r="I591"/>
  <c r="F591"/>
  <c r="I590"/>
  <c r="E590"/>
  <c r="F590" s="1"/>
  <c r="C587"/>
  <c r="J87" i="42"/>
  <c r="J77"/>
  <c r="J67"/>
  <c r="J66"/>
  <c r="J65"/>
  <c r="J64"/>
  <c r="J63"/>
  <c r="J62"/>
  <c r="J61"/>
  <c r="J60"/>
  <c r="J59"/>
  <c r="J58"/>
  <c r="J57"/>
  <c r="J56"/>
  <c r="J55"/>
  <c r="J54"/>
  <c r="J53"/>
  <c r="J52"/>
  <c r="J51"/>
  <c r="J50"/>
  <c r="J49"/>
  <c r="J48"/>
  <c r="F87"/>
  <c r="F77"/>
  <c r="O32" i="24"/>
  <c r="O31"/>
  <c r="O30"/>
  <c r="O29"/>
  <c r="O28"/>
  <c r="O27"/>
  <c r="O26"/>
  <c r="O25"/>
  <c r="O16" i="33"/>
  <c r="P16"/>
  <c r="I580" i="12"/>
  <c r="F580"/>
  <c r="I579"/>
  <c r="E579"/>
  <c r="F579" s="1"/>
  <c r="C576"/>
  <c r="D567"/>
  <c r="L36" i="24"/>
  <c r="J36"/>
  <c r="H36"/>
  <c r="J37" i="42"/>
  <c r="E37"/>
  <c r="I545" i="12"/>
  <c r="I546"/>
  <c r="I547"/>
  <c r="I548"/>
  <c r="I549"/>
  <c r="I550"/>
  <c r="I551"/>
  <c r="I552"/>
  <c r="I553"/>
  <c r="I554"/>
  <c r="I555"/>
  <c r="E512"/>
  <c r="E511"/>
  <c r="F511" s="1"/>
  <c r="J540"/>
  <c r="I540"/>
  <c r="F540"/>
  <c r="J539"/>
  <c r="I539"/>
  <c r="F539"/>
  <c r="J538"/>
  <c r="I538"/>
  <c r="F538"/>
  <c r="J537"/>
  <c r="I537"/>
  <c r="F537"/>
  <c r="J536"/>
  <c r="I536"/>
  <c r="F536"/>
  <c r="J535"/>
  <c r="I535"/>
  <c r="F535"/>
  <c r="J534"/>
  <c r="I534"/>
  <c r="F534"/>
  <c r="J533"/>
  <c r="I533"/>
  <c r="F533"/>
  <c r="J532"/>
  <c r="I532"/>
  <c r="F532"/>
  <c r="J531"/>
  <c r="I531"/>
  <c r="F531"/>
  <c r="J530"/>
  <c r="I530"/>
  <c r="F530"/>
  <c r="J529"/>
  <c r="I529"/>
  <c r="F529"/>
  <c r="J528"/>
  <c r="I528"/>
  <c r="F528"/>
  <c r="J527"/>
  <c r="I527"/>
  <c r="F527"/>
  <c r="J526"/>
  <c r="I526"/>
  <c r="F526"/>
  <c r="J525"/>
  <c r="I525"/>
  <c r="F525"/>
  <c r="J524"/>
  <c r="I524"/>
  <c r="F524"/>
  <c r="J523"/>
  <c r="I523"/>
  <c r="F523"/>
  <c r="J522"/>
  <c r="I522"/>
  <c r="F522"/>
  <c r="J521"/>
  <c r="I521"/>
  <c r="F521"/>
  <c r="J520"/>
  <c r="I520"/>
  <c r="F520"/>
  <c r="J519"/>
  <c r="I519"/>
  <c r="F519"/>
  <c r="J518"/>
  <c r="I518"/>
  <c r="F518"/>
  <c r="J517"/>
  <c r="I517"/>
  <c r="F517"/>
  <c r="J516"/>
  <c r="I516"/>
  <c r="F516"/>
  <c r="J515"/>
  <c r="I515"/>
  <c r="F515"/>
  <c r="J514"/>
  <c r="I514"/>
  <c r="F514"/>
  <c r="J513"/>
  <c r="I513"/>
  <c r="F513"/>
  <c r="J512"/>
  <c r="I512"/>
  <c r="F512"/>
  <c r="J511"/>
  <c r="I511"/>
  <c r="J510"/>
  <c r="I510"/>
  <c r="F510"/>
  <c r="J509"/>
  <c r="I509"/>
  <c r="F509"/>
  <c r="J508"/>
  <c r="I508"/>
  <c r="F508"/>
  <c r="J507"/>
  <c r="I507"/>
  <c r="F507"/>
  <c r="J506"/>
  <c r="I506"/>
  <c r="F506"/>
  <c r="J505"/>
  <c r="I505"/>
  <c r="F505"/>
  <c r="J504"/>
  <c r="I504"/>
  <c r="F504"/>
  <c r="F491"/>
  <c r="D490"/>
  <c r="O24" i="24"/>
  <c r="I480" i="12"/>
  <c r="F480"/>
  <c r="D477"/>
  <c r="P11" i="46"/>
  <c r="O11"/>
  <c r="F467" i="12"/>
  <c r="D466"/>
  <c r="D452"/>
  <c r="I567"/>
  <c r="E567"/>
  <c r="F567" s="1"/>
  <c r="C564"/>
  <c r="J555"/>
  <c r="F555"/>
  <c r="J554"/>
  <c r="F554"/>
  <c r="J553"/>
  <c r="F553"/>
  <c r="J552"/>
  <c r="F552"/>
  <c r="J551"/>
  <c r="F551"/>
  <c r="J550"/>
  <c r="F550"/>
  <c r="J549"/>
  <c r="F549"/>
  <c r="J548"/>
  <c r="F548"/>
  <c r="J547"/>
  <c r="F547"/>
  <c r="J546"/>
  <c r="F546"/>
  <c r="J545"/>
  <c r="F545"/>
  <c r="J544"/>
  <c r="I544"/>
  <c r="F544"/>
  <c r="J543"/>
  <c r="I543"/>
  <c r="F543"/>
  <c r="J542"/>
  <c r="I542"/>
  <c r="F542"/>
  <c r="J541"/>
  <c r="I541"/>
  <c r="F541"/>
  <c r="J503"/>
  <c r="I503"/>
  <c r="F503"/>
  <c r="J502"/>
  <c r="I502"/>
  <c r="F502"/>
  <c r="I501"/>
  <c r="E501"/>
  <c r="F501" s="1"/>
  <c r="C498"/>
  <c r="J491"/>
  <c r="I491"/>
  <c r="I490"/>
  <c r="E490"/>
  <c r="C487"/>
  <c r="I479"/>
  <c r="F479"/>
  <c r="I478"/>
  <c r="I477"/>
  <c r="E477"/>
  <c r="C474"/>
  <c r="I467"/>
  <c r="I466"/>
  <c r="E466"/>
  <c r="F466" s="1"/>
  <c r="C463"/>
  <c r="I456"/>
  <c r="F456"/>
  <c r="I455"/>
  <c r="F455"/>
  <c r="I454"/>
  <c r="F454"/>
  <c r="I453"/>
  <c r="F453"/>
  <c r="I452"/>
  <c r="E452"/>
  <c r="C449"/>
  <c r="I442"/>
  <c r="F442"/>
  <c r="I441"/>
  <c r="F441"/>
  <c r="I440"/>
  <c r="F440"/>
  <c r="I439"/>
  <c r="F439"/>
  <c r="I438"/>
  <c r="E438"/>
  <c r="F438" s="1"/>
  <c r="C435"/>
  <c r="D583" l="1"/>
  <c r="L31" i="24" s="1"/>
  <c r="P31" s="1"/>
  <c r="D572" i="12"/>
  <c r="N28" i="45" s="1"/>
  <c r="F490" i="12"/>
  <c r="D483" s="1"/>
  <c r="F477"/>
  <c r="F452"/>
  <c r="D445" s="1"/>
  <c r="N18" i="21" s="1"/>
  <c r="D560" i="12"/>
  <c r="D494"/>
  <c r="L26" i="24" s="1"/>
  <c r="P26" s="1"/>
  <c r="D431" i="12"/>
  <c r="L18" i="22" s="1"/>
  <c r="N21" i="23" l="1"/>
  <c r="H21"/>
  <c r="L21"/>
  <c r="N24" i="24"/>
  <c r="L24"/>
  <c r="J24"/>
  <c r="F428" i="12"/>
  <c r="F406"/>
  <c r="F405"/>
  <c r="P19" i="30"/>
  <c r="O19"/>
  <c r="P18"/>
  <c r="O18"/>
  <c r="P17"/>
  <c r="O17"/>
  <c r="P16"/>
  <c r="O16"/>
  <c r="I380" i="12"/>
  <c r="F380"/>
  <c r="I379"/>
  <c r="E379"/>
  <c r="F379" s="1"/>
  <c r="C376"/>
  <c r="P24" i="24" l="1"/>
  <c r="D372" i="12"/>
  <c r="J15" i="30" l="1"/>
  <c r="L15"/>
  <c r="H15"/>
  <c r="D358" i="12" l="1"/>
  <c r="D359"/>
  <c r="D348"/>
  <c r="J338"/>
  <c r="I338"/>
  <c r="F338"/>
  <c r="J337"/>
  <c r="I337"/>
  <c r="F337"/>
  <c r="J336"/>
  <c r="I336"/>
  <c r="F336"/>
  <c r="J335"/>
  <c r="I335"/>
  <c r="F335"/>
  <c r="O23" i="24"/>
  <c r="O22"/>
  <c r="P20" i="21" l="1"/>
  <c r="O20"/>
  <c r="P19"/>
  <c r="O19"/>
  <c r="P18"/>
  <c r="O18"/>
  <c r="O17"/>
  <c r="P16"/>
  <c r="O16"/>
  <c r="O15"/>
  <c r="O14" l="1"/>
  <c r="P20" i="22"/>
  <c r="O20"/>
  <c r="P19"/>
  <c r="O19"/>
  <c r="P18"/>
  <c r="O18"/>
  <c r="P17"/>
  <c r="O17"/>
  <c r="O16"/>
  <c r="O34" i="24"/>
  <c r="O33"/>
  <c r="O21"/>
  <c r="O20"/>
  <c r="J260" i="12"/>
  <c r="I260"/>
  <c r="F260"/>
  <c r="I259"/>
  <c r="D259"/>
  <c r="F259" s="1"/>
  <c r="C256"/>
  <c r="G66" i="7"/>
  <c r="J66"/>
  <c r="G67"/>
  <c r="J67"/>
  <c r="E68"/>
  <c r="F246" i="12"/>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J249"/>
  <c r="I249"/>
  <c r="F249"/>
  <c r="J248"/>
  <c r="I248"/>
  <c r="F248"/>
  <c r="J247"/>
  <c r="I247"/>
  <c r="F247"/>
  <c r="J246"/>
  <c r="I246"/>
  <c r="J245"/>
  <c r="I245"/>
  <c r="J244"/>
  <c r="I244"/>
  <c r="J243"/>
  <c r="I243"/>
  <c r="J242"/>
  <c r="I242"/>
  <c r="J241"/>
  <c r="I241"/>
  <c r="J240"/>
  <c r="I240"/>
  <c r="J239"/>
  <c r="I239"/>
  <c r="J238"/>
  <c r="I238"/>
  <c r="J237"/>
  <c r="I237"/>
  <c r="J236"/>
  <c r="I236"/>
  <c r="J235"/>
  <c r="I235"/>
  <c r="J234"/>
  <c r="I234"/>
  <c r="J233"/>
  <c r="I233"/>
  <c r="J232"/>
  <c r="I232"/>
  <c r="J231"/>
  <c r="I231"/>
  <c r="J230"/>
  <c r="I230"/>
  <c r="J229"/>
  <c r="I229"/>
  <c r="J228"/>
  <c r="I228"/>
  <c r="J227"/>
  <c r="I227"/>
  <c r="J226"/>
  <c r="I226"/>
  <c r="J225"/>
  <c r="I225"/>
  <c r="J224"/>
  <c r="I224"/>
  <c r="J223"/>
  <c r="I223"/>
  <c r="J222"/>
  <c r="I222"/>
  <c r="J221"/>
  <c r="I221"/>
  <c r="J220"/>
  <c r="I220"/>
  <c r="J219"/>
  <c r="I219"/>
  <c r="J218"/>
  <c r="I218"/>
  <c r="J217"/>
  <c r="I217"/>
  <c r="J216"/>
  <c r="I216"/>
  <c r="J215"/>
  <c r="I215"/>
  <c r="J214"/>
  <c r="I214"/>
  <c r="J213"/>
  <c r="I213"/>
  <c r="J212"/>
  <c r="I212"/>
  <c r="J211"/>
  <c r="I211"/>
  <c r="J210"/>
  <c r="I210"/>
  <c r="J209"/>
  <c r="I209"/>
  <c r="J208"/>
  <c r="I208"/>
  <c r="J207"/>
  <c r="I207"/>
  <c r="J206"/>
  <c r="I206"/>
  <c r="J205"/>
  <c r="I205"/>
  <c r="J204"/>
  <c r="I204"/>
  <c r="E199"/>
  <c r="D252" l="1"/>
  <c r="H12" i="28" s="1"/>
  <c r="O34" i="22"/>
  <c r="O33"/>
  <c r="P34"/>
  <c r="P33"/>
  <c r="P32"/>
  <c r="O32"/>
  <c r="J55" i="7"/>
  <c r="F55"/>
  <c r="G55" s="1"/>
  <c r="J54"/>
  <c r="E54"/>
  <c r="G54" s="1"/>
  <c r="J53"/>
  <c r="G53"/>
  <c r="C50"/>
  <c r="I155" i="12"/>
  <c r="F155"/>
  <c r="I154"/>
  <c r="E154"/>
  <c r="F154" s="1"/>
  <c r="C151"/>
  <c r="P24" i="21"/>
  <c r="J117" i="12"/>
  <c r="I117"/>
  <c r="F117"/>
  <c r="I116"/>
  <c r="D116"/>
  <c r="F116" s="1"/>
  <c r="D46" i="7" l="1"/>
  <c r="D147" i="12"/>
  <c r="N31" i="22" l="1"/>
  <c r="L31"/>
  <c r="N20" i="23"/>
  <c r="L20"/>
  <c r="J20"/>
  <c r="G29" i="7" l="1"/>
  <c r="J29"/>
  <c r="O11" i="50"/>
  <c r="O26" i="21" l="1"/>
  <c r="P26"/>
  <c r="D91" i="12"/>
  <c r="I39" l="1"/>
  <c r="F39"/>
  <c r="I38"/>
  <c r="F38"/>
  <c r="C35"/>
  <c r="D31" l="1"/>
  <c r="D203" i="38"/>
  <c r="E201"/>
  <c r="J26" i="22" l="1"/>
  <c r="H26"/>
  <c r="F19" i="10"/>
  <c r="I19"/>
  <c r="J19"/>
  <c r="D28" i="12"/>
  <c r="F28" s="1"/>
  <c r="J29"/>
  <c r="I29"/>
  <c r="F29"/>
  <c r="I28"/>
  <c r="C25"/>
  <c r="D17"/>
  <c r="G17" i="7"/>
  <c r="E20" i="42"/>
  <c r="D21" i="12" l="1"/>
  <c r="J10" i="28" s="1"/>
  <c r="F18" i="12" l="1"/>
  <c r="C14"/>
  <c r="C26" i="7"/>
  <c r="C14"/>
  <c r="C143" i="43" l="1"/>
  <c r="C100"/>
  <c r="C57"/>
  <c r="C14"/>
  <c r="C93" i="42"/>
  <c r="C83"/>
  <c r="C73"/>
  <c r="C43"/>
  <c r="C33"/>
  <c r="C107" i="40"/>
  <c r="C76"/>
  <c r="C45"/>
  <c r="C13" i="42"/>
  <c r="C14" i="40"/>
  <c r="C424" i="12"/>
  <c r="C413"/>
  <c r="C401"/>
  <c r="C389"/>
  <c r="C366"/>
  <c r="C355"/>
  <c r="C345"/>
  <c r="C297"/>
  <c r="C285"/>
  <c r="C270"/>
  <c r="C194"/>
  <c r="C163"/>
  <c r="C136"/>
  <c r="C124"/>
  <c r="C113"/>
  <c r="C92"/>
  <c r="C79"/>
  <c r="C47"/>
  <c r="C176" i="10"/>
  <c r="C153"/>
  <c r="C130"/>
  <c r="C113"/>
  <c r="C101"/>
  <c r="C89"/>
  <c r="C77"/>
  <c r="C64"/>
  <c r="C51"/>
  <c r="C39"/>
  <c r="C14"/>
  <c r="C180" i="9"/>
  <c r="C161"/>
  <c r="C142"/>
  <c r="C123"/>
  <c r="C104"/>
  <c r="C88"/>
  <c r="C76"/>
  <c r="C64"/>
  <c r="C51"/>
  <c r="C38"/>
  <c r="C28"/>
  <c r="C14"/>
  <c r="C782" i="8"/>
  <c r="C722"/>
  <c r="C662"/>
  <c r="C602"/>
  <c r="C542"/>
  <c r="C482"/>
  <c r="C422"/>
  <c r="C362"/>
  <c r="C302"/>
  <c r="C242"/>
  <c r="C182"/>
  <c r="C122"/>
  <c r="C62"/>
  <c r="C41"/>
  <c r="C26"/>
  <c r="C14"/>
  <c r="C134" i="7"/>
  <c r="C124"/>
  <c r="C113"/>
  <c r="C100"/>
  <c r="C89"/>
  <c r="C76"/>
  <c r="C63"/>
  <c r="C38"/>
  <c r="O13" i="50"/>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N54"/>
  <c r="M54"/>
  <c r="K54"/>
  <c r="J54"/>
  <c r="I54"/>
  <c r="G54"/>
  <c r="P53"/>
  <c r="O53"/>
  <c r="O12"/>
  <c r="O54" l="1"/>
  <c r="F207" i="2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E478" s="1"/>
  <c r="F478" s="1"/>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D470" i="12" l="1"/>
  <c r="L10" i="46" s="1"/>
  <c r="D459" i="12"/>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2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I22" i="27"/>
  <c r="J9" i="46" l="1"/>
  <c r="N9"/>
  <c r="L9"/>
  <c r="H9"/>
  <c r="O70" i="49"/>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O10"/>
  <c r="P10"/>
  <c r="P8"/>
  <c r="O8"/>
  <c r="P20" i="31"/>
  <c r="O20"/>
  <c r="P19"/>
  <c r="O19"/>
  <c r="P18"/>
  <c r="O18"/>
  <c r="P17"/>
  <c r="O17"/>
  <c r="P16"/>
  <c r="O16"/>
  <c r="P15"/>
  <c r="O15"/>
  <c r="P14"/>
  <c r="O14"/>
  <c r="P13"/>
  <c r="O13"/>
  <c r="P12"/>
  <c r="O12"/>
  <c r="P11"/>
  <c r="O11"/>
  <c r="P10"/>
  <c r="O10"/>
  <c r="O9" i="44"/>
  <c r="P9"/>
  <c r="O16"/>
  <c r="P16"/>
  <c r="O17"/>
  <c r="P17"/>
  <c r="O18"/>
  <c r="P18"/>
  <c r="O19"/>
  <c r="P19"/>
  <c r="O20"/>
  <c r="P20"/>
  <c r="P8"/>
  <c r="O8"/>
  <c r="O10" i="24"/>
  <c r="O11"/>
  <c r="P11"/>
  <c r="O12"/>
  <c r="O13"/>
  <c r="O14"/>
  <c r="O15"/>
  <c r="O16"/>
  <c r="O17"/>
  <c r="O18"/>
  <c r="O19"/>
  <c r="O35"/>
  <c r="O36"/>
  <c r="P36"/>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7"/>
  <c r="P17"/>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P7"/>
  <c r="O7"/>
  <c r="O9" i="23"/>
  <c r="P9"/>
  <c r="O10"/>
  <c r="P10"/>
  <c r="O11"/>
  <c r="P11"/>
  <c r="O12"/>
  <c r="P12"/>
  <c r="O13"/>
  <c r="P13"/>
  <c r="O14"/>
  <c r="P14"/>
  <c r="O15"/>
  <c r="P15"/>
  <c r="O16"/>
  <c r="P16"/>
  <c r="O17"/>
  <c r="P17"/>
  <c r="O18"/>
  <c r="P18"/>
  <c r="O19"/>
  <c r="P19"/>
  <c r="O20"/>
  <c r="P20"/>
  <c r="O21"/>
  <c r="P21"/>
  <c r="P8"/>
  <c r="O8"/>
  <c r="P36" i="30"/>
  <c r="O36"/>
  <c r="P35"/>
  <c r="O35"/>
  <c r="P34"/>
  <c r="O34"/>
  <c r="P33"/>
  <c r="O33"/>
  <c r="P32"/>
  <c r="O32"/>
  <c r="P31"/>
  <c r="O31"/>
  <c r="P30"/>
  <c r="O30"/>
  <c r="P29"/>
  <c r="O29"/>
  <c r="O27"/>
  <c r="O26"/>
  <c r="O25"/>
  <c r="O24"/>
  <c r="O23"/>
  <c r="O22"/>
  <c r="P21"/>
  <c r="O21"/>
  <c r="O20"/>
  <c r="P15"/>
  <c r="O15"/>
  <c r="O14"/>
  <c r="P13"/>
  <c r="O13"/>
  <c r="P12"/>
  <c r="O12"/>
  <c r="P11"/>
  <c r="O11"/>
  <c r="P10"/>
  <c r="O10"/>
  <c r="O9" i="29"/>
  <c r="O8"/>
  <c r="P31" i="22"/>
  <c r="O31"/>
  <c r="P30"/>
  <c r="O30"/>
  <c r="O29"/>
  <c r="P28"/>
  <c r="O28"/>
  <c r="P27"/>
  <c r="O27"/>
  <c r="P26"/>
  <c r="O26"/>
  <c r="O25"/>
  <c r="P24"/>
  <c r="O24"/>
  <c r="P23"/>
  <c r="O23"/>
  <c r="P22"/>
  <c r="O22"/>
  <c r="P21"/>
  <c r="O21"/>
  <c r="P15"/>
  <c r="O15"/>
  <c r="P14"/>
  <c r="O14"/>
  <c r="P13"/>
  <c r="O13"/>
  <c r="O12"/>
  <c r="P11"/>
  <c r="O11"/>
  <c r="P10"/>
  <c r="O10"/>
  <c r="O9"/>
  <c r="O9" i="21"/>
  <c r="P9"/>
  <c r="O10"/>
  <c r="P10"/>
  <c r="O11"/>
  <c r="O12"/>
  <c r="P12"/>
  <c r="O13"/>
  <c r="P13"/>
  <c r="O21"/>
  <c r="O22"/>
  <c r="P22"/>
  <c r="O23"/>
  <c r="P23"/>
  <c r="O24"/>
  <c r="O25"/>
  <c r="P25"/>
  <c r="O27"/>
  <c r="P27"/>
  <c r="O28"/>
  <c r="P28"/>
  <c r="P8"/>
  <c r="O8"/>
  <c r="O10" i="28"/>
  <c r="O11"/>
  <c r="O12"/>
  <c r="O13"/>
  <c r="O14"/>
  <c r="O15"/>
  <c r="O16"/>
  <c r="O9"/>
  <c r="P10"/>
  <c r="P12"/>
  <c r="P13"/>
  <c r="P15"/>
  <c r="P16"/>
  <c r="P9" i="46" l="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117" i="42"/>
  <c r="J116"/>
  <c r="J115"/>
  <c r="J114"/>
  <c r="J113"/>
  <c r="J112"/>
  <c r="J111"/>
  <c r="J110"/>
  <c r="J109"/>
  <c r="J108"/>
  <c r="J107"/>
  <c r="J106"/>
  <c r="J105"/>
  <c r="J104"/>
  <c r="J103"/>
  <c r="J102"/>
  <c r="J101"/>
  <c r="J100"/>
  <c r="J99"/>
  <c r="J9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98"/>
  <c r="F98"/>
  <c r="I97"/>
  <c r="F97"/>
  <c r="I87"/>
  <c r="I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I37"/>
  <c r="F3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428" i="12"/>
  <c r="J417"/>
  <c r="J406"/>
  <c r="J405"/>
  <c r="J394"/>
  <c r="J393"/>
  <c r="J334"/>
  <c r="J333"/>
  <c r="J332"/>
  <c r="J331"/>
  <c r="J330"/>
  <c r="J329"/>
  <c r="J328"/>
  <c r="J327"/>
  <c r="J326"/>
  <c r="J325"/>
  <c r="J324"/>
  <c r="J323"/>
  <c r="J322"/>
  <c r="J321"/>
  <c r="J320"/>
  <c r="J319"/>
  <c r="J318"/>
  <c r="J317"/>
  <c r="J316"/>
  <c r="J315"/>
  <c r="J314"/>
  <c r="J313"/>
  <c r="J312"/>
  <c r="J311"/>
  <c r="J310"/>
  <c r="J309"/>
  <c r="J308"/>
  <c r="J307"/>
  <c r="J306"/>
  <c r="J305"/>
  <c r="J304"/>
  <c r="J303"/>
  <c r="J302"/>
  <c r="J301"/>
  <c r="J203"/>
  <c r="J202"/>
  <c r="J201"/>
  <c r="J200"/>
  <c r="J199"/>
  <c r="J198"/>
  <c r="J186"/>
  <c r="J185"/>
  <c r="J184"/>
  <c r="J183"/>
  <c r="J182"/>
  <c r="J181"/>
  <c r="J180"/>
  <c r="J179"/>
  <c r="J178"/>
  <c r="J177"/>
  <c r="J176"/>
  <c r="J175"/>
  <c r="J174"/>
  <c r="J173"/>
  <c r="J172"/>
  <c r="J171"/>
  <c r="J170"/>
  <c r="J169"/>
  <c r="J168"/>
  <c r="J167"/>
  <c r="J72"/>
  <c r="J71"/>
  <c r="J70"/>
  <c r="J69"/>
  <c r="J68"/>
  <c r="J67"/>
  <c r="J66"/>
  <c r="J65"/>
  <c r="J64"/>
  <c r="J63"/>
  <c r="J62"/>
  <c r="J61"/>
  <c r="J60"/>
  <c r="J59"/>
  <c r="J58"/>
  <c r="J57"/>
  <c r="J56"/>
  <c r="J55"/>
  <c r="J54"/>
  <c r="J53"/>
  <c r="J52"/>
  <c r="J51"/>
  <c r="I428"/>
  <c r="I427"/>
  <c r="E427"/>
  <c r="F427" s="1"/>
  <c r="I417"/>
  <c r="F417"/>
  <c r="I416"/>
  <c r="E416"/>
  <c r="F416" s="1"/>
  <c r="I406"/>
  <c r="I405"/>
  <c r="I404"/>
  <c r="E404"/>
  <c r="F404" s="1"/>
  <c r="I394"/>
  <c r="F394"/>
  <c r="I393"/>
  <c r="F393"/>
  <c r="I392"/>
  <c r="E392"/>
  <c r="F392" s="1"/>
  <c r="I370"/>
  <c r="F370"/>
  <c r="I369"/>
  <c r="E369"/>
  <c r="F369" s="1"/>
  <c r="I359"/>
  <c r="F359"/>
  <c r="I358"/>
  <c r="E358"/>
  <c r="F358" s="1"/>
  <c r="I348"/>
  <c r="E348"/>
  <c r="F348" s="1"/>
  <c r="I334"/>
  <c r="F334"/>
  <c r="I333"/>
  <c r="F333"/>
  <c r="I332"/>
  <c r="F332"/>
  <c r="I331"/>
  <c r="F331"/>
  <c r="I330"/>
  <c r="F330"/>
  <c r="I329"/>
  <c r="F329"/>
  <c r="I328"/>
  <c r="F328"/>
  <c r="I327"/>
  <c r="F327"/>
  <c r="I326"/>
  <c r="F326"/>
  <c r="I325"/>
  <c r="F325"/>
  <c r="I324"/>
  <c r="F324"/>
  <c r="I323"/>
  <c r="F323"/>
  <c r="I322"/>
  <c r="F322"/>
  <c r="I321"/>
  <c r="F321"/>
  <c r="I320"/>
  <c r="F320"/>
  <c r="I319"/>
  <c r="F319"/>
  <c r="I318"/>
  <c r="F318"/>
  <c r="I317"/>
  <c r="F317"/>
  <c r="I316"/>
  <c r="F316"/>
  <c r="I315"/>
  <c r="F315"/>
  <c r="I314"/>
  <c r="F314"/>
  <c r="I313"/>
  <c r="F313"/>
  <c r="I312"/>
  <c r="F312"/>
  <c r="I311"/>
  <c r="F311"/>
  <c r="I310"/>
  <c r="F310"/>
  <c r="I309"/>
  <c r="F309"/>
  <c r="I308"/>
  <c r="F308"/>
  <c r="I307"/>
  <c r="F307"/>
  <c r="I306"/>
  <c r="F306"/>
  <c r="I305"/>
  <c r="F305"/>
  <c r="I304"/>
  <c r="F304"/>
  <c r="I303"/>
  <c r="F303"/>
  <c r="I302"/>
  <c r="F302"/>
  <c r="I301"/>
  <c r="F301"/>
  <c r="I300"/>
  <c r="E300"/>
  <c r="F300" s="1"/>
  <c r="I290"/>
  <c r="F290"/>
  <c r="I289"/>
  <c r="F289"/>
  <c r="I288"/>
  <c r="E288"/>
  <c r="F288" s="1"/>
  <c r="I279"/>
  <c r="F279"/>
  <c r="I278"/>
  <c r="F278"/>
  <c r="I277"/>
  <c r="F277"/>
  <c r="I276"/>
  <c r="F276"/>
  <c r="I275"/>
  <c r="F275"/>
  <c r="I274"/>
  <c r="F274"/>
  <c r="I273"/>
  <c r="E273"/>
  <c r="F273" s="1"/>
  <c r="I203"/>
  <c r="I202"/>
  <c r="F202"/>
  <c r="I201"/>
  <c r="F201"/>
  <c r="I200"/>
  <c r="F200"/>
  <c r="I199"/>
  <c r="F199"/>
  <c r="I198"/>
  <c r="F198"/>
  <c r="I197"/>
  <c r="E197"/>
  <c r="F197" s="1"/>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E166"/>
  <c r="F166" s="1"/>
  <c r="I144"/>
  <c r="F144"/>
  <c r="I143"/>
  <c r="F143"/>
  <c r="I142"/>
  <c r="F142"/>
  <c r="I141"/>
  <c r="F141"/>
  <c r="I140"/>
  <c r="F140"/>
  <c r="I139"/>
  <c r="E139"/>
  <c r="F139" s="1"/>
  <c r="I129"/>
  <c r="F129"/>
  <c r="I128"/>
  <c r="F128"/>
  <c r="I127"/>
  <c r="E127"/>
  <c r="F127" s="1"/>
  <c r="I106"/>
  <c r="F106"/>
  <c r="I105"/>
  <c r="F105"/>
  <c r="I104"/>
  <c r="F104"/>
  <c r="I103"/>
  <c r="F103"/>
  <c r="I102"/>
  <c r="F102"/>
  <c r="I101"/>
  <c r="F101"/>
  <c r="I100"/>
  <c r="F100"/>
  <c r="I99"/>
  <c r="F99"/>
  <c r="I98"/>
  <c r="F98"/>
  <c r="I97"/>
  <c r="F97"/>
  <c r="I96"/>
  <c r="F96"/>
  <c r="I95"/>
  <c r="E95"/>
  <c r="F95" s="1"/>
  <c r="I85"/>
  <c r="F85"/>
  <c r="I84"/>
  <c r="F84"/>
  <c r="I83"/>
  <c r="F83"/>
  <c r="I82"/>
  <c r="E82"/>
  <c r="F82" s="1"/>
  <c r="I72"/>
  <c r="F72"/>
  <c r="I71"/>
  <c r="F71"/>
  <c r="I70"/>
  <c r="F70"/>
  <c r="I69"/>
  <c r="F69"/>
  <c r="I68"/>
  <c r="F68"/>
  <c r="I67"/>
  <c r="F67"/>
  <c r="I66"/>
  <c r="F66"/>
  <c r="I65"/>
  <c r="F65"/>
  <c r="I64"/>
  <c r="F64"/>
  <c r="I63"/>
  <c r="F63"/>
  <c r="I62"/>
  <c r="F62"/>
  <c r="I61"/>
  <c r="F61"/>
  <c r="I60"/>
  <c r="F60"/>
  <c r="I59"/>
  <c r="F59"/>
  <c r="I58"/>
  <c r="F58"/>
  <c r="I57"/>
  <c r="F57"/>
  <c r="I56"/>
  <c r="F56"/>
  <c r="I55"/>
  <c r="F55"/>
  <c r="I54"/>
  <c r="F54"/>
  <c r="I53"/>
  <c r="F53"/>
  <c r="I52"/>
  <c r="F52"/>
  <c r="I51"/>
  <c r="F51"/>
  <c r="I50"/>
  <c r="E50"/>
  <c r="F50" s="1"/>
  <c r="J32" i="10"/>
  <c r="J31"/>
  <c r="J55"/>
  <c r="J81"/>
  <c r="J93"/>
  <c r="J105"/>
  <c r="J123"/>
  <c r="J122"/>
  <c r="J121"/>
  <c r="J120"/>
  <c r="J119"/>
  <c r="J118"/>
  <c r="J117"/>
  <c r="J146"/>
  <c r="J145"/>
  <c r="J144"/>
  <c r="J143"/>
  <c r="J142"/>
  <c r="J141"/>
  <c r="J140"/>
  <c r="J139"/>
  <c r="J138"/>
  <c r="J137"/>
  <c r="J136"/>
  <c r="J135"/>
  <c r="J134"/>
  <c r="J169"/>
  <c r="J168"/>
  <c r="J167"/>
  <c r="J166"/>
  <c r="J165"/>
  <c r="J164"/>
  <c r="J163"/>
  <c r="J162"/>
  <c r="J161"/>
  <c r="J160"/>
  <c r="J159"/>
  <c r="J158"/>
  <c r="J157"/>
  <c r="J192"/>
  <c r="J191"/>
  <c r="J190"/>
  <c r="J189"/>
  <c r="J188"/>
  <c r="J187"/>
  <c r="J186"/>
  <c r="J185"/>
  <c r="J184"/>
  <c r="J183"/>
  <c r="J182"/>
  <c r="J181"/>
  <c r="J180"/>
  <c r="I192"/>
  <c r="F192"/>
  <c r="I191"/>
  <c r="F191"/>
  <c r="I190"/>
  <c r="F190"/>
  <c r="I189"/>
  <c r="F189"/>
  <c r="I188"/>
  <c r="F188"/>
  <c r="I187"/>
  <c r="F187"/>
  <c r="I186"/>
  <c r="F186"/>
  <c r="I185"/>
  <c r="F185"/>
  <c r="I184"/>
  <c r="F184"/>
  <c r="I183"/>
  <c r="F183"/>
  <c r="I182"/>
  <c r="F182"/>
  <c r="I181"/>
  <c r="F181"/>
  <c r="I180"/>
  <c r="E180"/>
  <c r="F180" s="1"/>
  <c r="I179"/>
  <c r="E179"/>
  <c r="F179" s="1"/>
  <c r="I169"/>
  <c r="F169"/>
  <c r="I168"/>
  <c r="F168"/>
  <c r="I167"/>
  <c r="F167"/>
  <c r="I166"/>
  <c r="F166"/>
  <c r="I165"/>
  <c r="F165"/>
  <c r="I164"/>
  <c r="F164"/>
  <c r="I163"/>
  <c r="F163"/>
  <c r="I162"/>
  <c r="F162"/>
  <c r="I161"/>
  <c r="F161"/>
  <c r="I160"/>
  <c r="F160"/>
  <c r="I159"/>
  <c r="F159"/>
  <c r="I158"/>
  <c r="F158"/>
  <c r="I157"/>
  <c r="E157"/>
  <c r="F157" s="1"/>
  <c r="I156"/>
  <c r="E156"/>
  <c r="F156" s="1"/>
  <c r="I146"/>
  <c r="F146"/>
  <c r="I145"/>
  <c r="F145"/>
  <c r="I144"/>
  <c r="F144"/>
  <c r="I143"/>
  <c r="F143"/>
  <c r="I142"/>
  <c r="F142"/>
  <c r="I141"/>
  <c r="F141"/>
  <c r="I140"/>
  <c r="F140"/>
  <c r="I139"/>
  <c r="F139"/>
  <c r="I138"/>
  <c r="F138"/>
  <c r="I137"/>
  <c r="F137"/>
  <c r="I136"/>
  <c r="F136"/>
  <c r="I135"/>
  <c r="F135"/>
  <c r="I134"/>
  <c r="E134"/>
  <c r="F134" s="1"/>
  <c r="I133"/>
  <c r="E133"/>
  <c r="F133" s="1"/>
  <c r="I123"/>
  <c r="F123"/>
  <c r="I122"/>
  <c r="F122"/>
  <c r="I121"/>
  <c r="F121"/>
  <c r="F120"/>
  <c r="I119"/>
  <c r="F119"/>
  <c r="I118"/>
  <c r="F118"/>
  <c r="I117"/>
  <c r="E117"/>
  <c r="F117" s="1"/>
  <c r="I116"/>
  <c r="E116"/>
  <c r="F116" s="1"/>
  <c r="I106"/>
  <c r="F106"/>
  <c r="I105"/>
  <c r="E105"/>
  <c r="F105" s="1"/>
  <c r="I104"/>
  <c r="E104"/>
  <c r="F104" s="1"/>
  <c r="I94"/>
  <c r="F94"/>
  <c r="I93"/>
  <c r="E93"/>
  <c r="F93" s="1"/>
  <c r="I92"/>
  <c r="E92"/>
  <c r="F92" s="1"/>
  <c r="I82"/>
  <c r="F82"/>
  <c r="I81"/>
  <c r="E81"/>
  <c r="F81" s="1"/>
  <c r="I80"/>
  <c r="E80"/>
  <c r="F80" s="1"/>
  <c r="I70"/>
  <c r="F70"/>
  <c r="I69"/>
  <c r="F69"/>
  <c r="I68"/>
  <c r="E68"/>
  <c r="F68" s="1"/>
  <c r="I67"/>
  <c r="E67"/>
  <c r="F67" s="1"/>
  <c r="I57"/>
  <c r="F57"/>
  <c r="I56"/>
  <c r="F56"/>
  <c r="I55"/>
  <c r="E55"/>
  <c r="F55" s="1"/>
  <c r="I54"/>
  <c r="E54"/>
  <c r="F54" s="1"/>
  <c r="I44"/>
  <c r="F44"/>
  <c r="I43"/>
  <c r="E43"/>
  <c r="F43" s="1"/>
  <c r="I42"/>
  <c r="E42"/>
  <c r="F42" s="1"/>
  <c r="I32"/>
  <c r="F32"/>
  <c r="I31"/>
  <c r="E31"/>
  <c r="F31" s="1"/>
  <c r="I30"/>
  <c r="E30"/>
  <c r="F30" s="1"/>
  <c r="J192" i="9"/>
  <c r="J191"/>
  <c r="J190"/>
  <c r="J189"/>
  <c r="J188"/>
  <c r="J187"/>
  <c r="J186"/>
  <c r="J185"/>
  <c r="J184"/>
  <c r="J173"/>
  <c r="J172"/>
  <c r="J171"/>
  <c r="J170"/>
  <c r="J169"/>
  <c r="J168"/>
  <c r="J167"/>
  <c r="J166"/>
  <c r="J165"/>
  <c r="J154"/>
  <c r="J153"/>
  <c r="J152"/>
  <c r="J151"/>
  <c r="J150"/>
  <c r="J149"/>
  <c r="J148"/>
  <c r="J147"/>
  <c r="J146"/>
  <c r="J135"/>
  <c r="J134"/>
  <c r="J133"/>
  <c r="J132"/>
  <c r="J131"/>
  <c r="J130"/>
  <c r="J129"/>
  <c r="J128"/>
  <c r="J127"/>
  <c r="J116"/>
  <c r="J115"/>
  <c r="J114"/>
  <c r="J113"/>
  <c r="J112"/>
  <c r="J111"/>
  <c r="J110"/>
  <c r="J109"/>
  <c r="J108"/>
  <c r="J57"/>
  <c r="J56"/>
  <c r="J55"/>
  <c r="J42"/>
  <c r="I192"/>
  <c r="F192"/>
  <c r="I191"/>
  <c r="F191"/>
  <c r="I190"/>
  <c r="F190"/>
  <c r="I189"/>
  <c r="F189"/>
  <c r="I188"/>
  <c r="F188"/>
  <c r="I187"/>
  <c r="F187"/>
  <c r="I186"/>
  <c r="F186"/>
  <c r="I185"/>
  <c r="F185"/>
  <c r="I184"/>
  <c r="F184"/>
  <c r="I183"/>
  <c r="F183"/>
  <c r="I173"/>
  <c r="F173"/>
  <c r="I172"/>
  <c r="F172"/>
  <c r="I171"/>
  <c r="F171"/>
  <c r="I170"/>
  <c r="F170"/>
  <c r="I169"/>
  <c r="F169"/>
  <c r="I168"/>
  <c r="F168"/>
  <c r="I167"/>
  <c r="F167"/>
  <c r="I166"/>
  <c r="F166"/>
  <c r="I165"/>
  <c r="F165"/>
  <c r="I164"/>
  <c r="F164"/>
  <c r="I154"/>
  <c r="F154"/>
  <c r="I153"/>
  <c r="F153"/>
  <c r="I152"/>
  <c r="F152"/>
  <c r="I151"/>
  <c r="F151"/>
  <c r="I150"/>
  <c r="F150"/>
  <c r="I149"/>
  <c r="F149"/>
  <c r="I148"/>
  <c r="F148"/>
  <c r="I147"/>
  <c r="F147"/>
  <c r="I146"/>
  <c r="F146"/>
  <c r="I145"/>
  <c r="F145"/>
  <c r="I135"/>
  <c r="F135"/>
  <c r="I134"/>
  <c r="F134"/>
  <c r="I133"/>
  <c r="F133"/>
  <c r="I132"/>
  <c r="F132"/>
  <c r="I131"/>
  <c r="F131"/>
  <c r="I130"/>
  <c r="F130"/>
  <c r="I129"/>
  <c r="F129"/>
  <c r="I128"/>
  <c r="F128"/>
  <c r="I127"/>
  <c r="F127"/>
  <c r="I126"/>
  <c r="F126"/>
  <c r="I116"/>
  <c r="F116"/>
  <c r="I115"/>
  <c r="F115"/>
  <c r="I114"/>
  <c r="F114"/>
  <c r="I113"/>
  <c r="F113"/>
  <c r="I112"/>
  <c r="F112"/>
  <c r="I111"/>
  <c r="F111"/>
  <c r="I110"/>
  <c r="F110"/>
  <c r="I109"/>
  <c r="F109"/>
  <c r="I108"/>
  <c r="F108"/>
  <c r="I107"/>
  <c r="F107"/>
  <c r="I97"/>
  <c r="F97"/>
  <c r="I96"/>
  <c r="F96"/>
  <c r="I95"/>
  <c r="F95"/>
  <c r="I93"/>
  <c r="F93"/>
  <c r="I92"/>
  <c r="F92"/>
  <c r="I91"/>
  <c r="F91"/>
  <c r="I81"/>
  <c r="F81"/>
  <c r="I80"/>
  <c r="F80"/>
  <c r="I79"/>
  <c r="F79"/>
  <c r="I69"/>
  <c r="F69"/>
  <c r="I68"/>
  <c r="F68"/>
  <c r="I67"/>
  <c r="F67"/>
  <c r="I57"/>
  <c r="F57"/>
  <c r="I56"/>
  <c r="F56"/>
  <c r="I55"/>
  <c r="F55"/>
  <c r="I54"/>
  <c r="F54"/>
  <c r="J44"/>
  <c r="I44"/>
  <c r="F44"/>
  <c r="J43"/>
  <c r="I43"/>
  <c r="F43"/>
  <c r="I42"/>
  <c r="F42"/>
  <c r="I41"/>
  <c r="F41"/>
  <c r="I31"/>
  <c r="F31"/>
  <c r="K835" i="8"/>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97"/>
  <c r="K796"/>
  <c r="K795"/>
  <c r="K794"/>
  <c r="K793"/>
  <c r="K792"/>
  <c r="K791"/>
  <c r="K790"/>
  <c r="K789"/>
  <c r="K788"/>
  <c r="K787"/>
  <c r="K78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37"/>
  <c r="K736"/>
  <c r="K735"/>
  <c r="K734"/>
  <c r="K733"/>
  <c r="K732"/>
  <c r="K731"/>
  <c r="K730"/>
  <c r="K729"/>
  <c r="K728"/>
  <c r="K727"/>
  <c r="K72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77"/>
  <c r="K676"/>
  <c r="K675"/>
  <c r="K674"/>
  <c r="K673"/>
  <c r="K672"/>
  <c r="K671"/>
  <c r="K670"/>
  <c r="K669"/>
  <c r="K668"/>
  <c r="K667"/>
  <c r="K66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17"/>
  <c r="K616"/>
  <c r="K615"/>
  <c r="K614"/>
  <c r="K613"/>
  <c r="K612"/>
  <c r="K611"/>
  <c r="K610"/>
  <c r="K609"/>
  <c r="K608"/>
  <c r="K607"/>
  <c r="K60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57"/>
  <c r="K556"/>
  <c r="K555"/>
  <c r="K554"/>
  <c r="K553"/>
  <c r="K552"/>
  <c r="K551"/>
  <c r="K550"/>
  <c r="K549"/>
  <c r="K548"/>
  <c r="K547"/>
  <c r="K54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97"/>
  <c r="K496"/>
  <c r="K495"/>
  <c r="K494"/>
  <c r="K493"/>
  <c r="K492"/>
  <c r="K491"/>
  <c r="K490"/>
  <c r="K489"/>
  <c r="K488"/>
  <c r="K487"/>
  <c r="K48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37"/>
  <c r="K436"/>
  <c r="K435"/>
  <c r="K434"/>
  <c r="K433"/>
  <c r="K432"/>
  <c r="K431"/>
  <c r="K430"/>
  <c r="K429"/>
  <c r="K428"/>
  <c r="K427"/>
  <c r="K426"/>
  <c r="K415"/>
  <c r="K414"/>
  <c r="K413"/>
  <c r="K412"/>
  <c r="K411"/>
  <c r="K410"/>
  <c r="K409"/>
  <c r="K408"/>
  <c r="K407"/>
  <c r="K406"/>
  <c r="K405"/>
  <c r="K404"/>
  <c r="K403"/>
  <c r="K402"/>
  <c r="K401"/>
  <c r="K400"/>
  <c r="K399"/>
  <c r="K398"/>
  <c r="K397"/>
  <c r="K396"/>
  <c r="K395"/>
  <c r="K394"/>
  <c r="K393"/>
  <c r="K392"/>
  <c r="K391"/>
  <c r="K390"/>
  <c r="K389"/>
  <c r="K388"/>
  <c r="K387"/>
  <c r="K386"/>
  <c r="K385"/>
  <c r="K384"/>
  <c r="K383"/>
  <c r="K382"/>
  <c r="K381"/>
  <c r="K380"/>
  <c r="K379"/>
  <c r="K378"/>
  <c r="K377"/>
  <c r="K376"/>
  <c r="K375"/>
  <c r="K374"/>
  <c r="K373"/>
  <c r="K372"/>
  <c r="K371"/>
  <c r="K370"/>
  <c r="K369"/>
  <c r="K368"/>
  <c r="K367"/>
  <c r="K366"/>
  <c r="K355"/>
  <c r="K354"/>
  <c r="K353"/>
  <c r="K352"/>
  <c r="K351"/>
  <c r="K350"/>
  <c r="K349"/>
  <c r="K348"/>
  <c r="K347"/>
  <c r="K346"/>
  <c r="K345"/>
  <c r="K344"/>
  <c r="K343"/>
  <c r="K342"/>
  <c r="K341"/>
  <c r="K340"/>
  <c r="K339"/>
  <c r="K338"/>
  <c r="K337"/>
  <c r="K336"/>
  <c r="K335"/>
  <c r="K334"/>
  <c r="K333"/>
  <c r="K332"/>
  <c r="K331"/>
  <c r="K330"/>
  <c r="K329"/>
  <c r="K328"/>
  <c r="K327"/>
  <c r="K326"/>
  <c r="K325"/>
  <c r="K324"/>
  <c r="K323"/>
  <c r="K322"/>
  <c r="K321"/>
  <c r="K320"/>
  <c r="K319"/>
  <c r="K318"/>
  <c r="K317"/>
  <c r="K316"/>
  <c r="K315"/>
  <c r="K314"/>
  <c r="K313"/>
  <c r="K312"/>
  <c r="K311"/>
  <c r="K310"/>
  <c r="K309"/>
  <c r="K308"/>
  <c r="K307"/>
  <c r="K306"/>
  <c r="J835"/>
  <c r="J834"/>
  <c r="J833"/>
  <c r="G833"/>
  <c r="F835" s="1"/>
  <c r="G835" s="1"/>
  <c r="J832"/>
  <c r="G832"/>
  <c r="J831"/>
  <c r="G831"/>
  <c r="J830"/>
  <c r="G830"/>
  <c r="J829"/>
  <c r="J828"/>
  <c r="J827"/>
  <c r="G827"/>
  <c r="F829" s="1"/>
  <c r="G829"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J802"/>
  <c r="J801"/>
  <c r="J800"/>
  <c r="F800"/>
  <c r="G800" s="1"/>
  <c r="J799"/>
  <c r="J798"/>
  <c r="J797"/>
  <c r="F797"/>
  <c r="G797" s="1"/>
  <c r="J796"/>
  <c r="J795"/>
  <c r="J794"/>
  <c r="F794"/>
  <c r="G794" s="1"/>
  <c r="J793"/>
  <c r="J792"/>
  <c r="J791"/>
  <c r="F791"/>
  <c r="G791" s="1"/>
  <c r="J790"/>
  <c r="J789"/>
  <c r="J788"/>
  <c r="F788"/>
  <c r="G788" s="1"/>
  <c r="J787"/>
  <c r="J786"/>
  <c r="J785"/>
  <c r="F785"/>
  <c r="G785" s="1"/>
  <c r="J775"/>
  <c r="J774"/>
  <c r="J773"/>
  <c r="G773"/>
  <c r="F774" s="1"/>
  <c r="G774" s="1"/>
  <c r="J772"/>
  <c r="G772"/>
  <c r="J771"/>
  <c r="G771"/>
  <c r="J770"/>
  <c r="G770"/>
  <c r="J769"/>
  <c r="J768"/>
  <c r="J767"/>
  <c r="G767"/>
  <c r="F768" s="1"/>
  <c r="G768" s="1"/>
  <c r="J766"/>
  <c r="J765"/>
  <c r="J764"/>
  <c r="F764"/>
  <c r="G764" s="1"/>
  <c r="J763"/>
  <c r="J762"/>
  <c r="J761"/>
  <c r="F761"/>
  <c r="G761" s="1"/>
  <c r="J760"/>
  <c r="J759"/>
  <c r="J758"/>
  <c r="F758"/>
  <c r="G758" s="1"/>
  <c r="J757"/>
  <c r="J756"/>
  <c r="J755"/>
  <c r="F755"/>
  <c r="G755" s="1"/>
  <c r="J754"/>
  <c r="J753"/>
  <c r="J752"/>
  <c r="F752"/>
  <c r="G752" s="1"/>
  <c r="J751"/>
  <c r="J750"/>
  <c r="J749"/>
  <c r="F749"/>
  <c r="G749" s="1"/>
  <c r="J748"/>
  <c r="J747"/>
  <c r="J746"/>
  <c r="F746"/>
  <c r="G746" s="1"/>
  <c r="J745"/>
  <c r="J744"/>
  <c r="J743"/>
  <c r="F743"/>
  <c r="G743" s="1"/>
  <c r="J742"/>
  <c r="J741"/>
  <c r="J740"/>
  <c r="F740"/>
  <c r="G740" s="1"/>
  <c r="J739"/>
  <c r="J738"/>
  <c r="J737"/>
  <c r="F737"/>
  <c r="G737" s="1"/>
  <c r="J736"/>
  <c r="J735"/>
  <c r="J734"/>
  <c r="F734"/>
  <c r="G734" s="1"/>
  <c r="J733"/>
  <c r="J732"/>
  <c r="J731"/>
  <c r="F731"/>
  <c r="G731" s="1"/>
  <c r="J730"/>
  <c r="J729"/>
  <c r="J728"/>
  <c r="F728"/>
  <c r="G728" s="1"/>
  <c r="J727"/>
  <c r="J726"/>
  <c r="J725"/>
  <c r="F725"/>
  <c r="G725" s="1"/>
  <c r="J715"/>
  <c r="J714"/>
  <c r="J713"/>
  <c r="G713"/>
  <c r="F715" s="1"/>
  <c r="G715" s="1"/>
  <c r="J712"/>
  <c r="G712"/>
  <c r="J711"/>
  <c r="G711"/>
  <c r="J710"/>
  <c r="G710"/>
  <c r="J709"/>
  <c r="J708"/>
  <c r="J707"/>
  <c r="G707"/>
  <c r="F709" s="1"/>
  <c r="G709" s="1"/>
  <c r="J706"/>
  <c r="J705"/>
  <c r="J704"/>
  <c r="F704"/>
  <c r="G704" s="1"/>
  <c r="J703"/>
  <c r="J702"/>
  <c r="J701"/>
  <c r="F701"/>
  <c r="G701" s="1"/>
  <c r="J700"/>
  <c r="J699"/>
  <c r="J698"/>
  <c r="F698"/>
  <c r="G698" s="1"/>
  <c r="J697"/>
  <c r="J696"/>
  <c r="J695"/>
  <c r="F695"/>
  <c r="G695" s="1"/>
  <c r="J694"/>
  <c r="J693"/>
  <c r="J692"/>
  <c r="F692"/>
  <c r="G692" s="1"/>
  <c r="J691"/>
  <c r="J690"/>
  <c r="J689"/>
  <c r="F689"/>
  <c r="G689" s="1"/>
  <c r="J688"/>
  <c r="J687"/>
  <c r="J686"/>
  <c r="F686"/>
  <c r="G686" s="1"/>
  <c r="J685"/>
  <c r="J684"/>
  <c r="J683"/>
  <c r="F683"/>
  <c r="G683" s="1"/>
  <c r="J682"/>
  <c r="J681"/>
  <c r="J680"/>
  <c r="F680"/>
  <c r="G680" s="1"/>
  <c r="J679"/>
  <c r="J678"/>
  <c r="J677"/>
  <c r="F677"/>
  <c r="G677" s="1"/>
  <c r="J676"/>
  <c r="J675"/>
  <c r="J674"/>
  <c r="F674"/>
  <c r="G674" s="1"/>
  <c r="J673"/>
  <c r="J672"/>
  <c r="J671"/>
  <c r="F671"/>
  <c r="G671" s="1"/>
  <c r="F673" s="1"/>
  <c r="G673" s="1"/>
  <c r="J670"/>
  <c r="J669"/>
  <c r="J668"/>
  <c r="F668"/>
  <c r="G668" s="1"/>
  <c r="F669" s="1"/>
  <c r="G669" s="1"/>
  <c r="J667"/>
  <c r="J666"/>
  <c r="J665"/>
  <c r="F665"/>
  <c r="G665" s="1"/>
  <c r="F666" s="1"/>
  <c r="G666" s="1"/>
  <c r="J655"/>
  <c r="J654"/>
  <c r="J653"/>
  <c r="G653"/>
  <c r="J652"/>
  <c r="G652"/>
  <c r="J651"/>
  <c r="G651"/>
  <c r="J650"/>
  <c r="G650"/>
  <c r="J649"/>
  <c r="J648"/>
  <c r="J647"/>
  <c r="G647"/>
  <c r="J646"/>
  <c r="J645"/>
  <c r="J644"/>
  <c r="F644"/>
  <c r="G644" s="1"/>
  <c r="F646" s="1"/>
  <c r="G646" s="1"/>
  <c r="J643"/>
  <c r="J642"/>
  <c r="J641"/>
  <c r="F641"/>
  <c r="G641" s="1"/>
  <c r="F643" s="1"/>
  <c r="G643" s="1"/>
  <c r="J640"/>
  <c r="J639"/>
  <c r="J638"/>
  <c r="F638"/>
  <c r="G638" s="1"/>
  <c r="F639" s="1"/>
  <c r="G639" s="1"/>
  <c r="J637"/>
  <c r="J636"/>
  <c r="J635"/>
  <c r="F635"/>
  <c r="G635" s="1"/>
  <c r="F637" s="1"/>
  <c r="G637" s="1"/>
  <c r="J634"/>
  <c r="J633"/>
  <c r="J632"/>
  <c r="F632"/>
  <c r="G632" s="1"/>
  <c r="F633" s="1"/>
  <c r="G633" s="1"/>
  <c r="J631"/>
  <c r="J630"/>
  <c r="J629"/>
  <c r="F629"/>
  <c r="G629" s="1"/>
  <c r="F631" s="1"/>
  <c r="G631" s="1"/>
  <c r="J628"/>
  <c r="J627"/>
  <c r="J626"/>
  <c r="F626"/>
  <c r="G626" s="1"/>
  <c r="F627" s="1"/>
  <c r="G627" s="1"/>
  <c r="J625"/>
  <c r="J624"/>
  <c r="J623"/>
  <c r="F623"/>
  <c r="G623" s="1"/>
  <c r="F625" s="1"/>
  <c r="G625" s="1"/>
  <c r="J622"/>
  <c r="J621"/>
  <c r="J620"/>
  <c r="F620"/>
  <c r="G620" s="1"/>
  <c r="F622" s="1"/>
  <c r="G622" s="1"/>
  <c r="J619"/>
  <c r="J618"/>
  <c r="J617"/>
  <c r="F617"/>
  <c r="G617" s="1"/>
  <c r="F619" s="1"/>
  <c r="G619" s="1"/>
  <c r="J616"/>
  <c r="J615"/>
  <c r="J614"/>
  <c r="F614"/>
  <c r="G614" s="1"/>
  <c r="F615" s="1"/>
  <c r="G615" s="1"/>
  <c r="J613"/>
  <c r="J612"/>
  <c r="J611"/>
  <c r="F611"/>
  <c r="G611" s="1"/>
  <c r="F612" s="1"/>
  <c r="G612" s="1"/>
  <c r="J610"/>
  <c r="J609"/>
  <c r="J608"/>
  <c r="F608"/>
  <c r="G608" s="1"/>
  <c r="F610" s="1"/>
  <c r="G610" s="1"/>
  <c r="J607"/>
  <c r="J606"/>
  <c r="J605"/>
  <c r="F605"/>
  <c r="G605" s="1"/>
  <c r="F606" s="1"/>
  <c r="G606" s="1"/>
  <c r="J595"/>
  <c r="J594"/>
  <c r="J593"/>
  <c r="G593"/>
  <c r="F595" s="1"/>
  <c r="G595" s="1"/>
  <c r="J592"/>
  <c r="G592"/>
  <c r="J591"/>
  <c r="G591"/>
  <c r="J590"/>
  <c r="G590"/>
  <c r="J589"/>
  <c r="J588"/>
  <c r="J587"/>
  <c r="G587"/>
  <c r="F589" s="1"/>
  <c r="G589" s="1"/>
  <c r="J586"/>
  <c r="J585"/>
  <c r="J584"/>
  <c r="F584"/>
  <c r="G584" s="1"/>
  <c r="F586" s="1"/>
  <c r="G586" s="1"/>
  <c r="J583"/>
  <c r="J582"/>
  <c r="J581"/>
  <c r="F581"/>
  <c r="G581" s="1"/>
  <c r="F583" s="1"/>
  <c r="G583" s="1"/>
  <c r="J580"/>
  <c r="J579"/>
  <c r="J578"/>
  <c r="F578"/>
  <c r="G578" s="1"/>
  <c r="F580" s="1"/>
  <c r="G580" s="1"/>
  <c r="J577"/>
  <c r="J576"/>
  <c r="J575"/>
  <c r="F575"/>
  <c r="G575" s="1"/>
  <c r="F577" s="1"/>
  <c r="G577"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56"/>
  <c r="J555"/>
  <c r="J554"/>
  <c r="F554"/>
  <c r="G554" s="1"/>
  <c r="F556" s="1"/>
  <c r="G556" s="1"/>
  <c r="J553"/>
  <c r="J552"/>
  <c r="J551"/>
  <c r="F551"/>
  <c r="G551" s="1"/>
  <c r="F553" s="1"/>
  <c r="G553" s="1"/>
  <c r="J550"/>
  <c r="J549"/>
  <c r="J548"/>
  <c r="F548"/>
  <c r="G548" s="1"/>
  <c r="F550" s="1"/>
  <c r="G550" s="1"/>
  <c r="J547"/>
  <c r="J546"/>
  <c r="J545"/>
  <c r="F545"/>
  <c r="G545" s="1"/>
  <c r="J535"/>
  <c r="J534"/>
  <c r="J533"/>
  <c r="G533"/>
  <c r="F534" s="1"/>
  <c r="G534" s="1"/>
  <c r="J532"/>
  <c r="G532"/>
  <c r="J531"/>
  <c r="G531"/>
  <c r="J530"/>
  <c r="G530"/>
  <c r="J529"/>
  <c r="J528"/>
  <c r="J527"/>
  <c r="G527"/>
  <c r="F528" s="1"/>
  <c r="G528"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96"/>
  <c r="J495"/>
  <c r="J494"/>
  <c r="F494"/>
  <c r="G494" s="1"/>
  <c r="F496" s="1"/>
  <c r="G496" s="1"/>
  <c r="J493"/>
  <c r="J492"/>
  <c r="J491"/>
  <c r="F491"/>
  <c r="G491" s="1"/>
  <c r="F493" s="1"/>
  <c r="G493" s="1"/>
  <c r="J490"/>
  <c r="J489"/>
  <c r="J488"/>
  <c r="F488"/>
  <c r="G488" s="1"/>
  <c r="F490" s="1"/>
  <c r="G490" s="1"/>
  <c r="J487"/>
  <c r="J486"/>
  <c r="J485"/>
  <c r="F485"/>
  <c r="G485" s="1"/>
  <c r="J475"/>
  <c r="J474"/>
  <c r="J473"/>
  <c r="G473"/>
  <c r="F475" s="1"/>
  <c r="G475" s="1"/>
  <c r="J472"/>
  <c r="G472"/>
  <c r="J471"/>
  <c r="G471"/>
  <c r="J470"/>
  <c r="G470"/>
  <c r="J469"/>
  <c r="J468"/>
  <c r="J467"/>
  <c r="G467"/>
  <c r="F469" s="1"/>
  <c r="G469"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F442" s="1"/>
  <c r="G442" s="1"/>
  <c r="J439"/>
  <c r="J438"/>
  <c r="J437"/>
  <c r="F437"/>
  <c r="G437" s="1"/>
  <c r="F439" s="1"/>
  <c r="G439" s="1"/>
  <c r="J436"/>
  <c r="J435"/>
  <c r="J434"/>
  <c r="F434"/>
  <c r="G434" s="1"/>
  <c r="F436" s="1"/>
  <c r="G436" s="1"/>
  <c r="J433"/>
  <c r="J432"/>
  <c r="J431"/>
  <c r="F431"/>
  <c r="G431" s="1"/>
  <c r="F433" s="1"/>
  <c r="G433" s="1"/>
  <c r="J430"/>
  <c r="J429"/>
  <c r="J428"/>
  <c r="F428"/>
  <c r="G428" s="1"/>
  <c r="F430" s="1"/>
  <c r="G430" s="1"/>
  <c r="J427"/>
  <c r="J426"/>
  <c r="J425"/>
  <c r="F425"/>
  <c r="G425" s="1"/>
  <c r="F427" s="1"/>
  <c r="G427" s="1"/>
  <c r="J415"/>
  <c r="J414"/>
  <c r="J413"/>
  <c r="G413"/>
  <c r="F414" s="1"/>
  <c r="G414" s="1"/>
  <c r="J412"/>
  <c r="G412"/>
  <c r="J411"/>
  <c r="G411"/>
  <c r="J410"/>
  <c r="G410"/>
  <c r="J409"/>
  <c r="J408"/>
  <c r="J407"/>
  <c r="G407"/>
  <c r="F409" s="1"/>
  <c r="G409" s="1"/>
  <c r="J406"/>
  <c r="J405"/>
  <c r="J404"/>
  <c r="F404"/>
  <c r="G404" s="1"/>
  <c r="F406" s="1"/>
  <c r="G406" s="1"/>
  <c r="J403"/>
  <c r="J402"/>
  <c r="J401"/>
  <c r="F401"/>
  <c r="G401" s="1"/>
  <c r="F403" s="1"/>
  <c r="G403" s="1"/>
  <c r="J400"/>
  <c r="J399"/>
  <c r="J398"/>
  <c r="F398"/>
  <c r="G398" s="1"/>
  <c r="F400" s="1"/>
  <c r="G400" s="1"/>
  <c r="J397"/>
  <c r="J396"/>
  <c r="J395"/>
  <c r="F395"/>
  <c r="G395" s="1"/>
  <c r="F397" s="1"/>
  <c r="G397" s="1"/>
  <c r="J394"/>
  <c r="J393"/>
  <c r="J392"/>
  <c r="F392"/>
  <c r="G392" s="1"/>
  <c r="F394" s="1"/>
  <c r="G394" s="1"/>
  <c r="J391"/>
  <c r="J390"/>
  <c r="J389"/>
  <c r="F389"/>
  <c r="G389" s="1"/>
  <c r="F391" s="1"/>
  <c r="G391" s="1"/>
  <c r="J388"/>
  <c r="J387"/>
  <c r="J386"/>
  <c r="F386"/>
  <c r="G386" s="1"/>
  <c r="F388" s="1"/>
  <c r="G388" s="1"/>
  <c r="J385"/>
  <c r="J384"/>
  <c r="J383"/>
  <c r="F383"/>
  <c r="G383" s="1"/>
  <c r="F385" s="1"/>
  <c r="G385" s="1"/>
  <c r="J382"/>
  <c r="J381"/>
  <c r="J380"/>
  <c r="F380"/>
  <c r="G380" s="1"/>
  <c r="F382" s="1"/>
  <c r="G382" s="1"/>
  <c r="J379"/>
  <c r="J378"/>
  <c r="J377"/>
  <c r="F377"/>
  <c r="G377" s="1"/>
  <c r="F379" s="1"/>
  <c r="G379" s="1"/>
  <c r="J376"/>
  <c r="J375"/>
  <c r="J374"/>
  <c r="F374"/>
  <c r="G374" s="1"/>
  <c r="F376" s="1"/>
  <c r="G376" s="1"/>
  <c r="J373"/>
  <c r="J372"/>
  <c r="J371"/>
  <c r="F371"/>
  <c r="G371" s="1"/>
  <c r="F373" s="1"/>
  <c r="G373" s="1"/>
  <c r="J370"/>
  <c r="J369"/>
  <c r="J368"/>
  <c r="F368"/>
  <c r="G368" s="1"/>
  <c r="F370" s="1"/>
  <c r="G370" s="1"/>
  <c r="J367"/>
  <c r="J366"/>
  <c r="J365"/>
  <c r="F365"/>
  <c r="G365" s="1"/>
  <c r="F367" s="1"/>
  <c r="G367" s="1"/>
  <c r="J355"/>
  <c r="J354"/>
  <c r="J353"/>
  <c r="G353"/>
  <c r="F354" s="1"/>
  <c r="G354" s="1"/>
  <c r="J352"/>
  <c r="G352"/>
  <c r="J351"/>
  <c r="G351"/>
  <c r="J350"/>
  <c r="G350"/>
  <c r="J349"/>
  <c r="J348"/>
  <c r="J347"/>
  <c r="G347"/>
  <c r="F348" s="1"/>
  <c r="G348"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16"/>
  <c r="J315"/>
  <c r="J314"/>
  <c r="F314"/>
  <c r="G314" s="1"/>
  <c r="J313"/>
  <c r="J312"/>
  <c r="J311"/>
  <c r="F311"/>
  <c r="G311" s="1"/>
  <c r="J310"/>
  <c r="J309"/>
  <c r="J308"/>
  <c r="F308"/>
  <c r="G308" s="1"/>
  <c r="J307"/>
  <c r="J306"/>
  <c r="J305"/>
  <c r="F305"/>
  <c r="G305" s="1"/>
  <c r="J295"/>
  <c r="J294"/>
  <c r="J293"/>
  <c r="G293"/>
  <c r="F295" s="1"/>
  <c r="G295" s="1"/>
  <c r="J292"/>
  <c r="G292"/>
  <c r="J291"/>
  <c r="G291"/>
  <c r="J290"/>
  <c r="G290"/>
  <c r="J289"/>
  <c r="J288"/>
  <c r="J287"/>
  <c r="G287"/>
  <c r="F289" s="1"/>
  <c r="G289"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56"/>
  <c r="J255"/>
  <c r="J254"/>
  <c r="F254"/>
  <c r="G254" s="1"/>
  <c r="J253"/>
  <c r="J252"/>
  <c r="J251"/>
  <c r="F251"/>
  <c r="G251" s="1"/>
  <c r="J250"/>
  <c r="J249"/>
  <c r="J248"/>
  <c r="F248"/>
  <c r="G248" s="1"/>
  <c r="J247"/>
  <c r="J246"/>
  <c r="J245"/>
  <c r="F245"/>
  <c r="G245" s="1"/>
  <c r="J235"/>
  <c r="J234"/>
  <c r="J233"/>
  <c r="G233"/>
  <c r="F234" s="1"/>
  <c r="G234" s="1"/>
  <c r="J232"/>
  <c r="G232"/>
  <c r="J231"/>
  <c r="G231"/>
  <c r="J230"/>
  <c r="G230"/>
  <c r="J229"/>
  <c r="J228"/>
  <c r="J227"/>
  <c r="G227"/>
  <c r="F228" s="1"/>
  <c r="G228" s="1"/>
  <c r="J226"/>
  <c r="J225"/>
  <c r="J224"/>
  <c r="F224"/>
  <c r="G224" s="1"/>
  <c r="J223"/>
  <c r="J222"/>
  <c r="J221"/>
  <c r="F221"/>
  <c r="G221" s="1"/>
  <c r="J220"/>
  <c r="J219"/>
  <c r="J218"/>
  <c r="F218"/>
  <c r="G218" s="1"/>
  <c r="J217"/>
  <c r="J216"/>
  <c r="J215"/>
  <c r="F215"/>
  <c r="G215" s="1"/>
  <c r="J214"/>
  <c r="J213"/>
  <c r="J212"/>
  <c r="F212"/>
  <c r="G212" s="1"/>
  <c r="J211"/>
  <c r="J210"/>
  <c r="J209"/>
  <c r="F209"/>
  <c r="G209" s="1"/>
  <c r="J208"/>
  <c r="J207"/>
  <c r="J206"/>
  <c r="F206"/>
  <c r="G206" s="1"/>
  <c r="J205"/>
  <c r="J204"/>
  <c r="J203"/>
  <c r="F203"/>
  <c r="G203" s="1"/>
  <c r="J202"/>
  <c r="J201"/>
  <c r="J200"/>
  <c r="F200"/>
  <c r="G200" s="1"/>
  <c r="J199"/>
  <c r="J198"/>
  <c r="J197"/>
  <c r="F197"/>
  <c r="G197" s="1"/>
  <c r="J196"/>
  <c r="J195"/>
  <c r="J194"/>
  <c r="F194"/>
  <c r="G194" s="1"/>
  <c r="J193"/>
  <c r="J192"/>
  <c r="J191"/>
  <c r="F191"/>
  <c r="G191" s="1"/>
  <c r="J190"/>
  <c r="J189"/>
  <c r="J188"/>
  <c r="F188"/>
  <c r="G188" s="1"/>
  <c r="J187"/>
  <c r="J186"/>
  <c r="J185"/>
  <c r="F185"/>
  <c r="G185" s="1"/>
  <c r="J175"/>
  <c r="J174"/>
  <c r="J173"/>
  <c r="G173"/>
  <c r="F175" s="1"/>
  <c r="G175" s="1"/>
  <c r="J172"/>
  <c r="G172"/>
  <c r="J171"/>
  <c r="G171"/>
  <c r="J170"/>
  <c r="G170"/>
  <c r="J169"/>
  <c r="J168"/>
  <c r="J167"/>
  <c r="G167"/>
  <c r="F169" s="1"/>
  <c r="G169" s="1"/>
  <c r="J166"/>
  <c r="J165"/>
  <c r="J164"/>
  <c r="F164"/>
  <c r="G164" s="1"/>
  <c r="J163"/>
  <c r="J162"/>
  <c r="J161"/>
  <c r="F161"/>
  <c r="G161" s="1"/>
  <c r="J160"/>
  <c r="J159"/>
  <c r="J158"/>
  <c r="F158"/>
  <c r="G158" s="1"/>
  <c r="J157"/>
  <c r="J156"/>
  <c r="J155"/>
  <c r="F155"/>
  <c r="G155" s="1"/>
  <c r="J154"/>
  <c r="J153"/>
  <c r="J152"/>
  <c r="F152"/>
  <c r="G152" s="1"/>
  <c r="J151"/>
  <c r="J150"/>
  <c r="J149"/>
  <c r="F149"/>
  <c r="G149" s="1"/>
  <c r="J148"/>
  <c r="J147"/>
  <c r="J146"/>
  <c r="F146"/>
  <c r="G146" s="1"/>
  <c r="J145"/>
  <c r="J144"/>
  <c r="J143"/>
  <c r="F143"/>
  <c r="G143" s="1"/>
  <c r="J142"/>
  <c r="J141"/>
  <c r="J140"/>
  <c r="F140"/>
  <c r="G140" s="1"/>
  <c r="J139"/>
  <c r="J138"/>
  <c r="J137"/>
  <c r="F137"/>
  <c r="G137" s="1"/>
  <c r="J136"/>
  <c r="J135"/>
  <c r="J134"/>
  <c r="F134"/>
  <c r="G134" s="1"/>
  <c r="J133"/>
  <c r="J132"/>
  <c r="J131"/>
  <c r="F131"/>
  <c r="G131" s="1"/>
  <c r="J130"/>
  <c r="J129"/>
  <c r="J128"/>
  <c r="F128"/>
  <c r="G128" s="1"/>
  <c r="J127"/>
  <c r="J126"/>
  <c r="J125"/>
  <c r="F125"/>
  <c r="G125" s="1"/>
  <c r="J115"/>
  <c r="J114"/>
  <c r="J113"/>
  <c r="G113"/>
  <c r="F114" s="1"/>
  <c r="G114" s="1"/>
  <c r="J112"/>
  <c r="G112"/>
  <c r="J111"/>
  <c r="G111"/>
  <c r="J110"/>
  <c r="G110"/>
  <c r="J109"/>
  <c r="J108"/>
  <c r="J107"/>
  <c r="G107"/>
  <c r="F108" s="1"/>
  <c r="G108"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F79" s="1"/>
  <c r="G79" s="1"/>
  <c r="J76"/>
  <c r="J75"/>
  <c r="J74"/>
  <c r="F74"/>
  <c r="G74" s="1"/>
  <c r="F76" s="1"/>
  <c r="G76" s="1"/>
  <c r="J73"/>
  <c r="J72"/>
  <c r="J71"/>
  <c r="F71"/>
  <c r="G71" s="1"/>
  <c r="F73" s="1"/>
  <c r="G73" s="1"/>
  <c r="J70"/>
  <c r="J69"/>
  <c r="J68"/>
  <c r="F68"/>
  <c r="G68" s="1"/>
  <c r="F70" s="1"/>
  <c r="G70" s="1"/>
  <c r="J67"/>
  <c r="J66"/>
  <c r="J65"/>
  <c r="F65"/>
  <c r="G65" s="1"/>
  <c r="J55"/>
  <c r="J54"/>
  <c r="J53"/>
  <c r="G53"/>
  <c r="F55" s="1"/>
  <c r="G55" s="1"/>
  <c r="J52"/>
  <c r="J51"/>
  <c r="J50"/>
  <c r="F50"/>
  <c r="G50" s="1"/>
  <c r="F52" s="1"/>
  <c r="G52" s="1"/>
  <c r="J49"/>
  <c r="J48"/>
  <c r="J47"/>
  <c r="F47"/>
  <c r="G47" s="1"/>
  <c r="F49" s="1"/>
  <c r="G49" s="1"/>
  <c r="J46"/>
  <c r="J45"/>
  <c r="J44"/>
  <c r="F44"/>
  <c r="G44" s="1"/>
  <c r="F46" s="1"/>
  <c r="G46" s="1"/>
  <c r="J34"/>
  <c r="J33"/>
  <c r="J32"/>
  <c r="F32"/>
  <c r="G32" s="1"/>
  <c r="F34" s="1"/>
  <c r="G34" s="1"/>
  <c r="J31"/>
  <c r="J30"/>
  <c r="J29"/>
  <c r="F29"/>
  <c r="G29" s="1"/>
  <c r="F31" s="1"/>
  <c r="G31" s="1"/>
  <c r="K146" i="7"/>
  <c r="K145"/>
  <c r="K144"/>
  <c r="K143"/>
  <c r="K142"/>
  <c r="K141"/>
  <c r="K140"/>
  <c r="K139"/>
  <c r="K138"/>
  <c r="J146"/>
  <c r="F146"/>
  <c r="G146" s="1"/>
  <c r="J145"/>
  <c r="G145"/>
  <c r="J144"/>
  <c r="E144"/>
  <c r="G144" s="1"/>
  <c r="J143"/>
  <c r="E143"/>
  <c r="G143" s="1"/>
  <c r="J142"/>
  <c r="E142"/>
  <c r="G142" s="1"/>
  <c r="J141"/>
  <c r="G141"/>
  <c r="J140"/>
  <c r="G140"/>
  <c r="J139"/>
  <c r="E139"/>
  <c r="G139" s="1"/>
  <c r="J138"/>
  <c r="E138"/>
  <c r="G138" s="1"/>
  <c r="J137"/>
  <c r="G137"/>
  <c r="J127"/>
  <c r="F127"/>
  <c r="G127" s="1"/>
  <c r="J117"/>
  <c r="F117"/>
  <c r="G117" s="1"/>
  <c r="J116"/>
  <c r="G116"/>
  <c r="J106"/>
  <c r="F106"/>
  <c r="G106" s="1"/>
  <c r="J105"/>
  <c r="G105"/>
  <c r="J104"/>
  <c r="E104"/>
  <c r="G104" s="1"/>
  <c r="J103"/>
  <c r="G103"/>
  <c r="J93"/>
  <c r="F93"/>
  <c r="G93" s="1"/>
  <c r="J92"/>
  <c r="G92"/>
  <c r="J82"/>
  <c r="F82"/>
  <c r="G82" s="1"/>
  <c r="J81"/>
  <c r="E81"/>
  <c r="G81" s="1"/>
  <c r="J80"/>
  <c r="E80"/>
  <c r="G80" s="1"/>
  <c r="J79"/>
  <c r="G79"/>
  <c r="J69"/>
  <c r="F69"/>
  <c r="G69" s="1"/>
  <c r="J68"/>
  <c r="G68"/>
  <c r="J43"/>
  <c r="F43"/>
  <c r="G43" s="1"/>
  <c r="J42"/>
  <c r="E42"/>
  <c r="G42" s="1"/>
  <c r="J41"/>
  <c r="G41"/>
  <c r="J31"/>
  <c r="F31"/>
  <c r="G31" s="1"/>
  <c r="J30"/>
  <c r="G30"/>
  <c r="D293" i="12" l="1"/>
  <c r="J23" i="24" s="1"/>
  <c r="P23" s="1"/>
  <c r="F288" i="8"/>
  <c r="G288" s="1"/>
  <c r="D43" i="12"/>
  <c r="L13" i="24" s="1"/>
  <c r="P13" s="1"/>
  <c r="D84" i="9"/>
  <c r="D100"/>
  <c r="D157"/>
  <c r="D47"/>
  <c r="D60"/>
  <c r="D176"/>
  <c r="D96" i="43"/>
  <c r="D30" i="42"/>
  <c r="L27" i="24" s="1"/>
  <c r="P27" s="1"/>
  <c r="D90" i="42"/>
  <c r="D40"/>
  <c r="L28" i="24" s="1"/>
  <c r="P28" s="1"/>
  <c r="D41" i="40"/>
  <c r="D88" i="12"/>
  <c r="J15" i="24" s="1"/>
  <c r="P15" s="1"/>
  <c r="D120" i="12"/>
  <c r="D341"/>
  <c r="N14" i="28" s="1"/>
  <c r="P14" s="1"/>
  <c r="D362" i="12"/>
  <c r="D420"/>
  <c r="N24" i="30" s="1"/>
  <c r="P24" s="1"/>
  <c r="D190" i="12"/>
  <c r="D385"/>
  <c r="J20" i="30" s="1"/>
  <c r="P20" s="1"/>
  <c r="D409" i="12"/>
  <c r="L23" i="30" s="1"/>
  <c r="P23" s="1"/>
  <c r="D138" i="9"/>
  <c r="D72"/>
  <c r="D24"/>
  <c r="H14" i="24" s="1"/>
  <c r="P14" s="1"/>
  <c r="D34" i="9"/>
  <c r="D119"/>
  <c r="F174" i="8"/>
  <c r="G174" s="1"/>
  <c r="F54"/>
  <c r="G54" s="1"/>
  <c r="F168"/>
  <c r="G168" s="1"/>
  <c r="F294"/>
  <c r="G294" s="1"/>
  <c r="F109"/>
  <c r="G109" s="1"/>
  <c r="F115"/>
  <c r="G115" s="1"/>
  <c r="F229"/>
  <c r="G229" s="1"/>
  <c r="F235"/>
  <c r="G235" s="1"/>
  <c r="F349"/>
  <c r="G349" s="1"/>
  <c r="F355"/>
  <c r="G355" s="1"/>
  <c r="F415"/>
  <c r="G415" s="1"/>
  <c r="F468"/>
  <c r="G468" s="1"/>
  <c r="F474"/>
  <c r="G474" s="1"/>
  <c r="F529"/>
  <c r="G529" s="1"/>
  <c r="F535"/>
  <c r="G535" s="1"/>
  <c r="F588"/>
  <c r="G588" s="1"/>
  <c r="F594"/>
  <c r="G594" s="1"/>
  <c r="F708"/>
  <c r="G708" s="1"/>
  <c r="F714"/>
  <c r="G714" s="1"/>
  <c r="F769"/>
  <c r="G769" s="1"/>
  <c r="F775"/>
  <c r="G775" s="1"/>
  <c r="F828"/>
  <c r="G828" s="1"/>
  <c r="F834"/>
  <c r="G834" s="1"/>
  <c r="F609"/>
  <c r="G609" s="1"/>
  <c r="F645"/>
  <c r="G645" s="1"/>
  <c r="F618"/>
  <c r="G618" s="1"/>
  <c r="D85" i="7"/>
  <c r="H8" i="29" s="1"/>
  <c r="P8" s="1"/>
  <c r="D23" i="10"/>
  <c r="D35"/>
  <c r="J18" i="24" s="1"/>
  <c r="P18" s="1"/>
  <c r="D85" i="10"/>
  <c r="D149"/>
  <c r="D172"/>
  <c r="D60"/>
  <c r="J20" i="24" s="1"/>
  <c r="P20" s="1"/>
  <c r="D109" i="10"/>
  <c r="F636" i="8"/>
  <c r="G636" s="1"/>
  <c r="F672"/>
  <c r="G672" s="1"/>
  <c r="F624"/>
  <c r="G624" s="1"/>
  <c r="F621"/>
  <c r="G621" s="1"/>
  <c r="F630"/>
  <c r="G630" s="1"/>
  <c r="F613"/>
  <c r="G613" s="1"/>
  <c r="F634"/>
  <c r="G634" s="1"/>
  <c r="F642"/>
  <c r="G642" s="1"/>
  <c r="D34" i="7"/>
  <c r="D22"/>
  <c r="L11" i="50" s="1"/>
  <c r="D96" i="7"/>
  <c r="D72"/>
  <c r="L16" i="22" s="1"/>
  <c r="P16" s="1"/>
  <c r="D120" i="7"/>
  <c r="J27" i="30" s="1"/>
  <c r="P27" s="1"/>
  <c r="D130" i="7"/>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80" i="42"/>
  <c r="L30" i="24" s="1"/>
  <c r="P30" s="1"/>
  <c r="D70" i="42"/>
  <c r="L29" i="24" s="1"/>
  <c r="P29" s="1"/>
  <c r="P104" i="43"/>
  <c r="P106"/>
  <c r="P108"/>
  <c r="P110"/>
  <c r="P112"/>
  <c r="P114"/>
  <c r="P116"/>
  <c r="P118"/>
  <c r="P120"/>
  <c r="P122"/>
  <c r="P124"/>
  <c r="P126"/>
  <c r="P128"/>
  <c r="P130"/>
  <c r="P132"/>
  <c r="P134"/>
  <c r="P136"/>
  <c r="P93"/>
  <c r="D351" i="12"/>
  <c r="D75"/>
  <c r="J11" i="21" s="1"/>
  <c r="P11" s="1"/>
  <c r="D109" i="12"/>
  <c r="H11" i="28" s="1"/>
  <c r="P11" s="1"/>
  <c r="D132" i="12"/>
  <c r="J25" i="22" s="1"/>
  <c r="P25" s="1"/>
  <c r="D266" i="12"/>
  <c r="H35" i="24" s="1"/>
  <c r="P35" s="1"/>
  <c r="D159" i="12"/>
  <c r="L17" i="24" s="1"/>
  <c r="P17" s="1"/>
  <c r="D281" i="12"/>
  <c r="J17" i="21" s="1"/>
  <c r="P17" s="1"/>
  <c r="D397" i="12"/>
  <c r="J22" i="30" s="1"/>
  <c r="P22" s="1"/>
  <c r="D126" i="10"/>
  <c r="D97"/>
  <c r="D73"/>
  <c r="J21" i="24" s="1"/>
  <c r="P21" s="1"/>
  <c r="D47" i="10"/>
  <c r="F628" i="8"/>
  <c r="G628" s="1"/>
  <c r="F640"/>
  <c r="G640" s="1"/>
  <c r="F670"/>
  <c r="G670" s="1"/>
  <c r="F676"/>
  <c r="G676" s="1"/>
  <c r="F675"/>
  <c r="G675" s="1"/>
  <c r="F682"/>
  <c r="G682" s="1"/>
  <c r="F681"/>
  <c r="G681" s="1"/>
  <c r="F616"/>
  <c r="G616" s="1"/>
  <c r="F607"/>
  <c r="G607" s="1"/>
  <c r="F649"/>
  <c r="G649" s="1"/>
  <c r="F648"/>
  <c r="G648" s="1"/>
  <c r="F727"/>
  <c r="G727" s="1"/>
  <c r="F726"/>
  <c r="G726" s="1"/>
  <c r="F655"/>
  <c r="G655" s="1"/>
  <c r="F654"/>
  <c r="G654" s="1"/>
  <c r="F667"/>
  <c r="G667" s="1"/>
  <c r="F679"/>
  <c r="G679" s="1"/>
  <c r="F678"/>
  <c r="G678" s="1"/>
  <c r="F787"/>
  <c r="G787" s="1"/>
  <c r="F786"/>
  <c r="G786" s="1"/>
  <c r="F688"/>
  <c r="G688" s="1"/>
  <c r="F687"/>
  <c r="G687" s="1"/>
  <c r="F694"/>
  <c r="G694" s="1"/>
  <c r="F693"/>
  <c r="G693" s="1"/>
  <c r="F700"/>
  <c r="G700" s="1"/>
  <c r="F699"/>
  <c r="G699" s="1"/>
  <c r="F706"/>
  <c r="G706" s="1"/>
  <c r="F705"/>
  <c r="G705" s="1"/>
  <c r="F730"/>
  <c r="G730" s="1"/>
  <c r="F729"/>
  <c r="G729" s="1"/>
  <c r="F736"/>
  <c r="G736" s="1"/>
  <c r="F735"/>
  <c r="G735" s="1"/>
  <c r="F742"/>
  <c r="G742" s="1"/>
  <c r="F741"/>
  <c r="G741" s="1"/>
  <c r="F748"/>
  <c r="G748" s="1"/>
  <c r="F747"/>
  <c r="G747" s="1"/>
  <c r="F754"/>
  <c r="G754" s="1"/>
  <c r="F753"/>
  <c r="G753" s="1"/>
  <c r="F760"/>
  <c r="G760" s="1"/>
  <c r="F759"/>
  <c r="G759" s="1"/>
  <c r="F766"/>
  <c r="G766" s="1"/>
  <c r="F765"/>
  <c r="G765" s="1"/>
  <c r="F790"/>
  <c r="G790" s="1"/>
  <c r="F789"/>
  <c r="G789" s="1"/>
  <c r="F796"/>
  <c r="G796" s="1"/>
  <c r="F795"/>
  <c r="G795" s="1"/>
  <c r="F802"/>
  <c r="G802" s="1"/>
  <c r="F801"/>
  <c r="G801" s="1"/>
  <c r="F808"/>
  <c r="G808" s="1"/>
  <c r="F807"/>
  <c r="G807" s="1"/>
  <c r="F814"/>
  <c r="G814" s="1"/>
  <c r="F813"/>
  <c r="G813" s="1"/>
  <c r="F820"/>
  <c r="G820" s="1"/>
  <c r="F819"/>
  <c r="G819" s="1"/>
  <c r="F826"/>
  <c r="G826" s="1"/>
  <c r="F825"/>
  <c r="G825" s="1"/>
  <c r="F685"/>
  <c r="G685" s="1"/>
  <c r="F684"/>
  <c r="G684" s="1"/>
  <c r="F697"/>
  <c r="G697" s="1"/>
  <c r="F696"/>
  <c r="G696" s="1"/>
  <c r="F733"/>
  <c r="G733" s="1"/>
  <c r="F732"/>
  <c r="G732" s="1"/>
  <c r="F739"/>
  <c r="G739" s="1"/>
  <c r="F738"/>
  <c r="G738" s="1"/>
  <c r="F745"/>
  <c r="G745" s="1"/>
  <c r="F744"/>
  <c r="G744" s="1"/>
  <c r="F751"/>
  <c r="G751" s="1"/>
  <c r="F750"/>
  <c r="G750" s="1"/>
  <c r="F757"/>
  <c r="G757" s="1"/>
  <c r="F756"/>
  <c r="G756" s="1"/>
  <c r="F763"/>
  <c r="G763" s="1"/>
  <c r="F762"/>
  <c r="G762" s="1"/>
  <c r="F793"/>
  <c r="G793" s="1"/>
  <c r="F792"/>
  <c r="G792" s="1"/>
  <c r="F799"/>
  <c r="G799" s="1"/>
  <c r="F798"/>
  <c r="G798" s="1"/>
  <c r="F805"/>
  <c r="G805" s="1"/>
  <c r="F804"/>
  <c r="G804" s="1"/>
  <c r="F811"/>
  <c r="G811" s="1"/>
  <c r="F810"/>
  <c r="G810" s="1"/>
  <c r="F817"/>
  <c r="G817" s="1"/>
  <c r="F816"/>
  <c r="G816" s="1"/>
  <c r="F823"/>
  <c r="G823" s="1"/>
  <c r="F822"/>
  <c r="G822" s="1"/>
  <c r="F691"/>
  <c r="G691" s="1"/>
  <c r="F690"/>
  <c r="G690" s="1"/>
  <c r="F703"/>
  <c r="G703" s="1"/>
  <c r="F702"/>
  <c r="G702" s="1"/>
  <c r="F448"/>
  <c r="G448" s="1"/>
  <c r="F447"/>
  <c r="G447" s="1"/>
  <c r="F454"/>
  <c r="G454" s="1"/>
  <c r="F453"/>
  <c r="G453" s="1"/>
  <c r="F460"/>
  <c r="G460" s="1"/>
  <c r="F459"/>
  <c r="G459" s="1"/>
  <c r="F466"/>
  <c r="G466" s="1"/>
  <c r="F465"/>
  <c r="G465" s="1"/>
  <c r="F408"/>
  <c r="G408" s="1"/>
  <c r="F366"/>
  <c r="G366" s="1"/>
  <c r="F369"/>
  <c r="G369" s="1"/>
  <c r="F372"/>
  <c r="G372" s="1"/>
  <c r="F375"/>
  <c r="G375" s="1"/>
  <c r="F378"/>
  <c r="G378" s="1"/>
  <c r="F381"/>
  <c r="G381" s="1"/>
  <c r="F384"/>
  <c r="G384" s="1"/>
  <c r="F387"/>
  <c r="G387" s="1"/>
  <c r="F390"/>
  <c r="G390" s="1"/>
  <c r="F393"/>
  <c r="G393" s="1"/>
  <c r="F396"/>
  <c r="G396" s="1"/>
  <c r="F399"/>
  <c r="G399" s="1"/>
  <c r="F402"/>
  <c r="G402" s="1"/>
  <c r="F405"/>
  <c r="G405" s="1"/>
  <c r="F426"/>
  <c r="G426" s="1"/>
  <c r="F429"/>
  <c r="G429" s="1"/>
  <c r="F432"/>
  <c r="G432" s="1"/>
  <c r="F435"/>
  <c r="G435" s="1"/>
  <c r="F438"/>
  <c r="G438" s="1"/>
  <c r="F441"/>
  <c r="G441" s="1"/>
  <c r="F445"/>
  <c r="G445" s="1"/>
  <c r="F444"/>
  <c r="G444" s="1"/>
  <c r="F451"/>
  <c r="G451" s="1"/>
  <c r="F450"/>
  <c r="G450" s="1"/>
  <c r="F457"/>
  <c r="G457" s="1"/>
  <c r="F456"/>
  <c r="G456" s="1"/>
  <c r="F463"/>
  <c r="G463" s="1"/>
  <c r="F462"/>
  <c r="G462" s="1"/>
  <c r="F487"/>
  <c r="G487" s="1"/>
  <c r="F486"/>
  <c r="G486" s="1"/>
  <c r="F547"/>
  <c r="G547" s="1"/>
  <c r="F546"/>
  <c r="G546" s="1"/>
  <c r="F489"/>
  <c r="G489" s="1"/>
  <c r="F492"/>
  <c r="G492" s="1"/>
  <c r="F495"/>
  <c r="G495" s="1"/>
  <c r="F498"/>
  <c r="G498" s="1"/>
  <c r="F501"/>
  <c r="G501" s="1"/>
  <c r="F504"/>
  <c r="G504" s="1"/>
  <c r="F507"/>
  <c r="G507" s="1"/>
  <c r="F510"/>
  <c r="G510" s="1"/>
  <c r="F513"/>
  <c r="G513" s="1"/>
  <c r="F516"/>
  <c r="G516" s="1"/>
  <c r="F519"/>
  <c r="G519" s="1"/>
  <c r="F522"/>
  <c r="G522" s="1"/>
  <c r="F525"/>
  <c r="G525" s="1"/>
  <c r="F549"/>
  <c r="G549" s="1"/>
  <c r="F552"/>
  <c r="G552" s="1"/>
  <c r="F555"/>
  <c r="G555" s="1"/>
  <c r="F558"/>
  <c r="G558" s="1"/>
  <c r="F561"/>
  <c r="G561" s="1"/>
  <c r="F564"/>
  <c r="G564" s="1"/>
  <c r="F567"/>
  <c r="G567" s="1"/>
  <c r="F570"/>
  <c r="G570" s="1"/>
  <c r="F573"/>
  <c r="G573" s="1"/>
  <c r="F576"/>
  <c r="G576" s="1"/>
  <c r="F579"/>
  <c r="G579" s="1"/>
  <c r="F582"/>
  <c r="G582" s="1"/>
  <c r="F585"/>
  <c r="G585" s="1"/>
  <c r="F133"/>
  <c r="G133" s="1"/>
  <c r="F132"/>
  <c r="G132" s="1"/>
  <c r="F139"/>
  <c r="G139" s="1"/>
  <c r="F138"/>
  <c r="G138" s="1"/>
  <c r="F151"/>
  <c r="G151" s="1"/>
  <c r="F150"/>
  <c r="G150" s="1"/>
  <c r="F157"/>
  <c r="G157" s="1"/>
  <c r="F156"/>
  <c r="G156" s="1"/>
  <c r="F163"/>
  <c r="G163" s="1"/>
  <c r="F162"/>
  <c r="G162" s="1"/>
  <c r="F187"/>
  <c r="G187" s="1"/>
  <c r="F186"/>
  <c r="G186" s="1"/>
  <c r="F130"/>
  <c r="G130" s="1"/>
  <c r="F129"/>
  <c r="G129" s="1"/>
  <c r="F136"/>
  <c r="G136" s="1"/>
  <c r="F135"/>
  <c r="G135" s="1"/>
  <c r="F142"/>
  <c r="G142" s="1"/>
  <c r="F141"/>
  <c r="G141" s="1"/>
  <c r="F148"/>
  <c r="G148" s="1"/>
  <c r="F147"/>
  <c r="G147" s="1"/>
  <c r="F154"/>
  <c r="G154" s="1"/>
  <c r="F153"/>
  <c r="G153" s="1"/>
  <c r="F160"/>
  <c r="G160" s="1"/>
  <c r="F159"/>
  <c r="G159" s="1"/>
  <c r="F166"/>
  <c r="G166" s="1"/>
  <c r="F165"/>
  <c r="G165" s="1"/>
  <c r="F193"/>
  <c r="G193" s="1"/>
  <c r="F192"/>
  <c r="G192" s="1"/>
  <c r="F199"/>
  <c r="G199" s="1"/>
  <c r="F198"/>
  <c r="G198" s="1"/>
  <c r="F145"/>
  <c r="G145" s="1"/>
  <c r="F144"/>
  <c r="G144" s="1"/>
  <c r="F127"/>
  <c r="G127" s="1"/>
  <c r="F126"/>
  <c r="G126" s="1"/>
  <c r="F190"/>
  <c r="G190" s="1"/>
  <c r="F189"/>
  <c r="G189" s="1"/>
  <c r="F196"/>
  <c r="G196" s="1"/>
  <c r="F195"/>
  <c r="G195" s="1"/>
  <c r="F202"/>
  <c r="G202" s="1"/>
  <c r="F201"/>
  <c r="G201" s="1"/>
  <c r="F247"/>
  <c r="G247" s="1"/>
  <c r="F246"/>
  <c r="G246" s="1"/>
  <c r="F310"/>
  <c r="G310" s="1"/>
  <c r="F309"/>
  <c r="G309" s="1"/>
  <c r="F316"/>
  <c r="G316" s="1"/>
  <c r="F315"/>
  <c r="G315" s="1"/>
  <c r="F322"/>
  <c r="G322" s="1"/>
  <c r="F321"/>
  <c r="G321" s="1"/>
  <c r="F328"/>
  <c r="G328" s="1"/>
  <c r="F327"/>
  <c r="G327" s="1"/>
  <c r="F334"/>
  <c r="G334" s="1"/>
  <c r="F333"/>
  <c r="G333" s="1"/>
  <c r="F340"/>
  <c r="G340" s="1"/>
  <c r="F339"/>
  <c r="G339" s="1"/>
  <c r="F346"/>
  <c r="G346" s="1"/>
  <c r="F345"/>
  <c r="G345" s="1"/>
  <c r="F208"/>
  <c r="G208" s="1"/>
  <c r="F207"/>
  <c r="G207" s="1"/>
  <c r="F214"/>
  <c r="G214" s="1"/>
  <c r="F213"/>
  <c r="G213" s="1"/>
  <c r="F220"/>
  <c r="G220" s="1"/>
  <c r="F219"/>
  <c r="G219" s="1"/>
  <c r="F226"/>
  <c r="G226" s="1"/>
  <c r="F225"/>
  <c r="G225" s="1"/>
  <c r="F250"/>
  <c r="G250" s="1"/>
  <c r="F249"/>
  <c r="G249" s="1"/>
  <c r="F256"/>
  <c r="G256" s="1"/>
  <c r="F255"/>
  <c r="G255" s="1"/>
  <c r="F262"/>
  <c r="G262" s="1"/>
  <c r="F261"/>
  <c r="G261" s="1"/>
  <c r="F268"/>
  <c r="G268" s="1"/>
  <c r="F267"/>
  <c r="G267" s="1"/>
  <c r="F274"/>
  <c r="G274" s="1"/>
  <c r="F273"/>
  <c r="G273" s="1"/>
  <c r="F280"/>
  <c r="G280" s="1"/>
  <c r="F279"/>
  <c r="G279" s="1"/>
  <c r="F286"/>
  <c r="G286" s="1"/>
  <c r="F285"/>
  <c r="G285" s="1"/>
  <c r="F313"/>
  <c r="G313" s="1"/>
  <c r="F312"/>
  <c r="G312" s="1"/>
  <c r="F319"/>
  <c r="G319" s="1"/>
  <c r="F318"/>
  <c r="G318" s="1"/>
  <c r="F325"/>
  <c r="G325" s="1"/>
  <c r="F324"/>
  <c r="G324" s="1"/>
  <c r="F331"/>
  <c r="G331" s="1"/>
  <c r="F330"/>
  <c r="G330" s="1"/>
  <c r="F337"/>
  <c r="G337" s="1"/>
  <c r="F336"/>
  <c r="G336" s="1"/>
  <c r="F343"/>
  <c r="G343" s="1"/>
  <c r="F342"/>
  <c r="G342" s="1"/>
  <c r="F205"/>
  <c r="G205" s="1"/>
  <c r="F204"/>
  <c r="G204" s="1"/>
  <c r="F211"/>
  <c r="G211" s="1"/>
  <c r="F210"/>
  <c r="G210" s="1"/>
  <c r="F217"/>
  <c r="G217" s="1"/>
  <c r="F216"/>
  <c r="G216" s="1"/>
  <c r="F223"/>
  <c r="G223" s="1"/>
  <c r="F222"/>
  <c r="G222" s="1"/>
  <c r="F253"/>
  <c r="G253" s="1"/>
  <c r="F252"/>
  <c r="G252" s="1"/>
  <c r="F259"/>
  <c r="G259" s="1"/>
  <c r="F258"/>
  <c r="G258" s="1"/>
  <c r="F265"/>
  <c r="G265" s="1"/>
  <c r="F264"/>
  <c r="G264" s="1"/>
  <c r="F271"/>
  <c r="G271" s="1"/>
  <c r="F270"/>
  <c r="G270" s="1"/>
  <c r="F277"/>
  <c r="G277" s="1"/>
  <c r="F276"/>
  <c r="G276" s="1"/>
  <c r="F283"/>
  <c r="G283" s="1"/>
  <c r="F282"/>
  <c r="G282" s="1"/>
  <c r="F307"/>
  <c r="G307" s="1"/>
  <c r="F306"/>
  <c r="G306" s="1"/>
  <c r="F67"/>
  <c r="G67" s="1"/>
  <c r="F66"/>
  <c r="G66" s="1"/>
  <c r="F45"/>
  <c r="G45" s="1"/>
  <c r="F48"/>
  <c r="G48" s="1"/>
  <c r="F51"/>
  <c r="G51" s="1"/>
  <c r="F69"/>
  <c r="G69" s="1"/>
  <c r="F72"/>
  <c r="G72" s="1"/>
  <c r="F75"/>
  <c r="G75" s="1"/>
  <c r="F78"/>
  <c r="G78" s="1"/>
  <c r="F81"/>
  <c r="G81" s="1"/>
  <c r="F84"/>
  <c r="G84" s="1"/>
  <c r="F87"/>
  <c r="G87" s="1"/>
  <c r="F90"/>
  <c r="G90" s="1"/>
  <c r="F93"/>
  <c r="G93" s="1"/>
  <c r="F96"/>
  <c r="G96" s="1"/>
  <c r="F99"/>
  <c r="G99" s="1"/>
  <c r="F102"/>
  <c r="G102" s="1"/>
  <c r="F105"/>
  <c r="G105" s="1"/>
  <c r="F30"/>
  <c r="G30" s="1"/>
  <c r="F33"/>
  <c r="G33" s="1"/>
  <c r="D109" i="7"/>
  <c r="L21" i="21" s="1"/>
  <c r="P21" s="1"/>
  <c r="D59" i="7"/>
  <c r="H12" i="50" s="1"/>
  <c r="G12" i="46"/>
  <c r="H12"/>
  <c r="I12"/>
  <c r="J12"/>
  <c r="K12"/>
  <c r="L12"/>
  <c r="M12"/>
  <c r="N12"/>
  <c r="O12"/>
  <c r="P12"/>
  <c r="I21" i="27" s="1"/>
  <c r="G29" i="45"/>
  <c r="H29"/>
  <c r="I29"/>
  <c r="J29"/>
  <c r="K29"/>
  <c r="L29"/>
  <c r="M29"/>
  <c r="N29"/>
  <c r="O29"/>
  <c r="P29"/>
  <c r="I10" i="27" s="1"/>
  <c r="G30" i="21"/>
  <c r="H30"/>
  <c r="I30"/>
  <c r="K30"/>
  <c r="M30"/>
  <c r="N30"/>
  <c r="O30"/>
  <c r="I35" i="22"/>
  <c r="K35"/>
  <c r="M35"/>
  <c r="O35"/>
  <c r="G35"/>
  <c r="L25" i="24" l="1"/>
  <c r="P25" s="1"/>
  <c r="L30" i="21"/>
  <c r="J22" i="24"/>
  <c r="P22" s="1"/>
  <c r="J16"/>
  <c r="P16" s="1"/>
  <c r="N26" i="30"/>
  <c r="J26"/>
  <c r="H14"/>
  <c r="J14"/>
  <c r="L14"/>
  <c r="N9" i="29"/>
  <c r="H9"/>
  <c r="L9"/>
  <c r="J9"/>
  <c r="P30" i="21"/>
  <c r="I5" i="27" s="1"/>
  <c r="J19" i="24"/>
  <c r="P19" s="1"/>
  <c r="H54" i="50"/>
  <c r="P12"/>
  <c r="H29" i="22"/>
  <c r="L29"/>
  <c r="J29"/>
  <c r="J30" i="21"/>
  <c r="N12" i="22"/>
  <c r="N35" s="1"/>
  <c r="J12"/>
  <c r="P11" i="50"/>
  <c r="L54"/>
  <c r="D22" i="8"/>
  <c r="D358"/>
  <c r="D118"/>
  <c r="D598"/>
  <c r="D37"/>
  <c r="D418"/>
  <c r="D778"/>
  <c r="D718"/>
  <c r="D658"/>
  <c r="D58"/>
  <c r="D298"/>
  <c r="D238"/>
  <c r="D538"/>
  <c r="D478"/>
  <c r="D178"/>
  <c r="P26" i="30" l="1"/>
  <c r="P9" i="29"/>
  <c r="P14" i="30"/>
  <c r="P54" i="50"/>
  <c r="I24" i="27" s="1"/>
  <c r="L34" i="24"/>
  <c r="J34"/>
  <c r="H34"/>
  <c r="P29" i="22"/>
  <c r="H35"/>
  <c r="P12"/>
  <c r="J35"/>
  <c r="J27" i="42"/>
  <c r="J26"/>
  <c r="J25"/>
  <c r="J24"/>
  <c r="J23"/>
  <c r="J22"/>
  <c r="J21"/>
  <c r="J20"/>
  <c r="J19"/>
  <c r="J37" i="40"/>
  <c r="J36"/>
  <c r="J35"/>
  <c r="J34"/>
  <c r="J33"/>
  <c r="J32"/>
  <c r="J31"/>
  <c r="J30"/>
  <c r="J29"/>
  <c r="J28"/>
  <c r="J27"/>
  <c r="J26"/>
  <c r="J25"/>
  <c r="J24"/>
  <c r="J23"/>
  <c r="J22"/>
  <c r="J21"/>
  <c r="J20"/>
  <c r="J19"/>
  <c r="J20" i="10"/>
  <c r="J18"/>
  <c r="J21" i="9"/>
  <c r="J20"/>
  <c r="J19"/>
  <c r="P43" i="48"/>
  <c r="I13" i="27" s="1"/>
  <c r="O43" i="48"/>
  <c r="N43"/>
  <c r="M43"/>
  <c r="L43"/>
  <c r="K43"/>
  <c r="J43"/>
  <c r="I43"/>
  <c r="H43"/>
  <c r="G43"/>
  <c r="P34" i="24" l="1"/>
  <c r="P21" i="47"/>
  <c r="I12" i="27" s="1"/>
  <c r="O21" i="47"/>
  <c r="N21"/>
  <c r="M21"/>
  <c r="L21"/>
  <c r="K21"/>
  <c r="J21"/>
  <c r="I21"/>
  <c r="H21"/>
  <c r="G21"/>
  <c r="D341" i="38"/>
  <c r="E341"/>
  <c r="AB341"/>
  <c r="AC341"/>
  <c r="AD341"/>
  <c r="AF341"/>
  <c r="AG341"/>
  <c r="AH341"/>
  <c r="AJ341"/>
  <c r="AK341"/>
  <c r="AL341"/>
  <c r="AN341"/>
  <c r="AO341"/>
  <c r="AP341"/>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D202"/>
  <c r="E202"/>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E29"/>
  <c r="D30"/>
  <c r="E30"/>
  <c r="D31"/>
  <c r="E31"/>
  <c r="D32"/>
  <c r="E32"/>
  <c r="D33"/>
  <c r="E33"/>
  <c r="D34"/>
  <c r="E34"/>
  <c r="D35"/>
  <c r="E35"/>
  <c r="D36"/>
  <c r="E36"/>
  <c r="D37"/>
  <c r="E37"/>
  <c r="D38"/>
  <c r="E38"/>
  <c r="D39"/>
  <c r="E39"/>
  <c r="D40"/>
  <c r="E40"/>
  <c r="D41"/>
  <c r="E41"/>
  <c r="D42"/>
  <c r="E42"/>
  <c r="D43"/>
  <c r="E43"/>
  <c r="D44"/>
  <c r="E44"/>
  <c r="D45"/>
  <c r="E45"/>
  <c r="D46"/>
  <c r="E46"/>
  <c r="AM341" l="1"/>
  <c r="AQ341"/>
  <c r="AE341"/>
  <c r="AI341"/>
  <c r="F341"/>
  <c r="J341" s="1"/>
  <c r="O21" i="44"/>
  <c r="P21"/>
  <c r="I19" i="27" s="1"/>
  <c r="O22" i="23"/>
  <c r="P22"/>
  <c r="I9" i="27" s="1"/>
  <c r="O18" i="33"/>
  <c r="P18"/>
  <c r="I11" i="27" s="1"/>
  <c r="O21" i="31"/>
  <c r="P21"/>
  <c r="I20" i="27" s="1"/>
  <c r="O37" i="24"/>
  <c r="O37" i="30"/>
  <c r="O10" i="29"/>
  <c r="P10"/>
  <c r="I7" i="27" s="1"/>
  <c r="O17" i="28"/>
  <c r="K114" i="8" l="1"/>
  <c r="K110"/>
  <c r="K106"/>
  <c r="K102"/>
  <c r="K98"/>
  <c r="K94"/>
  <c r="K90"/>
  <c r="K86"/>
  <c r="K82"/>
  <c r="K78"/>
  <c r="K74"/>
  <c r="K70"/>
  <c r="K66"/>
  <c r="K113"/>
  <c r="K109"/>
  <c r="K105"/>
  <c r="K101"/>
  <c r="K97"/>
  <c r="K93"/>
  <c r="K89"/>
  <c r="K85"/>
  <c r="K81"/>
  <c r="K77"/>
  <c r="K73"/>
  <c r="K69"/>
  <c r="K112"/>
  <c r="K108"/>
  <c r="K104"/>
  <c r="K100"/>
  <c r="K96"/>
  <c r="K92"/>
  <c r="K88"/>
  <c r="K84"/>
  <c r="K80"/>
  <c r="K76"/>
  <c r="K72"/>
  <c r="K68"/>
  <c r="K115"/>
  <c r="K99"/>
  <c r="K83"/>
  <c r="K67"/>
  <c r="K71"/>
  <c r="K111"/>
  <c r="K95"/>
  <c r="K79"/>
  <c r="K103"/>
  <c r="K107"/>
  <c r="K91"/>
  <c r="K75"/>
  <c r="K87"/>
  <c r="AR341" i="38"/>
  <c r="H341"/>
  <c r="J38" i="40"/>
  <c r="K172" i="8" l="1"/>
  <c r="K168"/>
  <c r="K164"/>
  <c r="K160"/>
  <c r="K156"/>
  <c r="K152"/>
  <c r="K148"/>
  <c r="K144"/>
  <c r="K140"/>
  <c r="K136"/>
  <c r="K132"/>
  <c r="K128"/>
  <c r="K175"/>
  <c r="K171"/>
  <c r="K167"/>
  <c r="K163"/>
  <c r="K159"/>
  <c r="K155"/>
  <c r="K151"/>
  <c r="K147"/>
  <c r="K143"/>
  <c r="K139"/>
  <c r="K135"/>
  <c r="K131"/>
  <c r="K127"/>
  <c r="K174"/>
  <c r="K170"/>
  <c r="K166"/>
  <c r="K162"/>
  <c r="K158"/>
  <c r="K154"/>
  <c r="K150"/>
  <c r="K146"/>
  <c r="K142"/>
  <c r="K138"/>
  <c r="K134"/>
  <c r="K130"/>
  <c r="K126"/>
  <c r="K173"/>
  <c r="K157"/>
  <c r="K141"/>
  <c r="K145"/>
  <c r="K129"/>
  <c r="K169"/>
  <c r="K153"/>
  <c r="K137"/>
  <c r="K165"/>
  <c r="K149"/>
  <c r="K133"/>
  <c r="K161"/>
  <c r="M37" i="24"/>
  <c r="K37"/>
  <c r="I37"/>
  <c r="G37"/>
  <c r="K234" i="8" l="1"/>
  <c r="K230"/>
  <c r="K226"/>
  <c r="K222"/>
  <c r="K218"/>
  <c r="K214"/>
  <c r="K210"/>
  <c r="K206"/>
  <c r="K202"/>
  <c r="K198"/>
  <c r="K194"/>
  <c r="K190"/>
  <c r="K186"/>
  <c r="K235"/>
  <c r="K223"/>
  <c r="K211"/>
  <c r="K203"/>
  <c r="K233"/>
  <c r="K229"/>
  <c r="K225"/>
  <c r="K221"/>
  <c r="K217"/>
  <c r="K213"/>
  <c r="K209"/>
  <c r="K205"/>
  <c r="K201"/>
  <c r="K197"/>
  <c r="K193"/>
  <c r="K189"/>
  <c r="K227"/>
  <c r="K219"/>
  <c r="K207"/>
  <c r="K232"/>
  <c r="K228"/>
  <c r="K224"/>
  <c r="K220"/>
  <c r="K216"/>
  <c r="K212"/>
  <c r="K208"/>
  <c r="K204"/>
  <c r="K200"/>
  <c r="K196"/>
  <c r="K192"/>
  <c r="K188"/>
  <c r="K231"/>
  <c r="K215"/>
  <c r="K199"/>
  <c r="K195"/>
  <c r="K187"/>
  <c r="K191"/>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K340"/>
  <c r="AJ340"/>
  <c r="AH340"/>
  <c r="AG340"/>
  <c r="AF340"/>
  <c r="AD340"/>
  <c r="AB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B291"/>
  <c r="E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D302"/>
  <c r="AC302"/>
  <c r="AB302"/>
  <c r="E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292" i="8" l="1"/>
  <c r="K288"/>
  <c r="K284"/>
  <c r="K280"/>
  <c r="K276"/>
  <c r="K272"/>
  <c r="K268"/>
  <c r="K264"/>
  <c r="K260"/>
  <c r="K256"/>
  <c r="K252"/>
  <c r="K248"/>
  <c r="K289"/>
  <c r="K273"/>
  <c r="K257"/>
  <c r="K295"/>
  <c r="K291"/>
  <c r="K287"/>
  <c r="K283"/>
  <c r="K279"/>
  <c r="K275"/>
  <c r="K271"/>
  <c r="K267"/>
  <c r="K263"/>
  <c r="K259"/>
  <c r="K255"/>
  <c r="K251"/>
  <c r="K247"/>
  <c r="K293"/>
  <c r="K281"/>
  <c r="K277"/>
  <c r="K265"/>
  <c r="K261"/>
  <c r="K249"/>
  <c r="K294"/>
  <c r="K290"/>
  <c r="K286"/>
  <c r="K282"/>
  <c r="K278"/>
  <c r="K274"/>
  <c r="K270"/>
  <c r="K266"/>
  <c r="K262"/>
  <c r="K258"/>
  <c r="K254"/>
  <c r="K250"/>
  <c r="K246"/>
  <c r="K285"/>
  <c r="K269"/>
  <c r="K253"/>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49"/>
  <c r="AM351"/>
  <c r="AI354"/>
  <c r="AM355"/>
  <c r="AQ356"/>
  <c r="AM376"/>
  <c r="AI349"/>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37"/>
  <c r="J337" s="1"/>
  <c r="AI337"/>
  <c r="AQ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AQ304"/>
  <c r="AQ308"/>
  <c r="AI270"/>
  <c r="AI274"/>
  <c r="AI278"/>
  <c r="AI282"/>
  <c r="AE286"/>
  <c r="AM290"/>
  <c r="AM294"/>
  <c r="AM295"/>
  <c r="AM297"/>
  <c r="AE298"/>
  <c r="AM300"/>
  <c r="AM304"/>
  <c r="AM308"/>
  <c r="AE270"/>
  <c r="F284"/>
  <c r="J284" s="1"/>
  <c r="AQ286"/>
  <c r="AI290"/>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Q226"/>
  <c r="AE242"/>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AR386"/>
  <c r="AR372"/>
  <c r="H368"/>
  <c r="H316"/>
  <c r="H378"/>
  <c r="H362"/>
  <c r="H322"/>
  <c r="AR387"/>
  <c r="H351"/>
  <c r="AR356"/>
  <c r="AR365"/>
  <c r="H374"/>
  <c r="J371"/>
  <c r="H364"/>
  <c r="AR378"/>
  <c r="H358"/>
  <c r="AR368"/>
  <c r="AR379"/>
  <c r="AR371"/>
  <c r="AR369"/>
  <c r="AR362"/>
  <c r="AR355"/>
  <c r="AR377"/>
  <c r="AR364"/>
  <c r="H279"/>
  <c r="AR367"/>
  <c r="AR353"/>
  <c r="AR360"/>
  <c r="H311"/>
  <c r="H288"/>
  <c r="H353"/>
  <c r="H352"/>
  <c r="AR359"/>
  <c r="AR347"/>
  <c r="H381"/>
  <c r="AR370"/>
  <c r="AR352"/>
  <c r="AR382"/>
  <c r="AR376"/>
  <c r="AR361"/>
  <c r="H370"/>
  <c r="J380"/>
  <c r="AR363"/>
  <c r="AR351"/>
  <c r="AR381"/>
  <c r="H365"/>
  <c r="J367"/>
  <c r="AR375"/>
  <c r="AR380"/>
  <c r="AR373"/>
  <c r="AR374"/>
  <c r="H283"/>
  <c r="H284"/>
  <c r="H295"/>
  <c r="H286"/>
  <c r="H270"/>
  <c r="H298"/>
  <c r="H334"/>
  <c r="AR342"/>
  <c r="J296"/>
  <c r="J336"/>
  <c r="H342"/>
  <c r="H310"/>
  <c r="AR343"/>
  <c r="J274"/>
  <c r="AR337"/>
  <c r="J289"/>
  <c r="H337"/>
  <c r="AR334"/>
  <c r="AR294"/>
  <c r="J320"/>
  <c r="H332"/>
  <c r="J272"/>
  <c r="J305"/>
  <c r="AR306"/>
  <c r="J297"/>
  <c r="J325"/>
  <c r="H318"/>
  <c r="AR336"/>
  <c r="H306"/>
  <c r="AR332"/>
  <c r="AR331"/>
  <c r="AR333"/>
  <c r="J228"/>
  <c r="H276"/>
  <c r="H314"/>
  <c r="J309"/>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81"/>
  <c r="H294"/>
  <c r="AR287"/>
  <c r="AR270"/>
  <c r="AR298"/>
  <c r="J236"/>
  <c r="H300"/>
  <c r="AR299"/>
  <c r="AR293"/>
  <c r="AR285"/>
  <c r="H308"/>
  <c r="AR273"/>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AK312"/>
  <c r="AM234"/>
  <c r="AI339"/>
  <c r="AK328"/>
  <c r="AM346"/>
  <c r="AE390"/>
  <c r="AP389"/>
  <c r="AE399"/>
  <c r="AG13"/>
  <c r="F90"/>
  <c r="H90" s="1"/>
  <c r="AN96"/>
  <c r="AF118"/>
  <c r="AL118"/>
  <c r="AO164"/>
  <c r="AI103"/>
  <c r="AG96"/>
  <c r="AQ119"/>
  <c r="AN243"/>
  <c r="AM268"/>
  <c r="AF389"/>
  <c r="AI335"/>
  <c r="AM338"/>
  <c r="AE344"/>
  <c r="F399"/>
  <c r="J399" s="1"/>
  <c r="AD398"/>
  <c r="AD397" s="1"/>
  <c r="AQ458"/>
  <c r="AE466"/>
  <c r="AI469"/>
  <c r="AM488"/>
  <c r="F198"/>
  <c r="J198" s="1"/>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AQ235"/>
  <c r="D527"/>
  <c r="D389"/>
  <c r="AE235"/>
  <c r="AL13"/>
  <c r="F467"/>
  <c r="D133"/>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17" i="8"/>
  <c r="G17" s="1"/>
  <c r="D15" i="38" s="1"/>
  <c r="J541" l="1"/>
  <c r="I566"/>
  <c r="G566"/>
  <c r="AG328"/>
  <c r="AG327" s="1"/>
  <c r="D345"/>
  <c r="AI190"/>
  <c r="AM190"/>
  <c r="E526"/>
  <c r="AR485"/>
  <c r="J330"/>
  <c r="J268"/>
  <c r="H150"/>
  <c r="F83"/>
  <c r="H83" s="1"/>
  <c r="AM312"/>
  <c r="H458"/>
  <c r="J224"/>
  <c r="J103"/>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Q190"/>
  <c r="AI389"/>
  <c r="AI398"/>
  <c r="AG499"/>
  <c r="AI499" s="1"/>
  <c r="AM243"/>
  <c r="AM199"/>
  <c r="F190"/>
  <c r="J190" s="1"/>
  <c r="H44"/>
  <c r="AH106"/>
  <c r="AR488"/>
  <c r="AQ267"/>
  <c r="AG222"/>
  <c r="AR467"/>
  <c r="AE389"/>
  <c r="AR132"/>
  <c r="AE89"/>
  <c r="AQ527"/>
  <c r="AR346"/>
  <c r="AI83"/>
  <c r="AR390"/>
  <c r="AK106"/>
  <c r="AR150"/>
  <c r="AE83"/>
  <c r="AI133"/>
  <c r="AJ222"/>
  <c r="AQ199"/>
  <c r="AQ312"/>
  <c r="J36"/>
  <c r="AR313"/>
  <c r="AR54"/>
  <c r="AM500"/>
  <c r="AE223"/>
  <c r="H119"/>
  <c r="H198"/>
  <c r="J339"/>
  <c r="H399"/>
  <c r="AO526"/>
  <c r="AQ526" s="1"/>
  <c r="F133"/>
  <c r="H133" s="1"/>
  <c r="AQ133"/>
  <c r="H346"/>
  <c r="AR344"/>
  <c r="AR339"/>
  <c r="AR213"/>
  <c r="AR163"/>
  <c r="AM89"/>
  <c r="AI89"/>
  <c r="AR268"/>
  <c r="AR399"/>
  <c r="AG106"/>
  <c r="AL222"/>
  <c r="AO397"/>
  <c r="AQ149"/>
  <c r="AR85"/>
  <c r="AQ398"/>
  <c r="AR489"/>
  <c r="AR88"/>
  <c r="AL106"/>
  <c r="AM164"/>
  <c r="AR330"/>
  <c r="AI243"/>
  <c r="AR165"/>
  <c r="AM149"/>
  <c r="AD106"/>
  <c r="F118"/>
  <c r="J118" s="1"/>
  <c r="J383"/>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J206"/>
  <c r="H206"/>
  <c r="AR200"/>
  <c r="J213"/>
  <c r="H213"/>
  <c r="AP106"/>
  <c r="E106"/>
  <c r="AN106"/>
  <c r="AI149"/>
  <c r="AR134"/>
  <c r="J148"/>
  <c r="H148"/>
  <c r="AI107"/>
  <c r="AR107" s="1"/>
  <c r="J117"/>
  <c r="H117"/>
  <c r="AH12"/>
  <c r="AR90"/>
  <c r="H51"/>
  <c r="J51"/>
  <c r="J207"/>
  <c r="H207"/>
  <c r="J485"/>
  <c r="H485"/>
  <c r="J467"/>
  <c r="H467"/>
  <c r="D499"/>
  <c r="F499" s="1"/>
  <c r="F500"/>
  <c r="J489"/>
  <c r="H489"/>
  <c r="AN12"/>
  <c r="F107"/>
  <c r="F199"/>
  <c r="AI13"/>
  <c r="AF12"/>
  <c r="AM13"/>
  <c r="AR459"/>
  <c r="AR235"/>
  <c r="D526"/>
  <c r="F527"/>
  <c r="J459"/>
  <c r="H459"/>
  <c r="J19" i="8"/>
  <c r="J18"/>
  <c r="J17"/>
  <c r="AI328" i="38" l="1"/>
  <c r="AG566"/>
  <c r="AH566"/>
  <c r="AN566"/>
  <c r="D327"/>
  <c r="AJ106"/>
  <c r="AM106" s="1"/>
  <c r="AF106"/>
  <c r="AI106" s="1"/>
  <c r="F526"/>
  <c r="H526" s="1"/>
  <c r="F19" i="8"/>
  <c r="G19" s="1"/>
  <c r="D29" i="38" s="1"/>
  <c r="F29" s="1"/>
  <c r="J83"/>
  <c r="J214"/>
  <c r="J96"/>
  <c r="H89"/>
  <c r="AQ222"/>
  <c r="H383"/>
  <c r="AR118"/>
  <c r="AI327"/>
  <c r="AR527"/>
  <c r="AR500"/>
  <c r="J133"/>
  <c r="AR89"/>
  <c r="AQ106"/>
  <c r="AR133"/>
  <c r="AR83"/>
  <c r="H389"/>
  <c r="H190"/>
  <c r="AR389"/>
  <c r="AQ397"/>
  <c r="H118"/>
  <c r="AR96"/>
  <c r="AR526"/>
  <c r="AR499"/>
  <c r="AI12"/>
  <c r="H499"/>
  <c r="J499"/>
  <c r="H527"/>
  <c r="J527"/>
  <c r="J199"/>
  <c r="H199"/>
  <c r="H500"/>
  <c r="J500"/>
  <c r="J107"/>
  <c r="H107"/>
  <c r="F18" i="8"/>
  <c r="G18" s="1"/>
  <c r="D28" i="38" s="1"/>
  <c r="J29" l="1"/>
  <c r="H29"/>
  <c r="J526"/>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2" i="23"/>
  <c r="H22"/>
  <c r="I22"/>
  <c r="J22"/>
  <c r="K22"/>
  <c r="L22"/>
  <c r="M22"/>
  <c r="N22"/>
  <c r="N18" i="33"/>
  <c r="M18"/>
  <c r="L18"/>
  <c r="K18"/>
  <c r="J18"/>
  <c r="I18"/>
  <c r="H18"/>
  <c r="G18"/>
  <c r="M37" i="30"/>
  <c r="K37"/>
  <c r="I37"/>
  <c r="H37"/>
  <c r="G37"/>
  <c r="N10" i="29"/>
  <c r="M10"/>
  <c r="L10"/>
  <c r="K10"/>
  <c r="J10"/>
  <c r="I10"/>
  <c r="H10"/>
  <c r="G10"/>
  <c r="N17" i="28"/>
  <c r="M17"/>
  <c r="L17"/>
  <c r="K17"/>
  <c r="I17"/>
  <c r="G17"/>
  <c r="D79" i="27" l="1"/>
  <c r="E15" i="38"/>
  <c r="F15" s="1"/>
  <c r="D56" i="27"/>
  <c r="J15" i="38" l="1"/>
  <c r="H15"/>
  <c r="AB15"/>
  <c r="D55" i="27"/>
  <c r="D54"/>
  <c r="AD64" i="38"/>
  <c r="AD47" s="1"/>
  <c r="D53" i="27"/>
  <c r="AD15" i="38"/>
  <c r="D14"/>
  <c r="AB14"/>
  <c r="K19"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27" i="42"/>
  <c r="F27"/>
  <c r="I26"/>
  <c r="F26"/>
  <c r="I25"/>
  <c r="F25"/>
  <c r="I24"/>
  <c r="F24"/>
  <c r="I23"/>
  <c r="F23"/>
  <c r="I22"/>
  <c r="F22"/>
  <c r="AL340" i="38" s="1"/>
  <c r="I21" i="42"/>
  <c r="F21"/>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AM340" i="38" l="1"/>
  <c r="AL328"/>
  <c r="D291"/>
  <c r="AC291"/>
  <c r="D302"/>
  <c r="F302" s="1"/>
  <c r="AF302"/>
  <c r="E340"/>
  <c r="AC340"/>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P17" i="43"/>
  <c r="D10" i="40"/>
  <c r="D5" s="1"/>
  <c r="C9" i="27" s="1"/>
  <c r="Y322" i="38"/>
  <c r="J18" i="9"/>
  <c r="Y201" i="38" s="1"/>
  <c r="D5" i="42" l="1"/>
  <c r="C10" i="27" s="1"/>
  <c r="H10" i="24"/>
  <c r="L10"/>
  <c r="J10"/>
  <c r="N10"/>
  <c r="N37" s="1"/>
  <c r="AE340" i="38"/>
  <c r="AR340" s="1"/>
  <c r="AC328"/>
  <c r="AE328" s="1"/>
  <c r="AE291"/>
  <c r="AR291" s="1"/>
  <c r="AC267"/>
  <c r="AE267" s="1"/>
  <c r="F340"/>
  <c r="E328"/>
  <c r="F328" s="1"/>
  <c r="F291"/>
  <c r="D267"/>
  <c r="F267" s="1"/>
  <c r="AI302"/>
  <c r="AR302" s="1"/>
  <c r="AF267"/>
  <c r="AI267" s="1"/>
  <c r="AM328"/>
  <c r="AL327"/>
  <c r="J302"/>
  <c r="H302"/>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Z28"/>
  <c r="F19" i="7"/>
  <c r="P10" i="24" l="1"/>
  <c r="AR267" i="38"/>
  <c r="AR328"/>
  <c r="H267"/>
  <c r="J267"/>
  <c r="J291"/>
  <c r="H291"/>
  <c r="H328"/>
  <c r="J328"/>
  <c r="J340"/>
  <c r="H340"/>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G19" i="7"/>
  <c r="AC201" i="38" s="1"/>
  <c r="Y526" l="1"/>
  <c r="Y327"/>
  <c r="Y397"/>
  <c r="Y222"/>
  <c r="Y499"/>
  <c r="Z12"/>
  <c r="Z526"/>
  <c r="Z327"/>
  <c r="Z397"/>
  <c r="Z222"/>
  <c r="Z190"/>
  <c r="Z106" s="1"/>
  <c r="AE201"/>
  <c r="AR201" s="1"/>
  <c r="AC199"/>
  <c r="H397"/>
  <c r="J397"/>
  <c r="H398"/>
  <c r="J398"/>
  <c r="AR397"/>
  <c r="Z566" l="1"/>
  <c r="AC190"/>
  <c r="AE190" s="1"/>
  <c r="AR190" s="1"/>
  <c r="AE199"/>
  <c r="AR199" s="1"/>
  <c r="I20" i="10"/>
  <c r="I18"/>
  <c r="I18" i="12"/>
  <c r="I17"/>
  <c r="I17" i="10"/>
  <c r="I17" i="9"/>
  <c r="I21"/>
  <c r="I20"/>
  <c r="I19"/>
  <c r="I18"/>
  <c r="C86" i="27"/>
  <c r="C79"/>
  <c r="C78"/>
  <c r="C77"/>
  <c r="C76"/>
  <c r="C75"/>
  <c r="C74"/>
  <c r="C73"/>
  <c r="C72"/>
  <c r="C71"/>
  <c r="C70"/>
  <c r="C69"/>
  <c r="AD28" i="38"/>
  <c r="C56" i="27"/>
  <c r="C55"/>
  <c r="C54"/>
  <c r="D171" i="38"/>
  <c r="J17" i="7"/>
  <c r="G18"/>
  <c r="J18"/>
  <c r="D248" i="38"/>
  <c r="D315"/>
  <c r="J19" i="7"/>
  <c r="D225" i="38" l="1"/>
  <c r="D223" s="1"/>
  <c r="F223" s="1"/>
  <c r="AK225"/>
  <c r="F315"/>
  <c r="D312"/>
  <c r="F312" s="1"/>
  <c r="F171"/>
  <c r="D164"/>
  <c r="F164" s="1"/>
  <c r="F248"/>
  <c r="D243"/>
  <c r="AC248"/>
  <c r="AE248" s="1"/>
  <c r="AR248" s="1"/>
  <c r="AC171"/>
  <c r="AE171" s="1"/>
  <c r="AR171" s="1"/>
  <c r="AB158"/>
  <c r="AE158" s="1"/>
  <c r="AR158" s="1"/>
  <c r="D158"/>
  <c r="AC315"/>
  <c r="AF565"/>
  <c r="AI565" s="1"/>
  <c r="AF225"/>
  <c r="E561"/>
  <c r="E560" s="1"/>
  <c r="AB69"/>
  <c r="AB561"/>
  <c r="D561"/>
  <c r="D560" s="1"/>
  <c r="AC565"/>
  <c r="C103" i="27"/>
  <c r="C57"/>
  <c r="D10" i="7"/>
  <c r="F225" i="38" l="1"/>
  <c r="J225" s="1"/>
  <c r="D5" i="7"/>
  <c r="C4" i="27" s="1"/>
  <c r="L25" i="30"/>
  <c r="L37" s="1"/>
  <c r="J25"/>
  <c r="N25"/>
  <c r="N37" s="1"/>
  <c r="AM225" i="38"/>
  <c r="AK223"/>
  <c r="J164"/>
  <c r="H164"/>
  <c r="J171"/>
  <c r="H171"/>
  <c r="H223"/>
  <c r="J223"/>
  <c r="H312"/>
  <c r="J312"/>
  <c r="J315"/>
  <c r="H315"/>
  <c r="D222"/>
  <c r="F222" s="1"/>
  <c r="F243"/>
  <c r="J248"/>
  <c r="H248"/>
  <c r="AF560"/>
  <c r="AC164"/>
  <c r="AE164" s="1"/>
  <c r="AR164" s="1"/>
  <c r="AC243"/>
  <c r="AE243" s="1"/>
  <c r="AR243" s="1"/>
  <c r="F158"/>
  <c r="D149"/>
  <c r="D106" s="1"/>
  <c r="AI225"/>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17" i="12"/>
  <c r="D100" i="27"/>
  <c r="D98"/>
  <c r="D95"/>
  <c r="F20" i="10"/>
  <c r="D93" i="27"/>
  <c r="F18" i="10"/>
  <c r="F17"/>
  <c r="E366" i="38" s="1"/>
  <c r="F21" i="9"/>
  <c r="E350" i="38" s="1"/>
  <c r="F350" s="1"/>
  <c r="F20" i="9"/>
  <c r="D74" i="27" s="1"/>
  <c r="F19" i="9"/>
  <c r="D73" i="27" s="1"/>
  <c r="F18" i="9"/>
  <c r="F17"/>
  <c r="AB28" i="38"/>
  <c r="AJ64"/>
  <c r="T10" i="4"/>
  <c r="T31" s="1"/>
  <c r="D94" i="27" l="1"/>
  <c r="E357" i="38"/>
  <c r="F357" s="1"/>
  <c r="H225"/>
  <c r="AR225"/>
  <c r="P25" i="30"/>
  <c r="P37" s="1"/>
  <c r="I8" i="27" s="1"/>
  <c r="J37" i="30"/>
  <c r="AK222" i="38"/>
  <c r="AM223"/>
  <c r="J350"/>
  <c r="H350"/>
  <c r="Y162"/>
  <c r="Y149" s="1"/>
  <c r="Y106" s="1"/>
  <c r="J243"/>
  <c r="H243"/>
  <c r="J222"/>
  <c r="H222"/>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D10" i="9"/>
  <c r="AB29" i="38"/>
  <c r="D10" i="10"/>
  <c r="D5" s="1"/>
  <c r="C7" i="27" s="1"/>
  <c r="J357" i="38" l="1"/>
  <c r="H357"/>
  <c r="J12" i="24"/>
  <c r="P12" s="1"/>
  <c r="AK566" i="38"/>
  <c r="AM222"/>
  <c r="J9" i="28"/>
  <c r="J17" s="1"/>
  <c r="H9"/>
  <c r="C8" i="27"/>
  <c r="AB64" i="38"/>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P9" i="28" l="1"/>
  <c r="P17" s="1"/>
  <c r="I4" i="27" s="1"/>
  <c r="H17" i="28"/>
  <c r="P9" i="22"/>
  <c r="P35" s="1"/>
  <c r="I6" i="27" s="1"/>
  <c r="L35" i="22"/>
  <c r="AB47" i="38"/>
  <c r="AE47" s="1"/>
  <c r="AR47" s="1"/>
  <c r="F345"/>
  <c r="J345" s="1"/>
  <c r="H327"/>
  <c r="J327"/>
  <c r="AE327"/>
  <c r="AB222"/>
  <c r="AE222" s="1"/>
  <c r="AR222" s="1"/>
  <c r="AE312"/>
  <c r="AR312" s="1"/>
  <c r="AO327"/>
  <c r="AO566" s="1"/>
  <c r="AQ345"/>
  <c r="AM345"/>
  <c r="AJ327"/>
  <c r="AM327" s="1"/>
  <c r="AE345"/>
  <c r="AR350"/>
  <c r="AB106"/>
  <c r="AE106" s="1"/>
  <c r="AR106" s="1"/>
  <c r="AM12"/>
  <c r="AP12"/>
  <c r="AP566" s="1"/>
  <c r="AQ13"/>
  <c r="I14" i="27" l="1"/>
  <c r="AB12" i="38"/>
  <c r="AB566" s="1"/>
  <c r="H345"/>
  <c r="AJ566"/>
  <c r="AR345"/>
  <c r="AQ327"/>
  <c r="AR327" s="1"/>
  <c r="AQ12"/>
  <c r="D5" i="9"/>
  <c r="C6" i="27" s="1"/>
  <c r="C80"/>
  <c r="D40" l="1"/>
  <c r="D57" s="1"/>
  <c r="Y28" i="38"/>
  <c r="AD29" l="1"/>
  <c r="AE29" s="1"/>
  <c r="AR29" s="1"/>
  <c r="Y29"/>
  <c r="Y13" s="1"/>
  <c r="Y12" s="1"/>
  <c r="Y566" s="1"/>
  <c r="AC28"/>
  <c r="AE28" s="1"/>
  <c r="AR28" s="1"/>
  <c r="E28"/>
  <c r="F28" s="1"/>
  <c r="AC21"/>
  <c r="D10" i="8"/>
  <c r="D5" l="1"/>
  <c r="C5" i="27" s="1"/>
  <c r="C13" s="1"/>
  <c r="H33" i="24"/>
  <c r="L33"/>
  <c r="L37" s="1"/>
  <c r="J33"/>
  <c r="J37" s="1"/>
  <c r="AD13" i="38"/>
  <c r="AD12" s="1"/>
  <c r="AD566" s="1"/>
  <c r="J28"/>
  <c r="H28"/>
  <c r="F21"/>
  <c r="E13"/>
  <c r="AE21"/>
  <c r="AR21" s="1"/>
  <c r="AC13"/>
  <c r="F560"/>
  <c r="P33" i="24" l="1"/>
  <c r="P37" s="1"/>
  <c r="I18" i="27" s="1"/>
  <c r="I25" s="1"/>
  <c r="I27" s="1"/>
  <c r="H37" i="24"/>
  <c r="AC12" i="38"/>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Relaciones Publicas</author>
  </authors>
  <commentList>
    <comment ref="F26" authorId="0">
      <text>
        <r>
          <rPr>
            <b/>
            <sz val="9"/>
            <color indexed="81"/>
            <rFont val="Tahoma"/>
            <family val="2"/>
          </rPr>
          <t xml:space="preserve">ESTE ES UN I NDICADOR DE RESULTADOS </t>
        </r>
      </text>
    </comment>
    <comment ref="F28" authorId="0">
      <text>
        <r>
          <rPr>
            <b/>
            <sz val="9"/>
            <color indexed="81"/>
            <rFont val="Tahoma"/>
            <family val="2"/>
          </rPr>
          <t>INDICADOR DESULTADOS</t>
        </r>
      </text>
    </comment>
  </commentList>
</comments>
</file>

<file path=xl/comments3.xml><?xml version="1.0" encoding="utf-8"?>
<comments xmlns="http://schemas.openxmlformats.org/spreadsheetml/2006/main">
  <authors>
    <author>Relaciones Publicas</author>
  </authors>
  <commentList>
    <comment ref="G9" authorId="0">
      <text>
        <r>
          <rPr>
            <b/>
            <sz val="9"/>
            <color indexed="81"/>
            <rFont val="Tahoma"/>
            <family val="2"/>
          </rPr>
          <t>COLOCAR LA DISTRIBUCION  DE METAS</t>
        </r>
        <r>
          <rPr>
            <sz val="9"/>
            <color indexed="81"/>
            <rFont val="Tahoma"/>
            <family val="2"/>
          </rPr>
          <t xml:space="preserve">
DE ACUERDO A L INDICADOR DE RESULTADOS </t>
        </r>
      </text>
    </comment>
  </commentList>
</comments>
</file>

<file path=xl/sharedStrings.xml><?xml version="1.0" encoding="utf-8"?>
<sst xmlns="http://schemas.openxmlformats.org/spreadsheetml/2006/main" count="14077" uniqueCount="2388">
  <si>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</si>
  <si>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</si>
  <si>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</si>
  <si>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</si>
  <si>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</si>
  <si>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</si>
  <si>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</si>
  <si>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</si>
  <si>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</si>
  <si>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</si>
  <si>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</si>
  <si>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</si>
  <si>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</si>
  <si>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</si>
  <si>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</si>
  <si>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</si>
  <si>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</si>
  <si>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</si>
  <si>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</si>
  <si>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</si>
  <si>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</si>
  <si>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</si>
  <si>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</si>
  <si>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</si>
  <si>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</si>
  <si>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</si>
  <si>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</si>
  <si>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</si>
  <si>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</si>
  <si>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</si>
  <si>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</si>
  <si>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</si>
  <si>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</si>
  <si>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</si>
  <si>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</si>
  <si>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</si>
  <si>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</si>
  <si>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</si>
  <si>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</si>
  <si>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</si>
  <si>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</si>
  <si>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</si>
  <si>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</si>
  <si>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</si>
  <si>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</si>
  <si>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</si>
  <si>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</si>
  <si>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</si>
  <si>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</si>
  <si>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</si>
  <si>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</si>
  <si>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</si>
  <si>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</si>
  <si>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</si>
  <si>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</si>
  <si>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</si>
  <si>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</si>
  <si>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</si>
  <si>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</si>
  <si>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</si>
  <si>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</si>
  <si>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</si>
  <si>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</si>
  <si>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</si>
  <si>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</si>
  <si>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</si>
  <si>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</si>
  <si>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</si>
  <si>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</si>
  <si>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</si>
  <si>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</si>
  <si>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</si>
  <si>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</si>
  <si>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</si>
  <si>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</si>
  <si>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</si>
  <si>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</si>
  <si>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</si>
  <si>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</si>
  <si>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</si>
  <si>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</si>
  <si>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</si>
  <si>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</si>
  <si>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</si>
  <si>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</si>
  <si>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</si>
  <si>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</si>
  <si>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</si>
  <si>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</si>
  <si>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</si>
  <si>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</si>
  <si>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</si>
  <si>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</si>
  <si>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</si>
  <si>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</si>
  <si>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</si>
  <si>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</si>
  <si>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</si>
  <si>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</si>
  <si>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</si>
  <si>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</si>
  <si>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</si>
  <si>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</si>
  <si>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</si>
  <si>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</si>
  <si>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</si>
  <si>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</si>
  <si>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</si>
  <si>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</si>
  <si>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</si>
  <si>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</si>
  <si>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</si>
  <si>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</si>
  <si>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</si>
  <si>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</si>
  <si>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</si>
  <si>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</si>
  <si>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</si>
  <si>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</si>
  <si>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</si>
  <si>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</si>
  <si>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</si>
  <si>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</si>
  <si>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</si>
  <si>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</si>
  <si>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</si>
  <si>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</si>
  <si>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</si>
  <si>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</si>
  <si>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</si>
  <si>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</si>
  <si>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</si>
  <si>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</si>
  <si>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</si>
  <si>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</si>
  <si>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</si>
  <si>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</si>
  <si>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</si>
  <si>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</si>
  <si>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</si>
  <si>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</si>
  <si>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</si>
  <si>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</si>
  <si>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</si>
  <si>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</si>
  <si>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</si>
  <si>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</si>
  <si>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</si>
  <si>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</si>
  <si>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</si>
  <si>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</si>
  <si>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</si>
  <si>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</si>
  <si>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</si>
  <si>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</si>
  <si>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</si>
  <si>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</si>
  <si>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</si>
  <si>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</si>
  <si>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</si>
  <si>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</si>
  <si>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</si>
  <si>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</si>
  <si>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</si>
  <si>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</si>
  <si>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</si>
  <si>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</si>
  <si>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</si>
  <si>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</si>
  <si>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</si>
  <si>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</si>
  <si>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</si>
  <si>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</si>
  <si>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</si>
  <si>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</si>
  <si>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</si>
  <si>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</si>
  <si>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</si>
  <si>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</si>
  <si>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</si>
  <si>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</si>
  <si>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</si>
  <si>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</si>
  <si>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</si>
  <si>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</si>
  <si>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</si>
  <si>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</si>
  <si>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</si>
  <si>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</si>
  <si>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</si>
  <si>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</si>
  <si>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</si>
  <si>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</si>
  <si>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</si>
  <si>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</si>
  <si>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</si>
  <si>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</si>
  <si>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</si>
  <si>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</si>
  <si>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</si>
  <si>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</si>
  <si>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</si>
  <si>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</si>
  <si>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</si>
  <si>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</si>
  <si>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</si>
  <si>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</si>
  <si>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</si>
  <si>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</si>
  <si>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</si>
  <si>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</si>
  <si>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</si>
  <si>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</si>
  <si>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</si>
  <si>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</si>
  <si>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</si>
  <si>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</si>
  <si>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</si>
  <si>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</si>
  <si>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</si>
  <si>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</si>
  <si>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</si>
  <si>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</si>
  <si>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</si>
  <si>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</si>
  <si>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</si>
  <si>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</si>
  <si>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</si>
  <si>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</si>
  <si>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</si>
  <si>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</si>
  <si>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</si>
  <si>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</si>
  <si>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</si>
  <si>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</si>
  <si>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</si>
  <si>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</si>
  <si>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</si>
  <si>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</si>
  <si>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</si>
  <si>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</si>
  <si>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</si>
  <si>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</si>
  <si>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</si>
  <si>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</si>
  <si>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</si>
  <si>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</si>
  <si>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</si>
  <si>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</si>
  <si>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</si>
  <si>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</si>
  <si>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</si>
  <si>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</si>
  <si>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</si>
  <si>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</si>
  <si>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</si>
  <si>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</si>
  <si>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</si>
  <si>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</si>
  <si>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</si>
  <si>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</si>
  <si>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</si>
  <si>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</si>
  <si>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</si>
  <si>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</si>
  <si>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</si>
  <si>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</si>
  <si>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</si>
  <si>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</si>
  <si>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</si>
  <si>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</si>
  <si>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</si>
  <si>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</si>
  <si>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</si>
  <si>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</si>
  <si>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</si>
  <si>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</si>
  <si>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</si>
  <si>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</si>
  <si>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</si>
  <si>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</si>
  <si>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</si>
  <si>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</si>
  <si>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</si>
  <si>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</si>
  <si>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</si>
  <si>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</si>
  <si>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</si>
  <si>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</si>
  <si>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</si>
  <si>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</si>
  <si>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</si>
  <si>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</si>
  <si>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</si>
  <si>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</si>
  <si>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</si>
  <si>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</si>
  <si>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</si>
  <si>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</si>
  <si>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</si>
  <si>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</si>
  <si>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</si>
  <si>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</si>
  <si>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</si>
  <si>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</si>
  <si>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</si>
  <si>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</si>
  <si>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</si>
  <si>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</si>
  <si>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</si>
  <si>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</si>
  <si>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</si>
  <si>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</si>
  <si>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</si>
  <si>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</si>
  <si>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</si>
  <si>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</si>
  <si>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</si>
  <si>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</si>
  <si>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</si>
  <si>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</si>
  <si>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</si>
  <si>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</si>
  <si>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</si>
  <si>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</si>
  <si>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</si>
  <si>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</si>
  <si>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</si>
  <si>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</si>
  <si>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</si>
  <si>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</si>
  <si>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</si>
  <si>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</si>
  <si>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</si>
  <si>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</si>
  <si>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</si>
  <si>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</si>
  <si>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</si>
  <si>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</si>
  <si>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</si>
  <si>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</si>
  <si>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</si>
  <si>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</si>
  <si>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</si>
  <si>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</si>
  <si>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</si>
  <si>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</si>
  <si>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</si>
  <si>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</si>
  <si>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</si>
  <si>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</si>
  <si>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</si>
  <si>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</si>
  <si>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</si>
  <si>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</si>
  <si>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</si>
  <si>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</si>
  <si>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</si>
  <si>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</si>
  <si>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</si>
  <si>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</si>
  <si>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</si>
  <si>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</si>
  <si>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</si>
  <si>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</si>
  <si>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</si>
  <si>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</si>
  <si>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</si>
  <si>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</si>
  <si>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</si>
  <si>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</si>
  <si>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</si>
  <si>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</si>
  <si>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</si>
  <si>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</si>
  <si>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</si>
  <si>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</si>
  <si>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</si>
  <si>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</si>
  <si>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</si>
  <si>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</si>
  <si>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</si>
  <si>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</si>
  <si>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</si>
  <si>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</si>
  <si>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</si>
  <si>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</si>
  <si>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</si>
  <si>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</si>
  <si>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</si>
  <si>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</si>
  <si>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</si>
  <si>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</si>
  <si>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</si>
  <si>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</si>
  <si>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</si>
  <si>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</si>
  <si>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</si>
  <si>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</si>
  <si>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</si>
  <si>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</si>
  <si>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</si>
  <si>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</si>
  <si>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</si>
  <si>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</si>
  <si>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</si>
  <si>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</si>
  <si>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</si>
  <si>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</si>
  <si>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</si>
  <si>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</si>
  <si>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</si>
  <si>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</si>
  <si>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</si>
  <si>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</si>
  <si>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</si>
  <si>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</si>
  <si>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</si>
  <si>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</si>
  <si>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</si>
  <si>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</si>
  <si>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</si>
  <si>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</si>
  <si>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</si>
  <si>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</si>
  <si>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</si>
  <si>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</si>
  <si>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</si>
  <si>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</si>
  <si>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</si>
  <si>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</si>
  <si>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</si>
  <si>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</si>
  <si>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</si>
  <si>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</si>
  <si>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</si>
  <si>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</si>
  <si>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</si>
  <si>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</si>
  <si>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</si>
  <si>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</si>
  <si>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</si>
  <si>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</si>
  <si>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</si>
  <si>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</si>
  <si>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</si>
  <si>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</si>
  <si>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</si>
  <si>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</si>
  <si>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</si>
  <si>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</si>
  <si>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</si>
  <si>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</si>
  <si>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</si>
  <si>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</si>
  <si>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</si>
  <si>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</si>
  <si>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</si>
  <si>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</si>
  <si>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</si>
  <si>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</si>
  <si>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</si>
  <si>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</si>
  <si>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</si>
  <si>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</si>
  <si>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</si>
  <si>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</si>
  <si>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</si>
  <si>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</si>
  <si>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</si>
  <si>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</si>
  <si>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</si>
  <si>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</si>
  <si>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</si>
  <si>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</si>
  <si>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</si>
  <si>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</si>
  <si>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</si>
  <si>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</si>
  <si>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</si>
  <si>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</si>
  <si>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</si>
  <si>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</si>
  <si>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</si>
  <si>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</si>
  <si>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</si>
  <si>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</si>
  <si>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</si>
  <si>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</si>
  <si>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</si>
  <si>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</si>
  <si>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</si>
  <si>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</si>
  <si>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</si>
  <si>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</si>
  <si>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</si>
  <si>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</si>
  <si>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</si>
  <si>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</si>
  <si>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</si>
  <si>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</si>
  <si>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</si>
  <si>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</si>
  <si>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</si>
  <si>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</si>
  <si>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</si>
  <si>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</si>
  <si>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</si>
  <si>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</si>
  <si>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</si>
  <si>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</si>
  <si>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</si>
  <si>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</si>
  <si>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</si>
  <si>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</si>
  <si>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</si>
  <si>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</si>
  <si>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</si>
  <si>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</si>
  <si>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</si>
  <si>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</si>
  <si>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</si>
  <si>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</si>
  <si>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</si>
  <si>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</si>
  <si>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</si>
  <si>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</si>
  <si>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</si>
  <si>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</si>
  <si>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</si>
  <si>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</si>
  <si>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</si>
  <si>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</si>
  <si>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</si>
  <si>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</si>
  <si>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</si>
  <si>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</si>
  <si>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</si>
  <si>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</si>
  <si>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</si>
  <si>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</si>
  <si>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</si>
  <si>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</si>
  <si>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</si>
  <si>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</si>
  <si>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</si>
  <si>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</si>
  <si>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</si>
  <si>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</si>
  <si>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</si>
  <si>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</si>
  <si>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</si>
  <si>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</si>
  <si>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</si>
  <si>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</si>
  <si>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</si>
  <si>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</si>
  <si>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</si>
  <si>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</si>
  <si>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</si>
  <si>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</si>
  <si>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</si>
  <si>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</si>
  <si>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</si>
  <si>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</si>
  <si>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</si>
  <si>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</si>
  <si>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</si>
  <si>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</si>
  <si>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</si>
  <si>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</si>
  <si>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</si>
  <si>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</si>
  <si>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</si>
  <si>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</si>
  <si>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</si>
  <si>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</si>
  <si>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</si>
  <si>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</si>
  <si>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</si>
  <si>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</si>
  <si>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</si>
  <si>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</si>
  <si>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</si>
  <si>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</si>
  <si>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</si>
  <si>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</si>
  <si>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</si>
  <si>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</si>
  <si>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</si>
  <si>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</si>
  <si>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</si>
  <si>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</si>
  <si>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</si>
  <si>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</si>
  <si>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</si>
  <si>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</si>
  <si>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</si>
  <si>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</si>
  <si>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</si>
  <si>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</si>
  <si>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</si>
  <si>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</si>
  <si>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</si>
  <si>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</si>
  <si>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</si>
  <si>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</si>
  <si>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</si>
  <si>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</si>
  <si>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</si>
  <si>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</si>
  <si>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</si>
  <si>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</si>
  <si>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</si>
  <si>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</si>
  <si>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</si>
  <si>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</si>
  <si>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</si>
  <si>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</si>
  <si>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</si>
  <si>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</si>
  <si>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</si>
  <si>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</si>
  <si>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</si>
  <si>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</si>
  <si>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</si>
  <si>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</si>
  <si>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</si>
  <si>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</si>
  <si>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</si>
  <si>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</si>
  <si>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</si>
  <si>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</si>
  <si>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</si>
  <si>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</si>
  <si>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</si>
  <si>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</si>
  <si>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</si>
  <si>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</si>
  <si>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</si>
  <si>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</si>
  <si>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</si>
  <si>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</si>
  <si>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</si>
  <si>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</si>
  <si>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</si>
  <si>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</si>
  <si>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</si>
  <si>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</si>
  <si>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</si>
  <si>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</si>
  <si>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</si>
  <si>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</si>
  <si>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</si>
  <si>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</si>
  <si>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</si>
  <si>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</si>
  <si>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</si>
  <si>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</si>
  <si>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</si>
  <si>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</si>
  <si>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</si>
  <si>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</si>
  <si>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</si>
  <si>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</si>
  <si>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</si>
  <si>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</si>
  <si>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</si>
  <si>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</si>
  <si>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</si>
  <si>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</si>
  <si>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</si>
  <si>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</si>
  <si>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</si>
  <si>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</si>
  <si>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</si>
  <si>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</si>
  <si>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</si>
  <si>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</si>
  <si>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</si>
  <si>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</si>
  <si>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</si>
  <si>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</si>
  <si>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</si>
  <si>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</si>
  <si>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</si>
  <si>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</si>
  <si>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</si>
  <si>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</si>
  <si>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</si>
  <si>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</si>
  <si>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</si>
  <si>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</si>
  <si>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</si>
  <si>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</si>
  <si>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</si>
  <si>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</si>
  <si>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</si>
  <si>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</si>
  <si>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</si>
  <si>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</si>
  <si>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</si>
  <si>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</si>
  <si>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</si>
  <si>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</si>
  <si>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</si>
  <si>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</si>
  <si>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</si>
  <si>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</si>
  <si>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</si>
  <si>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</si>
  <si>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</si>
  <si>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</si>
  <si>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</si>
  <si>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</si>
  <si>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</si>
  <si>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</si>
  <si>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</si>
  <si>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</si>
  <si>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</si>
  <si>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</si>
  <si>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</si>
  <si>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</si>
  <si>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</si>
  <si>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</si>
  <si>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</si>
  <si>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</si>
  <si>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</si>
  <si>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</si>
  <si>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</si>
  <si>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</si>
  <si>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</si>
  <si>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</si>
  <si>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</si>
  <si>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</si>
  <si>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</si>
  <si>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</si>
  <si>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</si>
  <si>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</si>
  <si>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</si>
  <si>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</si>
  <si>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</si>
  <si>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</si>
  <si>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</si>
  <si>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</si>
  <si>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</si>
  <si>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</si>
  <si>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</si>
  <si>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</si>
  <si>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</si>
  <si>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</si>
  <si>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</si>
  <si>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</si>
  <si>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</si>
  <si>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</si>
  <si>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</si>
  <si>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</si>
  <si>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</si>
  <si>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</si>
  <si>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</si>
  <si>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</si>
  <si>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</si>
  <si>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</si>
  <si>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</si>
  <si>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</si>
  <si>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</si>
  <si>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</si>
  <si>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</si>
  <si>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</si>
  <si>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</si>
  <si>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</si>
  <si>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</si>
  <si>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</si>
  <si>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</si>
  <si>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</si>
  <si>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</si>
  <si>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</si>
  <si>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</si>
  <si>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</si>
  <si>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</si>
  <si>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</si>
  <si>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</si>
  <si>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</si>
  <si>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</si>
  <si>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</si>
  <si>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</si>
  <si>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</si>
  <si>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</si>
  <si>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</si>
  <si>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</si>
  <si>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</si>
  <si>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</si>
  <si>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</si>
  <si>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</si>
  <si>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</si>
  <si>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</si>
  <si>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</si>
  <si>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</si>
  <si>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</si>
  <si>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</si>
  <si>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</si>
  <si>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</si>
  <si>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</si>
  <si>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</si>
  <si>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</si>
  <si>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</si>
  <si>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</si>
  <si>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</si>
  <si>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</si>
  <si>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</si>
  <si>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</si>
  <si>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</si>
  <si>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</si>
  <si>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</si>
  <si>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</si>
  <si>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</si>
  <si>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</si>
  <si>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</si>
  <si>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</si>
  <si>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</si>
  <si>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</si>
  <si>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</si>
  <si>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</si>
  <si>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</si>
  <si>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</si>
  <si>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</si>
  <si>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</si>
  <si>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</si>
  <si>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</si>
  <si>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</si>
  <si>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</si>
  <si>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</si>
  <si>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</si>
  <si>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</si>
  <si>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</si>
  <si>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</si>
  <si>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</si>
  <si>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</si>
  <si>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</si>
  <si>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</si>
  <si>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</si>
  <si>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</si>
  <si>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</si>
  <si>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</si>
  <si>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</si>
  <si>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</si>
  <si>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</si>
  <si>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</si>
  <si>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</si>
  <si>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</si>
  <si>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</si>
  <si>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</si>
  <si>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</si>
  <si>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</si>
  <si>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</si>
  <si>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</si>
  <si>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</si>
  <si>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</si>
  <si>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</si>
  <si>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</si>
  <si>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</si>
  <si>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</si>
  <si>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</si>
  <si>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</si>
  <si>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</si>
  <si>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</si>
  <si>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</si>
  <si>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</si>
  <si>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</si>
  <si>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</si>
  <si>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</si>
  <si>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</si>
  <si>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</si>
  <si>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</si>
  <si>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</si>
  <si>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</si>
  <si>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</si>
  <si>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</si>
  <si>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</si>
  <si>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</si>
  <si>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</si>
  <si>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</si>
  <si>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</si>
  <si>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</si>
  <si>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</si>
  <si>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</si>
  <si>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</si>
  <si>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</si>
  <si>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</si>
  <si>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</si>
  <si>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</si>
  <si>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</si>
  <si>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</si>
  <si>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</si>
  <si>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</si>
  <si>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</si>
  <si>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</si>
  <si>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</si>
  <si>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</si>
  <si>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</si>
  <si>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</si>
  <si>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</si>
  <si>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</si>
  <si>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</si>
  <si>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</si>
  <si>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</si>
  <si>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</si>
  <si>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</si>
  <si>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</si>
  <si>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</si>
  <si>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</si>
  <si>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</si>
  <si>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</si>
  <si>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</si>
  <si>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</si>
  <si>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</si>
  <si>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</si>
  <si>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</si>
  <si>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</si>
  <si>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</si>
  <si>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</si>
  <si>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</si>
  <si>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</si>
  <si>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</si>
  <si>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</si>
  <si>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</si>
  <si>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</si>
  <si>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</si>
  <si>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</si>
  <si>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</si>
  <si>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</si>
  <si>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</si>
  <si>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</si>
  <si>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</si>
  <si>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</si>
  <si>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</si>
  <si>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</si>
  <si>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</si>
  <si>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</si>
  <si>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</si>
  <si>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</si>
  <si>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</si>
  <si>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</si>
  <si>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</si>
  <si>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</si>
  <si>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</si>
  <si>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</si>
  <si>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</si>
  <si>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</si>
  <si>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</si>
  <si>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</si>
  <si>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</si>
  <si>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</si>
  <si>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</si>
  <si>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</si>
  <si>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</si>
  <si>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</si>
  <si>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</si>
  <si>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</si>
  <si>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</si>
  <si>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</si>
  <si>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</si>
  <si>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</si>
  <si>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</si>
  <si>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</si>
  <si>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</si>
  <si>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</si>
  <si>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</si>
  <si>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</si>
  <si>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</si>
  <si>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</si>
  <si>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</si>
  <si>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</si>
  <si>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</si>
  <si>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</si>
  <si>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</si>
  <si>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</si>
  <si>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</si>
  <si>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</si>
  <si>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</si>
  <si>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</si>
  <si>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</si>
  <si>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</si>
  <si>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</si>
  <si>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</si>
  <si>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</si>
  <si>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</si>
  <si>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</si>
  <si>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</si>
  <si>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</si>
  <si>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</si>
  <si>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</si>
  <si>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</si>
  <si>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</si>
  <si>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</si>
  <si>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</si>
  <si>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</si>
  <si>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</si>
  <si>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</si>
  <si>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</si>
  <si>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</si>
  <si>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</si>
  <si>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</si>
  <si>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</si>
  <si>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</si>
  <si>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</si>
  <si>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</si>
  <si>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</si>
  <si>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</si>
  <si>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</si>
  <si>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</si>
  <si>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</si>
  <si>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</si>
  <si>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</si>
  <si>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</si>
  <si>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</si>
  <si>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</si>
  <si>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</si>
  <si>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</si>
  <si>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</si>
  <si>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</si>
  <si>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</si>
  <si>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</si>
  <si>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</si>
  <si>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</si>
  <si>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</si>
  <si>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</si>
  <si>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</si>
  <si>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</si>
  <si>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</si>
  <si>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</si>
  <si>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</si>
  <si>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</si>
  <si>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</si>
  <si>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</si>
  <si>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</si>
  <si>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</si>
  <si>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</si>
  <si>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</si>
  <si>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</si>
  <si>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</si>
  <si>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</si>
  <si>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</si>
  <si>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</si>
  <si>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</si>
  <si>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</si>
  <si>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</si>
  <si>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</si>
  <si>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</si>
  <si>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</si>
  <si>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</si>
  <si>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</si>
  <si>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</si>
  <si>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</si>
  <si>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</si>
  <si>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</si>
  <si>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</si>
  <si>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</si>
  <si>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</si>
  <si>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</si>
  <si>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</si>
  <si>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</si>
  <si>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</si>
  <si>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</si>
  <si>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</si>
  <si>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</si>
  <si>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</si>
  <si>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</si>
  <si>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</si>
  <si>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</si>
  <si>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</si>
  <si>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</si>
  <si>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</si>
  <si>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</si>
  <si>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</si>
  <si>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</si>
  <si>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</si>
  <si>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</si>
  <si>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</si>
  <si>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</si>
  <si>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</si>
  <si>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</si>
  <si>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</si>
  <si>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</si>
  <si>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</si>
  <si>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</si>
  <si>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</si>
  <si>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</si>
  <si>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</si>
  <si>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</si>
  <si>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</si>
  <si>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</si>
  <si>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</si>
  <si>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</si>
  <si>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</si>
  <si>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</si>
  <si>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</si>
  <si>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</si>
  <si>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</si>
  <si>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</si>
  <si>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</si>
  <si>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</si>
  <si>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</si>
  <si>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</si>
  <si>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</si>
  <si>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</si>
  <si>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</si>
  <si>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</si>
  <si>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</si>
  <si>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</si>
  <si>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</si>
  <si>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</si>
  <si>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</si>
  <si>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</si>
  <si>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</si>
  <si>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</si>
  <si>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</si>
  <si>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</si>
  <si>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</si>
  <si>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</si>
  <si>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</si>
  <si>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</si>
  <si>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</si>
  <si>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</si>
  <si>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</si>
  <si>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</si>
  <si>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</si>
  <si>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</si>
  <si>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</si>
  <si>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</si>
  <si>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</si>
  <si>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</si>
  <si>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</si>
  <si>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</si>
  <si>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</si>
  <si>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</si>
  <si>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</si>
  <si>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</si>
  <si>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</si>
  <si>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</si>
  <si>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</si>
  <si>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</si>
  <si>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</si>
  <si>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</si>
  <si>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</si>
  <si>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</si>
  <si>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</si>
  <si>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</si>
  <si>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</si>
  <si>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</si>
  <si>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</si>
  <si>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</si>
  <si>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</si>
  <si>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</si>
  <si>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</si>
  <si>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</si>
  <si>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</si>
  <si>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</si>
  <si>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</si>
  <si>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</si>
  <si>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</si>
  <si>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</si>
  <si>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</si>
  <si>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</si>
  <si>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</si>
  <si>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</si>
  <si>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</si>
  <si>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</si>
  <si>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</si>
  <si>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</si>
  <si>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</si>
  <si>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</si>
  <si>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</si>
  <si>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</si>
  <si>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</si>
  <si>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</si>
  <si>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</si>
  <si>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</si>
  <si>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</si>
  <si>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</si>
  <si>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</si>
  <si>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</si>
  <si>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</si>
  <si>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</si>
  <si>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</si>
  <si>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</si>
  <si>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</si>
  <si>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</si>
  <si>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</si>
  <si>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</si>
  <si>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</si>
  <si>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</si>
  <si>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</si>
  <si>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</si>
  <si>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</si>
  <si>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</si>
  <si>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</si>
  <si>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</si>
  <si>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</si>
  <si>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</si>
  <si>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</si>
  <si>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</si>
  <si>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</si>
  <si>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</si>
  <si>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</si>
  <si>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</si>
  <si>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</si>
  <si>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</si>
  <si>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</si>
  <si>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</si>
  <si>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</si>
  <si>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</si>
  <si>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</si>
  <si>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</si>
  <si>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</si>
  <si>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</si>
  <si>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</si>
  <si>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</si>
  <si>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</si>
  <si>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</si>
  <si>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</si>
  <si>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</si>
  <si>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</si>
  <si>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</si>
  <si>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</si>
  <si>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</si>
  <si>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</si>
  <si>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</si>
  <si>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</si>
  <si>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</si>
  <si>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</si>
  <si>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</si>
  <si>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</si>
  <si>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</si>
  <si>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</si>
  <si>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</si>
  <si>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</si>
  <si>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</si>
  <si>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</si>
  <si>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</si>
  <si>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</si>
  <si>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</si>
  <si>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</si>
  <si>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</si>
  <si>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</si>
  <si>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</si>
  <si>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</si>
  <si>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</si>
  <si>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</si>
  <si>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</si>
  <si>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</si>
  <si>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</si>
  <si>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</si>
  <si>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</si>
  <si>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</si>
  <si>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</si>
  <si>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</si>
  <si>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</si>
  <si>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</si>
  <si>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</si>
  <si>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</si>
  <si>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</si>
  <si>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</si>
  <si>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</si>
  <si>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</si>
  <si>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</si>
  <si>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</si>
  <si>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</si>
  <si>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</si>
  <si>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</si>
  <si>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</si>
  <si>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</si>
  <si>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</si>
  <si>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</si>
  <si>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</si>
  <si>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</si>
  <si>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</si>
  <si>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</si>
  <si>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</si>
  <si>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</si>
  <si>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</si>
  <si>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</si>
  <si>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</si>
  <si>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</si>
  <si>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</si>
  <si>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</si>
  <si>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</si>
  <si>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</si>
  <si>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</si>
  <si>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</si>
  <si>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</si>
  <si>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</si>
  <si>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</si>
  <si>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</si>
  <si>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</si>
  <si>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</si>
  <si>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</si>
  <si>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</si>
  <si>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</si>
  <si>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</si>
  <si>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</si>
  <si>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</si>
  <si>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</si>
  <si>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</si>
  <si>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</si>
  <si>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</si>
  <si>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</si>
  <si>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</si>
  <si>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</si>
  <si>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</si>
  <si>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</si>
  <si>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</si>
  <si>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</si>
  <si>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</si>
  <si>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</si>
  <si>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</si>
  <si>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</si>
  <si>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</si>
  <si>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</si>
  <si>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</si>
  <si>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</si>
  <si>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</si>
  <si>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</si>
  <si>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</si>
  <si>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</si>
  <si>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</si>
  <si>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</si>
  <si>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</si>
  <si>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</si>
  <si>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</si>
  <si>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</si>
  <si>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</si>
  <si>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</si>
  <si>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</si>
  <si>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</si>
  <si>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</si>
  <si>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</si>
  <si>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</si>
  <si>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</si>
  <si>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</si>
  <si>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</si>
  <si>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</si>
  <si>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</si>
  <si>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</si>
  <si>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</si>
  <si>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</si>
  <si>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</si>
  <si>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</si>
  <si>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</si>
  <si>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</si>
  <si>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</si>
  <si>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</si>
  <si>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</si>
  <si>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</si>
  <si>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</si>
  <si>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</si>
  <si>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</si>
  <si>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</si>
  <si>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</si>
  <si>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</si>
  <si>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</si>
  <si>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</si>
  <si>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</si>
  <si>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</si>
  <si>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</si>
  <si>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</si>
  <si>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</si>
  <si>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</si>
  <si>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</si>
  <si>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</si>
  <si>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</si>
  <si>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</si>
  <si>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</si>
  <si>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</si>
  <si>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</si>
  <si>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</si>
  <si>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</si>
  <si>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</si>
  <si>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</si>
  <si>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</si>
  <si>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</si>
  <si>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</si>
  <si>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</si>
  <si>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</si>
  <si>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</si>
  <si>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</si>
  <si>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</si>
  <si>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</si>
  <si>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</si>
  <si>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</si>
  <si>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</si>
  <si>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</si>
  <si>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</si>
  <si>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</si>
  <si>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</si>
  <si>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</si>
  <si>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</si>
  <si>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</si>
  <si>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</si>
  <si>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</si>
  <si>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</si>
  <si>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</si>
  <si>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</si>
  <si>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</si>
  <si>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</si>
  <si>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</si>
  <si>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</si>
  <si>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</si>
  <si>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</si>
  <si>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</si>
  <si>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</si>
  <si>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</si>
  <si>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</si>
  <si>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</si>
  <si>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</si>
  <si>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</si>
  <si>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</si>
  <si>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</si>
  <si>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</si>
  <si>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</si>
  <si>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</si>
  <si>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</si>
  <si>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</si>
  <si>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</si>
  <si>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</si>
  <si>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</si>
  <si>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</si>
  <si>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</si>
  <si>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</si>
  <si>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</si>
  <si>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</si>
  <si>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</si>
  <si>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</si>
  <si>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</si>
  <si>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</si>
  <si>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</si>
  <si>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</si>
  <si>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</si>
  <si>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</si>
  <si>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</si>
  <si>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</si>
  <si>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</si>
  <si>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</si>
  <si>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</si>
  <si>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</si>
  <si>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</si>
  <si>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</si>
  <si>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</si>
  <si>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</si>
  <si>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</si>
  <si>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</si>
  <si>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Estratégica no. 7  Gestión académica y administrativa de la vinculación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</si>
  <si>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</si>
  <si>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</si>
  <si>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</si>
  <si>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</si>
  <si>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</si>
  <si>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</si>
  <si>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</si>
  <si>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</si>
  <si>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</si>
  <si>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</si>
  <si>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</si>
  <si>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</si>
  <si>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</si>
  <si>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</si>
  <si>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</si>
  <si>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</si>
  <si>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</si>
  <si>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</si>
  <si>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</si>
  <si>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</si>
  <si>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</si>
  <si>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</si>
  <si>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</si>
  <si>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</si>
  <si>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</si>
  <si>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</si>
  <si>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</si>
  <si>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</si>
  <si>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</si>
  <si>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</si>
  <si>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</si>
  <si>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</si>
  <si>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</si>
  <si>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</si>
  <si>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</si>
  <si>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</si>
  <si>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</si>
  <si>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</si>
  <si>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</si>
  <si>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</si>
  <si>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</si>
  <si>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</si>
  <si>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</si>
  <si>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</si>
  <si>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</si>
  <si>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</si>
  <si>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</si>
  <si>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</si>
  <si>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 xml:space="preserve">Alianzas estrategicas para el logro de programas y proyectos de formación universitaria del Centro Regional del Oriente </t>
  </si>
  <si>
    <t>Numero de alianzas</t>
  </si>
  <si>
    <t xml:space="preserve">Identificar aliados estrategicos a fin de establecer la formación de cartas de inteciones, que permitan el acceso de los jovenes a los programas de formación universitaria </t>
  </si>
  <si>
    <t xml:space="preserve">convenios suscritos, cartas de entendimiento </t>
  </si>
  <si>
    <t xml:space="preserve">Municipios de la Región Oriental </t>
  </si>
  <si>
    <t>Departamentos</t>
  </si>
  <si>
    <t xml:space="preserve">2- El 10% de la nueva oferta académica demandada (mediante estudio oferta demanda y solicitudes pendientes) </t>
  </si>
  <si>
    <t>Implementados currículos innovadores de carreras tecnológicas  a nivel de grado y postgrado (macro, meso y micro currículos).</t>
  </si>
  <si>
    <t>Gestionar el espacio físico para docentes de Ciencias Económicas y aula audiovisual</t>
  </si>
  <si>
    <t>Los docentes actualmente están ocupando el espacio establecido para laboratorio de enfermería, existe muy poca privacidad y comodidad para brindar asesorías académicas a los estudiantes. El aula audio visual servirá para la apertura de nueva oferta academica  y será acondicionada para utilizarla como aula de maestría.</t>
  </si>
  <si>
    <t>Mejoramiento del desarrollo academico de UNAH-TEC mediante obras fisicas, equipo y laboratorios</t>
  </si>
  <si>
    <t>UNAH-TEC-DANLI</t>
  </si>
  <si>
    <t>Su aprobación depende de las autoridades universitarias y del presupuesto que asignen al centro.</t>
  </si>
  <si>
    <t>1. Las Unidades Académicas y Administrativas disponen y tienen  acceso a los servicios de la plataforma tecnológica y al programa de desarrollo tecnológico de la UNAH.</t>
  </si>
  <si>
    <t>2. La infraestructura de las sedes universitarias en termino de aulas, salones, talleres, laboratorios, oficinas u otros, son suficientes y adecuados para el logro de los objetivos institucionales.</t>
  </si>
  <si>
    <t>3. Los Departamentos Académicos y las carreras disponen del equipo didáctico necesario para facilitar el proceso del desarrollo educativo.</t>
  </si>
  <si>
    <t>4. La unidad académica cuenta con un presupuesto que le permite realizar adecuadamente las funciones de docencia, investigación, vinculación y gestión académica programadas por la carrera.</t>
  </si>
  <si>
    <t>11.2.1.DCE</t>
  </si>
  <si>
    <t xml:space="preserve">CEMENTO </t>
  </si>
  <si>
    <t xml:space="preserve">VARILLA </t>
  </si>
  <si>
    <t xml:space="preserve">CIMENTACION Y ESTRUCTURAS </t>
  </si>
  <si>
    <t xml:space="preserve">PAREDES </t>
  </si>
  <si>
    <t xml:space="preserve">ACABADOS </t>
  </si>
  <si>
    <t>CUBIERTA Y CIELO FALSO</t>
  </si>
  <si>
    <t xml:space="preserve">PISOS </t>
  </si>
  <si>
    <t xml:space="preserve">INSTALACIONES ELECTRICAS </t>
  </si>
  <si>
    <t>INSTALACIONES HIDROSANITARIAS</t>
  </si>
  <si>
    <t xml:space="preserve">PUERTAS Y VENTANAS </t>
  </si>
  <si>
    <t xml:space="preserve">PINTURA </t>
  </si>
  <si>
    <t>1.1.1.DCE</t>
  </si>
  <si>
    <t>Diagnóstico y plan de factibilidad de la zona oriental para la apertura de la Carrera Técnico en Administración de Empresas Cafetaleras</t>
  </si>
  <si>
    <t>En la zona oriental existen más de 16,000 familias que explotan este rubro económico, y a nivel nacional el Departamento de El Paraíso tiene el área donde más se cultiva café. Además se ampliará la oferta académica en Ciencias Económicas porque este técnico tiene más del 50% de la Licenciatura en Administración de Empresas, la cual es útil para los estudiantes de secundaria que en la mayoría de los colegios egresan de carreras relacionadas con Ciencias Económicas.</t>
  </si>
  <si>
    <t xml:space="preserve">Documento elaborado </t>
  </si>
  <si>
    <t xml:space="preserve">Zona Oriental </t>
  </si>
  <si>
    <t xml:space="preserve">Departamento de Ciencias Economicas </t>
  </si>
  <si>
    <t>1.1.2.DCE</t>
  </si>
  <si>
    <t>Gestionar junto a la DAFT, la ampliaccion  del Técnico Universitario en Administración de Empresas Cafetaleras en UNAH-TEC-DANLÍ,  por parte del Consejo Universitario.</t>
  </si>
  <si>
    <t>Incrementar la oferta académica en UNAH-TEC-DANLÍ, en base a las demandas de la zona oriental</t>
  </si>
  <si>
    <t xml:space="preserve">DAFT, Departamento de Ciencias Economicas </t>
  </si>
  <si>
    <t xml:space="preserve">Departamentos Equipados </t>
  </si>
  <si>
    <t xml:space="preserve">Numero de dispositivos proveídos </t>
  </si>
  <si>
    <t>11.3.1.DCE</t>
  </si>
  <si>
    <t>Gestión de equipamiento para el espacio físico de Ciencias Económicas y el aula audiovisual</t>
  </si>
  <si>
    <t>Esto facilitará los procesos de enseñanza para los alumnos, y al mismo tiempo nos estamos adaptando a las nuevas herramientas tecnológicas utilizadas en el ambito profesional.</t>
  </si>
  <si>
    <t>Brindar Capacitaciones a los alumnos de último año de la Escuela Agrotécnia de Oriente, Dr. Reinaldo Salinas López, Municipio de Jacaleapa en las areas  que se detallan a continuacion: .1. Capacitació en 5S y calidad total, 2. Motivación Empresarial                                         3.  Costos  de producción            4. Administración básica y Mercadotecnia          5 Regístros de contabilidad                              . 6.Economía y finanzas     7 Rural Pro.</t>
  </si>
  <si>
    <t xml:space="preserve">Capacitar 5 empresa del sector publico o privado en los temas siguientes:   1. Manejo de herremientas estadíscas.  2.  Administración de Recursos Humanos   3. Manejo del software Rural Pro.        </t>
  </si>
  <si>
    <t xml:space="preserve"> Estudiar la forma como actualmente desarrolla la administración de 4 micro empresas de la zona oriental, para comparar entre administración empírica y científica; </t>
  </si>
  <si>
    <t>3.7.2.DCE</t>
  </si>
  <si>
    <t>3.7.1.DCE</t>
  </si>
  <si>
    <t>3.7.3.DCE</t>
  </si>
  <si>
    <t>Número de micro empresas capacitadas</t>
  </si>
  <si>
    <t>Capacitadas al menos 5 micro empresas en Estadísca y Administración de Recursos Humanos</t>
  </si>
  <si>
    <t>Fotografías, Videos, Listas de Asistencia, convenio o cartas de intención.</t>
  </si>
  <si>
    <t>Micro empresas de la ciudad de Danlí y El Paraíso</t>
  </si>
  <si>
    <t>Docentes y alumnos del Departameno de Ciencias Económicas</t>
  </si>
  <si>
    <t>Fotografías, Videos, Listas de Asistencia; Diplomas.</t>
  </si>
  <si>
    <t>Analizadas al menos 3 empresas en la aplicación de Administración Científica</t>
  </si>
  <si>
    <t>Estudiantes de ultimo año  que sean entes multiplicadores en la sociedad</t>
  </si>
  <si>
    <t>Número del estudiantes  capacitados.</t>
  </si>
  <si>
    <t>Fotografías, Videos, Listas de Asistencia.</t>
  </si>
  <si>
    <t>Estudiantes  de ultimo año de la escuela Agrotécnica de Oriente Dr.Reinaldo Salina formados en el municipio de San Matias.</t>
  </si>
  <si>
    <t xml:space="preserve">Biblioteca Equipada con material didactico (libros) para brindar servicios a los estudiantes </t>
  </si>
  <si>
    <t xml:space="preserve">Numero de estudiantes atendidos </t>
  </si>
  <si>
    <t>11.3.2.DCE</t>
  </si>
  <si>
    <t xml:space="preserve">Los estudiantes de último año serán fortalecidos en sus conocimientos para mejorar su desempeño profesional, además les servirá de motivación para los que continuarán sus estudios universitarios. </t>
  </si>
  <si>
    <t>Los productores y las micro empresas necesitan fortalecerse para mejorar su eficiencia y competitividad, para ello la UNAH pone a dispocisión los conocimientos que los alumnos aprenden en sus aulas de clase.</t>
  </si>
  <si>
    <t>Las micro empresas necesitan fortalecerse para mejorar su eficiencia y competitividad, para ello la UNAH pone a dispocisión los conocimientos que los alumnos aprenden en sus aulas de clase.</t>
  </si>
  <si>
    <t xml:space="preserve">Gestionar la Dotación material de estudio (textos) Economo-Administrativo para la biblioteca Alfredo León Gomez </t>
  </si>
  <si>
    <t>PRINCIPIOS DE MACROECONOMIA</t>
  </si>
  <si>
    <t>MACROECONOMIA</t>
  </si>
  <si>
    <t xml:space="preserve"> MICROECONOMIA ( VERSION PARA LATINOAMERICA)</t>
  </si>
  <si>
    <t>MICROECONOMIA</t>
  </si>
  <si>
    <t>PRINCIPIOS DE ECONOMIA</t>
  </si>
  <si>
    <t>PRINCIPIOS DE ADMINISTRACION FINANCIERAS</t>
  </si>
  <si>
    <t>CONTABILIDAD</t>
  </si>
  <si>
    <t>CONTABILIDAD LA BASE PARA LAS DECISIONES</t>
  </si>
  <si>
    <t>MATEMATICAS APLICADAS A LA ADMINISTRACION Y A LA ECONOMIA</t>
  </si>
  <si>
    <t xml:space="preserve">PRECALCULO </t>
  </si>
  <si>
    <t xml:space="preserve">ADMINISTRACION </t>
  </si>
  <si>
    <t>CONTABILIDAD DE COSTOS</t>
  </si>
  <si>
    <t>CONTABILIDAD ADMINISTRATIVA</t>
  </si>
  <si>
    <t>ESTADISTICA PARA ADMINISTRACION Y ECONOMIA</t>
  </si>
  <si>
    <t xml:space="preserve">CONTABILIDAD </t>
  </si>
  <si>
    <t>MATEMATICAS FINANCIERAS</t>
  </si>
  <si>
    <t>PRINCIPIOS DE ADMINISTRACION FINANCIERA</t>
  </si>
  <si>
    <t>La mayoría de los estudiantes no cuentan con los recursos económicas para adquirir los textos utilizados en las clases y la biblioteca no tiene los sufcientes libros para satisfacer la demanda estudiantil</t>
  </si>
  <si>
    <t>ESTUDIANTES DE UNAH-TEC</t>
  </si>
  <si>
    <t>LIBROS COMPRADOS</t>
  </si>
  <si>
    <t>Departamento de Ciencias Economicas, DIRECCION Y ADMINISTRACION UNAH-TEC, DEPTO DE COMPRAS.</t>
  </si>
  <si>
    <t>UNAH-TEC</t>
  </si>
  <si>
    <t xml:space="preserve">Consejo universitario rectoría    finanzas          directora  UNAH TEC         Administración  enfermería </t>
  </si>
  <si>
    <t>EQUIPO COMPRADO</t>
  </si>
  <si>
    <t>1 proyecto de vinculación, donde se genera un informe sobre la gestión del departamento de informática en una empresa de Danlí</t>
  </si>
  <si>
    <t>3 Proyectos de vinculación entrega de software a la sociedad de Danlí</t>
  </si>
  <si>
    <t>En la clase se exige visitar una o varias empresas en las cuales se les hace un informe sobre la gestion del departamento de informatica</t>
  </si>
  <si>
    <t>En las clases de programacion e implementacion se entregan tres programas a la sociedad de Danlí</t>
  </si>
  <si>
    <t xml:space="preserve">Informe </t>
  </si>
  <si>
    <t xml:space="preserve">Una empresa de la zona oriental </t>
  </si>
  <si>
    <t xml:space="preserve">Carrera de Informatica Administrativa </t>
  </si>
  <si>
    <t xml:space="preserve">Software Funcionando </t>
  </si>
  <si>
    <t xml:space="preserve">Tres empresas de la Zona Oriental </t>
  </si>
  <si>
    <t xml:space="preserve">Número de programas computacionales desarrollados </t>
  </si>
  <si>
    <t>Reflejado el rol de UNAH-TEC en la Zona Oriental como un agente de desarrollo</t>
  </si>
  <si>
    <t xml:space="preserve">3.5.1.CIA </t>
  </si>
  <si>
    <t xml:space="preserve">3.5.2.CIA </t>
  </si>
  <si>
    <t>3 Investigaciones de estudiantes de la clase de seminario de investigación</t>
  </si>
  <si>
    <t>Al finalizar la clase de seminario de investigación se realizan investigaciones  que se entregan a la biblioteca</t>
  </si>
  <si>
    <t xml:space="preserve">Investigaciones </t>
  </si>
  <si>
    <t xml:space="preserve">Estudiantes de Informatica Administrativa </t>
  </si>
  <si>
    <t>UNAH-TEC identifican los proyectos de investigación, cuyos resultados sean susceptibles de protección, uso y explotación de la propiedad intelectual.</t>
  </si>
  <si>
    <t xml:space="preserve">Investigaciones Realizadas </t>
  </si>
  <si>
    <t>2.1.1.CIA</t>
  </si>
  <si>
    <t xml:space="preserve">Realizar 1 investigación del personal docente de Informatica </t>
  </si>
  <si>
    <t>2.1.2.CIA</t>
  </si>
  <si>
    <t xml:space="preserve">Es requisito de todo docente realizar investigación </t>
  </si>
  <si>
    <t xml:space="preserve">Docentes Informatica </t>
  </si>
  <si>
    <t>1 Participación en becas de investigación por la DICYP</t>
  </si>
  <si>
    <t>2.1.3.CIA</t>
  </si>
  <si>
    <t>La investigación es uno de los elementos importantes en todas las áreas del conocimiento, contribuyendo al mejoramiento de la calidad de enseñanza superior</t>
  </si>
  <si>
    <t>Listado de proyectos de investigación participando en becas</t>
  </si>
  <si>
    <t xml:space="preserve">2.1.4.CIA </t>
  </si>
  <si>
    <t>Fortalecimiento en el área de la investigación y socializar trabajos de investigación</t>
  </si>
  <si>
    <t xml:space="preserve">Listado de participantes </t>
  </si>
  <si>
    <t xml:space="preserve">Estudiantes de la carrera de informática e invitados </t>
  </si>
  <si>
    <t>Coordinacion, docentes y estudiantes de informática</t>
  </si>
  <si>
    <t xml:space="preserve">Jornada de intercambio de cpnocimiento de especialistas en el area de informatica </t>
  </si>
  <si>
    <t xml:space="preserve">DIPLOMAS </t>
  </si>
  <si>
    <t xml:space="preserve">SONIDO </t>
  </si>
  <si>
    <t xml:space="preserve">ALQUILERES </t>
  </si>
  <si>
    <t>Gestionar la compra de dos escritorios para docentes de Informática</t>
  </si>
  <si>
    <t>11.3.3.CIA</t>
  </si>
  <si>
    <t>Gestionar la adquisicion de un servidor, rack, cableado UTP, router y un switch para diferentes clases</t>
  </si>
  <si>
    <t xml:space="preserve">11.3.4.CIA </t>
  </si>
  <si>
    <t>Las clases de informática administrativa en su mayoría requieren del uso de un laboratorio, por lo que solo uno no logra abastecer a todas las clases</t>
  </si>
  <si>
    <t xml:space="preserve">ESTUDIANTES Y DOCENTES DE INFORMATICA </t>
  </si>
  <si>
    <t>compra de equipo de computo</t>
  </si>
  <si>
    <t>Mejoramiento del desarrollo academico de UNAH-TEC mediante equipos para laboratorios</t>
  </si>
  <si>
    <t>Caja de cable UTP categoria 5e</t>
  </si>
  <si>
    <t>Conectores RJ45</t>
  </si>
  <si>
    <t>Patch panel de 12 puertos</t>
  </si>
  <si>
    <t>UPS de 3 KVA</t>
  </si>
  <si>
    <t xml:space="preserve">Router                                                                                                                       </t>
  </si>
  <si>
    <r>
      <rPr>
        <sz val="11"/>
        <rFont val="Calibri"/>
        <family val="2"/>
        <scheme val="minor"/>
      </rPr>
      <t xml:space="preserve">Access Point Especificaciones </t>
    </r>
    <r>
      <rPr>
        <sz val="11"/>
        <color theme="1"/>
        <rFont val="Calibri"/>
        <family val="2"/>
        <scheme val="minor"/>
      </rPr>
      <t xml:space="preserve"> </t>
    </r>
  </si>
  <si>
    <r>
      <rPr>
        <sz val="11"/>
        <rFont val="Calibri"/>
        <family val="2"/>
        <scheme val="minor"/>
      </rPr>
      <t xml:space="preserve">Router Inalambrico  Interfaces  Especificaciones 
</t>
    </r>
  </si>
  <si>
    <r>
      <rPr>
        <sz val="11"/>
        <color theme="1"/>
        <rFont val="Calibri"/>
        <family val="2"/>
        <scheme val="minor"/>
      </rPr>
      <t xml:space="preserve">Switch tipo 1
</t>
    </r>
  </si>
  <si>
    <r>
      <rPr>
        <sz val="11"/>
        <color theme="1"/>
        <rFont val="Calibri"/>
        <family val="2"/>
        <scheme val="minor"/>
      </rPr>
      <t xml:space="preserve">Switch tipo 2
</t>
    </r>
  </si>
  <si>
    <r>
      <rPr>
        <sz val="11"/>
        <color theme="1"/>
        <rFont val="Calibri"/>
        <family val="2"/>
        <scheme val="minor"/>
      </rPr>
      <t xml:space="preserve">Rack para montar servidores                                                                                                                                 
</t>
    </r>
  </si>
  <si>
    <r>
      <rPr>
        <sz val="11"/>
        <color theme="1"/>
        <rFont val="Calibri"/>
        <family val="2"/>
        <scheme val="minor"/>
      </rPr>
      <t xml:space="preserve">Servidor
</t>
    </r>
  </si>
  <si>
    <t>Docentes</t>
  </si>
  <si>
    <t>d.1) El  Centro Regional  participan en el programa de capacitación ofertado por la Dirección de Investigación Científica.</t>
  </si>
  <si>
    <t xml:space="preserve">DOS DOCENTES DEL AREA DE INFORMATICA REALIZAN DIPLOMADO DE INVESTIGACIÓN CIENTIFICA </t>
  </si>
  <si>
    <t>Los docentes deben ser capacitados en actualizaciones de la investigación</t>
  </si>
  <si>
    <t>Listado de participantes</t>
  </si>
  <si>
    <t>DEPARTAMENTO DE INFORMATICA, Coordinador regional y DICyP</t>
  </si>
  <si>
    <t xml:space="preserve">2.4.1CIA </t>
  </si>
  <si>
    <t>Crear un programa para llevar el control de estudiantes y graduados de Informatica Administrativa en UNAH-TEC Danlí</t>
  </si>
  <si>
    <t>100% de los graduados se aplica el sistema de seguimiento.</t>
  </si>
  <si>
    <t xml:space="preserve">Aplicación de Sistema de Seguimiento a graduados.  Base de Datos de Egresados, Actualizadas y Monitoreada. </t>
  </si>
  <si>
    <t xml:space="preserve">1.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</si>
  <si>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2. Contribuir a la promoción, prevención y atención integral de la salud en el estudiantado universitario, para mejorar su calidad de vida y rendimiento académico. </t>
  </si>
  <si>
    <t>3. Promover la realización de actividades socioculturales y deportivas tanto recreativas, competitivas y de intercambio estudiantil universitario.</t>
  </si>
  <si>
    <t>4.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</si>
  <si>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5.Mejoramiento de la Calidad, la Pertinencia y la equidad.</t>
  </si>
  <si>
    <t>6. Fortalecimiento de la Calidad.</t>
  </si>
  <si>
    <t>5.5.1.CIA</t>
  </si>
  <si>
    <t>Contar con los datos de los egresados del Centro</t>
  </si>
  <si>
    <t xml:space="preserve">mantenerse informado del estado actual de los graduados </t>
  </si>
  <si>
    <t xml:space="preserve">Base de datos </t>
  </si>
  <si>
    <t xml:space="preserve">INFORMATICA ADMINISTRATIVA </t>
  </si>
  <si>
    <t xml:space="preserve">Brindar  3 cursos del area de informatica diriguido a los estudiantes de la carrera </t>
  </si>
  <si>
    <t>5.4.1.CIA</t>
  </si>
  <si>
    <t xml:space="preserve">Incentivar a los estudiantes para que sigan capacitandose en el area de informática </t>
  </si>
  <si>
    <t xml:space="preserve">LISTADO DE PARTICIPANTES </t>
  </si>
  <si>
    <t xml:space="preserve">ESTUDIANTES DE INFORMATICA ADMINISTRATIVA </t>
  </si>
  <si>
    <t>INFORMATICA ADMINISTRATIVA</t>
  </si>
  <si>
    <t xml:space="preserve">ESTUDIANTES CON MAYOR CONOCIMIENTO EN EL AREA </t>
  </si>
  <si>
    <t xml:space="preserve">ESTUDIANTES CAPACITADOS </t>
  </si>
  <si>
    <t>La directiva de informática esta elegida, falta juramentación de la misma</t>
  </si>
  <si>
    <t xml:space="preserve">ACTA DE JURAMENTACION </t>
  </si>
  <si>
    <t>Aplicada la política de bimodalidad con base en los diagnósticos regionales de necesidades y potencialidades auténticas.</t>
  </si>
  <si>
    <t>Todas la carreras al menos ya tienen cursos que aplican la política de bimodalidad.</t>
  </si>
  <si>
    <t>1.2.1.CIA</t>
  </si>
  <si>
    <t>Creación de una aula virtual para 2 asignaturas de Informática</t>
  </si>
  <si>
    <t xml:space="preserve">Compromiso de docentes a utilizar la plataforma tecnologica </t>
  </si>
  <si>
    <t xml:space="preserve">Incorporacion de la tecnologia en los metodos de enseñanza aprendizaje </t>
  </si>
  <si>
    <t xml:space="preserve">Asignaturas ingresadas a la plataforma </t>
  </si>
  <si>
    <t xml:space="preserve">PERSONAL DOCENTE DE INFORMATICA ADMINISTRATIVA </t>
  </si>
  <si>
    <t xml:space="preserve">Personal Docente de informatica actualizados en el area para brindar una mejor atención a los estudiantes </t>
  </si>
  <si>
    <t xml:space="preserve">Docentes capacitados </t>
  </si>
  <si>
    <t xml:space="preserve">Gestionar una capacitacion con personal de la DEGT sobre server mta  diriguida a Docentes del Area de Informatica </t>
  </si>
  <si>
    <t xml:space="preserve">Ampliar los conocimientos en el area profesional de los docentes de informatica de acuerdo a las necesidades actuales </t>
  </si>
  <si>
    <t>listado de participantes</t>
  </si>
  <si>
    <t xml:space="preserve">docentes de informatica administrativa </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</si>
  <si>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</si>
  <si>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</si>
  <si>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</si>
  <si>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</si>
  <si>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</si>
  <si>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</si>
  <si>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</si>
  <si>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</si>
  <si>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</si>
  <si>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</si>
  <si>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</si>
  <si>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</si>
  <si>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</si>
  <si>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</si>
  <si>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</si>
  <si>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17.1.1.CIA</t>
  </si>
  <si>
    <t>DEGT, COORDINACION DE LA CARRERA, ADMINISTRACION Y DIRECCION UNAHTEC</t>
  </si>
  <si>
    <t>Gestionar junto a la DAFT, la ampleación  del Técnico Universitario Gestión de la Calidad de Aguas en UNAH-TEC-DANLÍ,  por parte del Consejo Universitario.</t>
  </si>
  <si>
    <t>1.1.3.DQDC</t>
  </si>
  <si>
    <t xml:space="preserve">Esta actividad permitira amplear la oferta academica , como producto del proyecto de  sostenibilidad y pertinencia del centro regional del oriente </t>
  </si>
  <si>
    <t>Documento enviado a aprobación</t>
  </si>
  <si>
    <t xml:space="preserve">Asiganción presupuestaria </t>
  </si>
  <si>
    <t>Las micro empresas facilitan el acceso a información básica para aplicar las herramientas estadísticas y administración de recursos humanos</t>
  </si>
  <si>
    <t>Los estudiantes ylos alumnos de Instituto participan activamente en la capacitaciones ofrecidas</t>
  </si>
  <si>
    <t>Realizar un Analisis de la calidad de Agua de una cuenca ubicada en la colonia Nueva Esperanza de la Ciudad de Danlí</t>
  </si>
  <si>
    <t>3.2.1.DQDC</t>
  </si>
  <si>
    <t xml:space="preserve">Esta actividad permitira iniciar los estudios de calidad de aguas en las cuencas de la zona oriental; para que en un futuro cercano UNAH-TEC-DANLÍ brinde los servicios a la entidades que lo requieran.  </t>
  </si>
  <si>
    <t xml:space="preserve">Informe de los resultados obtenidos </t>
  </si>
  <si>
    <t>Colonia Nueva Esperanza de Danli</t>
  </si>
  <si>
    <t xml:space="preserve">Departamento de quimica, departamento de microbiologia </t>
  </si>
  <si>
    <t xml:space="preserve">contar con los insumos para elaborar las pruebas </t>
  </si>
  <si>
    <t>Preparación de los aspirantes  para la prueba del conocimiento en las areas de Quimica y Ciencias Naturales</t>
  </si>
  <si>
    <t>3.7.4.DQ</t>
  </si>
  <si>
    <t>Mejorar los resultados obtenidos por los aspirantes a ingresar a la UNAH en la prueba de conocimiento.</t>
  </si>
  <si>
    <t xml:space="preserve">Aspirantes de la zona oriental que realizaran la prueba de conocimiento </t>
  </si>
  <si>
    <t xml:space="preserve">Departemto de Quimica </t>
  </si>
  <si>
    <t>Listado de los aspirantes capacitados</t>
  </si>
  <si>
    <t>En conjunto con la Carrera de Enfermeria participar en La Feria de la salud, atravez de la gestion de medicamentos con diferentes casas farmaceuticas y en la atencion al publico</t>
  </si>
  <si>
    <t>3.2.2.DQ</t>
  </si>
  <si>
    <t xml:space="preserve">Asesoramiento a los estudiantes de la Carrera de Enfermeria en la producción de medicamentos naturales , jarabes, jabones, tinturas , unguentos para el proyecto de vinculación en la asignatura de Enfermeria y Sociedad y Ecología </t>
  </si>
  <si>
    <t xml:space="preserve">Compromiso de la Coordinación interdisciplinaria lideres comunitarios y ONG; aprobación de la partida presupuestaria </t>
  </si>
  <si>
    <t xml:space="preserve">Brindar servicios de salud a la población con el objetivo de fortalecer la independencia en la practica del estudiante </t>
  </si>
  <si>
    <t>ATA; asistencia de población y listado de estudiantes</t>
  </si>
  <si>
    <t xml:space="preserve">Población que demande atención </t>
  </si>
  <si>
    <t xml:space="preserve">Estudiantes de enfermería y docentes de Quimica, y Enfermeria </t>
  </si>
  <si>
    <t xml:space="preserve">Partida Presupuestaria </t>
  </si>
  <si>
    <t xml:space="preserve">Contribuir con la salud de la población de la Zona Oriental especialmente con las personas de bajos recursos mediante el uso de medicamentos naturales elaborados en el Centro Regional </t>
  </si>
  <si>
    <t xml:space="preserve">Productos elaborados y entregados a la población beneficiada </t>
  </si>
  <si>
    <t>Deptos de Quimica, Enfermeria, Ciencias; Administración Deirección UNAH-TEC</t>
  </si>
  <si>
    <t xml:space="preserve">Envases </t>
  </si>
  <si>
    <t xml:space="preserve">Materia prima </t>
  </si>
  <si>
    <t>3.2.3.DQDCCE</t>
  </si>
  <si>
    <t>Población que demande de medicamentos</t>
  </si>
  <si>
    <t>Desarrollo de Recital poético "A cuatro voces" diriguido a la comunidad literiaria de la Región Oriental</t>
  </si>
  <si>
    <t>La promoción de la cultura y la literatura desde la Universidad conlleva el aporte del desarrollo artístico y el ensanchamiento y el fortalecimiento de los lazos con la comunidad a través de las letras y la búsqueda</t>
  </si>
  <si>
    <t>3.5.3.DH</t>
  </si>
  <si>
    <t xml:space="preserve">Listado de participantes en el Recital </t>
  </si>
  <si>
    <t xml:space="preserve">Población de la Zona Oriental </t>
  </si>
  <si>
    <t xml:space="preserve">Humanidades </t>
  </si>
  <si>
    <t xml:space="preserve">Aprobación presupuestaria </t>
  </si>
  <si>
    <t>Numero de proyectos</t>
  </si>
  <si>
    <t xml:space="preserve">Recital desarrollado </t>
  </si>
  <si>
    <t xml:space="preserve">Almuerzos </t>
  </si>
  <si>
    <t xml:space="preserve">Refrigerio </t>
  </si>
  <si>
    <t xml:space="preserve">combustible </t>
  </si>
  <si>
    <t xml:space="preserve">Reconocimientos </t>
  </si>
  <si>
    <t xml:space="preserve">Sonido </t>
  </si>
  <si>
    <t>Enseñar a jugar ajedrez a estudiantes de UNAH-TEC, mediante la realizacionde tres torneos elementales de ajedrez en el año.</t>
  </si>
  <si>
    <t>desarrollar capacidades logicas y estrategicas en los estudiantes de UNAH-TEC</t>
  </si>
  <si>
    <t>Torneos Realizados</t>
  </si>
  <si>
    <t>Estudiantes de UNAH-TEC</t>
  </si>
  <si>
    <t xml:space="preserve">Depatamento de Humanidades </t>
  </si>
  <si>
    <t>6.3.1.DH</t>
  </si>
  <si>
    <t> Brindar clases presenciales de la asignatura de Español  a los alumnos de primero de Bachillerato en Humanidades en el Centro Penal de Danlí</t>
  </si>
  <si>
    <t>3.7.5.DH</t>
  </si>
  <si>
    <t>Acrecentar y consolidar las prácticas sociales del lenguaje y la integración de los estudiantes en la cultura escrita, así como a contribuir en su formación como sujetos sociales autónomos, conscientes de la pluralidad y complejidad de los modos de interactuar por medio del lenguaje.</t>
  </si>
  <si>
    <t>Estudiantes de Bahillerato del Centro Penal de Danlí</t>
  </si>
  <si>
    <t>Constancia de las Clases Brindadas</t>
  </si>
  <si>
    <t> Brindar I Taller de Ortografía con duración de tres meses a los privados en libertad del Centro Penal de Danlí</t>
  </si>
  <si>
    <t>3.7.6.DH</t>
  </si>
  <si>
    <t>Se ha elegido este tema por diversas razones: una de ellas es que a través del conocimiento que obtengan los alumnos con el taller de ortografía, pueden entender con más facilidad muchas de las palabras que se manejan en el ámbito estudiantil, laboral, empresarial y comercial; también les permite un manejo más concreto de sus ideas al saber expresar  con soltura, para desarrollar capacidades verbales a través del buen empleo de las palabras, sonidos y locuciones vistas en la materia en general, todo esto permite a la persona desarrollarse plenamente en sus capacidades lingüísticas, su aprendizaje y su cultura en general.</t>
  </si>
  <si>
    <t>Constacia de Taller Brindado</t>
  </si>
  <si>
    <t xml:space="preserve">Taller de Literatura Infantil Denominado "Leyendo Juntos" en una escuela pública de la Ciudad de Danlí </t>
  </si>
  <si>
    <t>3.7.7.DH</t>
  </si>
  <si>
    <t>Este proyecto propone revalorizar la biblioteca del centro estudiantil, e iniciar a los niños en el ejercicio práctico del uso cotidiano de la biblioteca, partiendo de crear un clima agradable, confortable y significativo. Poner al niño en contacto directo con los libros favorecerá el ir convirtiéndose gradualmente en lectores competentes, sensibles y críticos.</t>
  </si>
  <si>
    <t xml:space="preserve">Constancia de Talleres Realizados </t>
  </si>
  <si>
    <t>Alumnos de una escuela publica de Danlí</t>
  </si>
  <si>
    <t>3.7.8.DH</t>
  </si>
  <si>
    <t xml:space="preserve">Ha sido observada un significativo número de estudiantes de nivel medio con bajas competencias elementales sobre el idioma Inglés </t>
  </si>
  <si>
    <t xml:space="preserve">Constancia del Seminario Taller Brindado </t>
  </si>
  <si>
    <t>Seminario-Taller sobre Metodología de Enseñanza-aprendizaje  del idioma Inglés en una institucion publica de nivel secundario de la región oriental.</t>
  </si>
  <si>
    <t xml:space="preserve">Instituto de la Zona Oriental </t>
  </si>
  <si>
    <t>Promocionar la oferta academica en la modalidad virtual de las asignaturas de Humanidades a los estudiantes de UNAH-TEC</t>
  </si>
  <si>
    <t xml:space="preserve">1.2.2.DH </t>
  </si>
  <si>
    <t xml:space="preserve">UNAH-TEC cuenta unicamente con un docente permanente en el area de filosofia el cual no puede safisfacer la demanda de la poblacion estudiantil de UNAH-TEC  por lo cual se hace necesario que los estudiantes se incorporen al uso de la modalidad virtual </t>
  </si>
  <si>
    <t xml:space="preserve">estudiantes matriculados en Linea </t>
  </si>
  <si>
    <t>Humanidades</t>
  </si>
  <si>
    <t>Estudiantes interesados a cursar clases en linea</t>
  </si>
  <si>
    <t xml:space="preserve">Gestión para la adquisición  mobiliario para el departamento  de una impresora, archivo, 10 sillas ejecutivas, mesa de reuniones 10 personas, 10 sillas. </t>
  </si>
  <si>
    <t>11.3.5.DH</t>
  </si>
  <si>
    <t>Asignación presupuestaria.</t>
  </si>
  <si>
    <t xml:space="preserve">Equipo comprado </t>
  </si>
  <si>
    <t>RECTORIA, SEDI, SEAF, INFORMATICA, DIRECCION Y ADMINISTRACION UNAH-TEC, DEPTO DE COMPRAS.</t>
  </si>
  <si>
    <t xml:space="preserve">Fortalecer al área de Informatica con la adquisición de equipo necesario para el mejoramiento del proceso enseñanza aprendizaje. </t>
  </si>
  <si>
    <t xml:space="preserve">Fortalecer al Departamento de Humanidades con la adquisición de mobiliario necesario para el mejoramiento del proceso enseñanza aprendizaje. </t>
  </si>
  <si>
    <t xml:space="preserve">Gestionar la Dotación material de estudio (textos) enlas areas de enfermeria, quimica y ciencias para la biblioteca Alfredo León Gomez </t>
  </si>
  <si>
    <t>11.3.6.DQDCCE</t>
  </si>
  <si>
    <t>DEPTOS DE QUIMICA, ENFERMERIA Y CIENCIAS, DIRECCION Y ADMINISTRACION UNAH-TEC, DEPTO DE COMPRAS.</t>
  </si>
  <si>
    <r>
      <t xml:space="preserve">Fundamentos de enfermería </t>
    </r>
    <r>
      <rPr>
        <sz val="11"/>
        <color theme="1"/>
        <rFont val="Arial"/>
        <family val="2"/>
      </rPr>
      <t>volumen I y II.</t>
    </r>
  </si>
  <si>
    <t>Matemáticas para enfermeras. Guía de bolsillo para cálculo de dosis y preparación de medicamentos, MANUAL MODERNO, 2013</t>
  </si>
  <si>
    <t xml:space="preserve">Electrocardiografía interpretación práctica del ECK . Especialidad: medicina familiar y atención primaria de la salud
</t>
  </si>
  <si>
    <t>Técnicas básicas de enfermería.</t>
  </si>
  <si>
    <t>Administración de los servicios de enfermería.</t>
  </si>
  <si>
    <t xml:space="preserve">Metodología de la investigación científica y bioestadística. Para profesionales y estudiantes de ciencias de la salud. </t>
  </si>
  <si>
    <t>QUÍMICA ANALÍTICA CUÁNTICA</t>
  </si>
  <si>
    <r>
      <t>FARMACOLOGIA EN ENFERMERIA</t>
    </r>
    <r>
      <rPr>
        <sz val="11"/>
        <color theme="1"/>
        <rFont val="Arial"/>
        <family val="2"/>
      </rPr>
      <t xml:space="preserve">    </t>
    </r>
  </si>
  <si>
    <t xml:space="preserve">QUIMICA </t>
  </si>
  <si>
    <t>FARMACOLOGIA  BASICA Y CLINICA</t>
  </si>
  <si>
    <t xml:space="preserve">Introducción a la Farmacología </t>
  </si>
  <si>
    <t xml:space="preserve">EL CALCULO </t>
  </si>
  <si>
    <t>FISICA PARA CIENCIAS E INGENIERIA VOLUMEN 1</t>
  </si>
  <si>
    <t>FISICA PARA CIENCIAS E INGENIERIA VOLUMEN 2</t>
  </si>
  <si>
    <t xml:space="preserve">QUIMICA DE LOS ALIMENTOS </t>
  </si>
  <si>
    <t xml:space="preserve">MECANICA DE FLUIDOS </t>
  </si>
  <si>
    <t xml:space="preserve">PRINCIPIOS BASICOS Y CALCULOS EN INGENIERIA QUIMICA </t>
  </si>
  <si>
    <t xml:space="preserve">OPERACIONES UNITARIAS EN INGENIERIA QUIMICA </t>
  </si>
  <si>
    <t>PROCESOS DE TRANSPORTE Y PRINCIPIOS DE PROCESOS DE SEPARACION (INCLUYE OPERACIONES UNITARIAS)</t>
  </si>
  <si>
    <t>MANUAL DE INGENIERO QUIMICO VOLUMEN 1,2,3,4</t>
  </si>
  <si>
    <t xml:space="preserve"> Mejorar el desempeño de los docentes y la calidad de la educación</t>
  </si>
  <si>
    <t>11.3.8.DQDC</t>
  </si>
  <si>
    <t xml:space="preserve">Gestión de equipamiento del departamento de Quimica, Ciencias </t>
  </si>
  <si>
    <t xml:space="preserve">Fortalecer al Departamento de Quimica, Ciencias con la adquisición de mobiliario y equipo necesario para el mejoramiento del proceso enseñanza aprendizaje. </t>
  </si>
  <si>
    <t>RECTORIA, SEDI, SEAF, QUIMICA Y CIENCIAS, DIRECCION Y ADMINISTRACION UNAH-TEC, DEPTO DE COMPRAS.</t>
  </si>
  <si>
    <t>PH METRO RANGO 0-14 RESOLUCION 0.01</t>
  </si>
  <si>
    <t>Licuadora de 8 velocidades.</t>
  </si>
  <si>
    <t>Batidora capacidad 7.6 litros,</t>
  </si>
  <si>
    <t>Montaje de destilación completo</t>
  </si>
  <si>
    <t>BALANZA GRANATARIA 610 GR JUNTO CON UN PESAS EXTRA DE 100,200,500 GR.</t>
  </si>
  <si>
    <t>BALANZA ELECTRONICA 5KG MÁXIMA CARGA</t>
  </si>
  <si>
    <t>ANILLO DE ALAMBRÓN 10CM DE DIÁMETRO ASEGURADOR EN MONTAJES.</t>
  </si>
  <si>
    <t>AMPERIMETRO ELECTRICO AMPERIMETRO 3 AMPERES MAXIMA CAPACIDAD.</t>
  </si>
  <si>
    <t>ASEGURADOR CON GANCHO ASEGURADOR EN MONTAJES DE EXPERIMENTOS EN SOPORTE UNIVERSAL.</t>
  </si>
  <si>
    <t>ASEGURADOR CON POLEA METÁLICA, ASEGURADOR EN MONTAJES DE EXPERIMENTOS EN SOPORTE UNIVERSAL EN MOVIMIENTOS CON POLEAS.</t>
  </si>
  <si>
    <t>ASEGURADOR DOBLE ASEGURADOR EN MONTAJES DE EXPERIMENTOS EN SOPORTE UNIVERSAL.</t>
  </si>
  <si>
    <t>BALANZA ARITMÉTICA CON REGLA GRADUADA (100 CM)</t>
  </si>
  <si>
    <t>CARRO DE SERVICIO PARA LABORATORIO. CARRO PARA MOVILIZACIÓN DEL EQUIPO DE LABORATORIO HACIA CADA PUNTO DE MONTAJE DE PRÁCTICA, ALMACENAJE DE MANERA SEGURA.</t>
  </si>
  <si>
    <t>CAUTIN TIPO LAPIZ. CAUTIN PARA SOLDADURAS DE METALES Y FUNDICION DE LAS MISMAS.</t>
  </si>
  <si>
    <t>CONEXIÓN BANANA-BANANA 30 CM EN CIRCUITOS DE CORRIENTE DIRECTA PARA MONTAJE DE CIRCUITOS ELÉCTRICOS. JUEGO DE 10 UNIDADES</t>
  </si>
  <si>
    <t>CALIBRADOR VERNIER (PIE DE REY) CON MINIMA MEDIDA DE 5 MM</t>
  </si>
  <si>
    <t xml:space="preserve"> CONJUNTO DE MECÁNICA.CONJUNTO /SET DE HERRAMIENTAS, TORNILLOS, CLAVOS, CINTA ADHESIVA, NIVELES, CUCHILLO.ETC.</t>
  </si>
  <si>
    <t>CRONOMETRO DIGITAL PARA MEDICIONES DE TIEMPO DE CUERPOS.</t>
  </si>
  <si>
    <t>ESFERAS DE PLÁSTICO. DE 5,10,20,50,100MM DE DIÁMETRO</t>
  </si>
  <si>
    <t>ESFERAS DE HULE. DE 5,10,20,50,100MM DE DIÁMETRO</t>
  </si>
  <si>
    <t>ESFERAS DE COBRE. DE 5,10,20,50,100MM DE DIÁMETRO</t>
  </si>
  <si>
    <t>ESFERAS DE HIERRO. DE 5,10,20,50,100MM DE DIÁMETRO</t>
  </si>
  <si>
    <t>ESFERAS DE  ALUMINIO. DE 5,10,20,50,100MM DE DIÁMETRO</t>
  </si>
  <si>
    <t>JUEGO DE DIFERENTES METALES EN FORMA DE CILINDRO. CILINDROS DE COBRE, ALUMINIO, LATON, HIERRO, BRONCE PARA MEDICIONES EXPERIMENTALES.</t>
  </si>
  <si>
    <t>MULTIMETRO DIGITAL MULTIMETRO QUE MIDE EL VOLTAJE EN UN CIRCUITO ELÉCTRICO.</t>
  </si>
  <si>
    <t>PRENSA METÁLICA PARA BORDE DE MESA. PRENSA METÁLICA DE HIERRO PARA SOPORTE DE MONTAJES DE LABORATORIO SOBRE SOPORTES UNIVERSAL.</t>
  </si>
  <si>
    <t>REGLA DE MADERA DE 1MTS REGLA DE MADERA GRADUADA PARA MEDICIONES DE OBJETOS Y MOVIMIENTOS DE ESTOS.</t>
  </si>
  <si>
    <t>PESAS RANURADAS CON PORTAPEZAS. PESAS DE 1,2,5,10,20,50,100 GR RANURADAS CON PORTAPEZAS</t>
  </si>
  <si>
    <t>RESORTES HELICOIDALES PARA DETERMINAR LA CONSTANTE K POR LA LEY DE HOOKE.</t>
  </si>
  <si>
    <t>PESAS CON GANCHOS DE 5,10,20,50,100 GR.</t>
  </si>
  <si>
    <t>TERMÓMETRO DE MERCURIO DE -10 GRADOS HASTA 260 GRADOS CELSIUS. PARA MEDIR LA TEMPERATURA DE CUERPOS Y GASES.</t>
  </si>
  <si>
    <t>TERMÓMETRO DE MERCURIO(-10/260 Co)</t>
  </si>
  <si>
    <t>TUBO DE HULE LATEX PARA TRANSPORTAR GASES DE UN PUNTO A OTRO.</t>
  </si>
  <si>
    <t xml:space="preserve"> SOPORTE UNIVERSAL CON VARILLA DE 60 CM, SOPORTE UNIVERSAL PARA MONTAJES DE LABORATORIO Y CALENTAMIENTO DE CUERPOS.</t>
  </si>
  <si>
    <t>PLANO INCLINADO CON TRANSPORTADOR METÁLICO Y BLOQUE CON CARAS DE DIFERENTES MATERIALES(ACRÍLICO, MADERA, ZINC, ASBESTO)  JUNTO CON BLOQUES.</t>
  </si>
  <si>
    <t>TRIPIE DESMONTABLE TRIPIE(TRIPODE) PARA SOPORTE DE MONTAJE Y CALENTAMIENTO DE OBJETOS.</t>
  </si>
  <si>
    <t>BARRA DE ALUMINIO DE 70 CM DE LARGO. DILATACIÓN LINEAL DE METALES EN DILATÓMETRO.</t>
  </si>
  <si>
    <t>BARRA DE HIERRO DE 70 CM DE LARGO. DILATACIÓN LINEAL DE METALES EN DILATÓMETRO.</t>
  </si>
  <si>
    <t>BARRA DE COBRE DE 70 CM DE LARGO. DILATACIÓN LINEAL DE METALES EN DILATÓMETRO.</t>
  </si>
  <si>
    <t>PINZA DE 3 DEDOS, PARA RETIRAR ELEMENTOS A ALTAS TEMPERATURAS Y MANEJO DE ELEMENTOS PELIGROSOS.</t>
  </si>
  <si>
    <t>PROBETA GRADUADA DE 100 ML DE VOLUMEN MAXIMO.</t>
  </si>
  <si>
    <t>DILATÓMETRO. APARATO PARA LA MEDICIÓN DE LA DILATACIÓN LINEAL DE MATERIALES SÓLIDOS EN DEPENDENCIA CON LA LONGITUD DEL MATERIAL.</t>
  </si>
  <si>
    <t>BEAKER. MATERIAL DE TRANSPORTE Y MEDICIÓN DE LÍQUIDOS (400 ML)</t>
  </si>
  <si>
    <t>NIVEL DE INCLINACIÓN DE BURBUJA, DE PLÁSTICO, A PRUEBA DE GOLPES, PARA MEDICIONES DE EMPLAZAMIENTO HORIZONTAL,</t>
  </si>
  <si>
    <t>MESA DE FUERZAS.</t>
  </si>
  <si>
    <t>JUEGO DE SIETE CUBOS DE DIFERENTES MATERIALES,</t>
  </si>
  <si>
    <t>CALDERA CON ESTUFA ELECTRICA.</t>
  </si>
  <si>
    <t xml:space="preserve">EQUIPO ADECUADO PARA LA DEMOSTRACIÓN DE LA LEY BOYLE-MARIOTTE. COMPUESTO DE UN TUBO GRUESO DE VIDRIO, CON ESCALA GRADUADA, MONTADO SOBRE UNA PLACA METÁLICA BLANCA. POR MOTIVOS DE SEGURIDAD, EL TUBO DE VIDRIO SE ENCUENTRA PROTEGIDO DENTRO DE UNA CUBIERTA ADICIONAL DE PLÁSTICO. </t>
  </si>
  <si>
    <t xml:space="preserve">CAMPANA DE AISLAMIENTO O FLUJO LAMINAR  O CAMPANA BACTERIOLOGICA </t>
  </si>
  <si>
    <t xml:space="preserve">LICUADORA CON VASO AUTOCABABLE PARA MICROBIOLOGIA DE ALIMENTOS </t>
  </si>
  <si>
    <t xml:space="preserve">REACTIVOS MICROBIOLOGIA </t>
  </si>
  <si>
    <t>REACTIVOS QUIMICA</t>
  </si>
  <si>
    <t xml:space="preserve">Armario </t>
  </si>
  <si>
    <t xml:space="preserve">Gestionar capacitación con personal de la DEGT en el area de las TIC's digiguido a los docentes de Depto de Humanidades y Enfermeria  </t>
  </si>
  <si>
    <t>17.1.2.DHCE</t>
  </si>
  <si>
    <t xml:space="preserve">Implementar la modalidad B-learning ampliando los conocimientos en el area profesional de los docentes de humanidades de acuerdo a las necesidades actuales del uso de  la tecnologia  </t>
  </si>
  <si>
    <t>DISPONIBILIDAD DE BRINDAR EL CURSO LA DEGT</t>
  </si>
  <si>
    <t>DEGT, DEPTOS DE HUMANIDADES Y ENFERMERIA, ADMINISTRACION Y DIRECCION UNAHTEC</t>
  </si>
  <si>
    <t xml:space="preserve">DOCENTES DE HUMANIDADES Y ENFERMERIA </t>
  </si>
  <si>
    <t>MARZO</t>
  </si>
  <si>
    <t>Realizar Diagnóstico y plan de factibilidad de la zona oriental para la apertura de la Carrera Técnico en Desarrollo Local</t>
  </si>
  <si>
    <t>Gestionar junto a la DAFT, la ampliación  del Técnico Universitario Gestión de la Calidad de Aguas en UNAH-TEC-DANLÍ,  por parte del Consejo Universitario.</t>
  </si>
  <si>
    <t>1.1.4.CS</t>
  </si>
  <si>
    <t>1.1.5.CS</t>
  </si>
  <si>
    <t>se llevara acabo el diagnostico de con la intencion de la aumentar la oferta academica a los aspirantes al ingreso a  UNAH-TEC.</t>
  </si>
  <si>
    <t xml:space="preserve">Departamento de Ciencias Sociales </t>
  </si>
  <si>
    <t xml:space="preserve">DAFT, Departamento de Quimica y Ciencias </t>
  </si>
  <si>
    <t xml:space="preserve">DAFT, Departamento de Ciencias Sociales </t>
  </si>
  <si>
    <t xml:space="preserve">Aprobación por el consejo universitario </t>
  </si>
  <si>
    <t xml:space="preserve">Asistencia Psicologica-Medica-Odontologica con niños y niñas del Centro Infantil Raul Sevilla No.7 </t>
  </si>
  <si>
    <t>3.2.4.CS</t>
  </si>
  <si>
    <t xml:space="preserve">El C.D.I. es una entidad gubernamental creada con el objetivo de velar por el bienestar integral de niños y niñas pero no cuenta con Psicologia, Pediatria y Odontologia. </t>
  </si>
  <si>
    <t xml:space="preserve">Niños del centro infantil Raúl Sevilla </t>
  </si>
  <si>
    <t>Departamento de Ciencias Sociales</t>
  </si>
  <si>
    <t xml:space="preserve">Listado de niños atendidos </t>
  </si>
  <si>
    <t>Petición de contratación de un profesor auxiliar  Permanate para brindar la asignatura de Historia de Honduras.</t>
  </si>
  <si>
    <t>11.4.1.DS</t>
  </si>
  <si>
    <t>El Centro no cuenta con profesor auxiliar para el area de  Historia de Honduras para atender la demanda estudiantil .</t>
  </si>
  <si>
    <t xml:space="preserve">docente contratado </t>
  </si>
  <si>
    <t xml:space="preserve">Brindar capacitaciones sobre métodos de planificación familiar a tres comunidades de Danlí. </t>
  </si>
  <si>
    <t>3.2.5.CS</t>
  </si>
  <si>
    <t>Educar la poblacion sobre los diferentes metodos de planificacion familiar con el objetivo de reducir la pobreza economica.</t>
  </si>
  <si>
    <t xml:space="preserve">Listado de los participantes en las capacitaciones </t>
  </si>
  <si>
    <t>Comunidades de Danlí</t>
  </si>
  <si>
    <t xml:space="preserve">Impartir Taller sobre Violencia Domestica a mujeres estudiantes del Centro de Cultura de El Paraiso  </t>
  </si>
  <si>
    <t>3.2.6.CS</t>
  </si>
  <si>
    <t xml:space="preserve">Disminuir los indices de abuso y femiscio en el municipio del paraiso. </t>
  </si>
  <si>
    <t xml:space="preserve">Listado de participantes en el taller </t>
  </si>
  <si>
    <t>Centro de Cultura de El Paraiso</t>
  </si>
  <si>
    <t>Participar en el proceso de becas para investigación con el tema "Percepción de los estudiantes de UNAH-TEC hacia las drogas y el Alcohol"</t>
  </si>
  <si>
    <t>2.1.5.CS</t>
  </si>
  <si>
    <t xml:space="preserve">Docentes Ciencias Socoiales </t>
  </si>
  <si>
    <t>Participar en el proceso de becas para investigación con el tema Impacto del Periodo Liberal en Danli.</t>
  </si>
  <si>
    <t>2.1.6.CS</t>
  </si>
  <si>
    <t>11.3.9.DS</t>
  </si>
  <si>
    <t>RECTORIA, SEDI, SEAF, CIENCIAS SOCIALES, DIRECCION Y ADMINISTRACION UNAH-TEC, DEPTO DE COMPRAS.</t>
  </si>
  <si>
    <t>Equipo necesario para el cumplimiento de la gestión efectiva de esta dependencia</t>
  </si>
  <si>
    <t xml:space="preserve">Gestión para la adquisición de equipo para el departamento  de una impresora, proyector multimedia. </t>
  </si>
  <si>
    <t>Contratación de profesor por hora en el area de Matematica  y Biologia</t>
  </si>
  <si>
    <t>11.4.2.DC</t>
  </si>
  <si>
    <t xml:space="preserve">Necesidad de satisfacer la demanda estudiantil de las carreras de Agroindustria y Enfermeria </t>
  </si>
  <si>
    <t>Desarrollar  proyecto de investigación sobre la calidad microbiologica de agua  en la comunidad de San Marcos Arriba, Danli; El Paraiso, ubicada a unos 3 kilometros de  nuestro centro regional</t>
  </si>
  <si>
    <t>2.1.7.DC</t>
  </si>
  <si>
    <t>Docentes Ciencias</t>
  </si>
  <si>
    <t>La falta de estudios sobre estos temas y la importancia que los mismos tienen para la comunidad, justifican su implementacion</t>
  </si>
  <si>
    <t>Brindar capacitaciones sobre calidad de agua  y protección de la cuenca en la comunidad de San Marcos Arriba, Danlí, El Paraíso en fechas posteriores al desarrollo de nuestra investigación sobre este tema.</t>
  </si>
  <si>
    <t>3.2.7.DC</t>
  </si>
  <si>
    <t>Una vez  que tengamos un diagnostico de la calidadd de agua, capacitaremos a la comunidad en los temas de calidad de agua</t>
  </si>
  <si>
    <t xml:space="preserve">Comunidad de San Marcos Arriba </t>
  </si>
  <si>
    <t>Departamento de Ciencias</t>
  </si>
  <si>
    <t xml:space="preserve"> Mantenimiento del vivero de plantas medicinales </t>
  </si>
  <si>
    <t>11.4.3.DC</t>
  </si>
  <si>
    <t>Promueve el desarrollo de escenariosdidacticos que rescatan la aplicaciones de la medicina tradicional</t>
  </si>
  <si>
    <t xml:space="preserve">AZADON CON PALO </t>
  </si>
  <si>
    <t xml:space="preserve">ESCOBILLA </t>
  </si>
  <si>
    <t xml:space="preserve">PALA </t>
  </si>
  <si>
    <t>CHANCH</t>
  </si>
  <si>
    <t xml:space="preserve">MANGUERA 6 PIES </t>
  </si>
  <si>
    <t xml:space="preserve">ABONO ORGANICO </t>
  </si>
  <si>
    <t>Gestionar la adquisición de 1 proyector multimedia(datashow)</t>
  </si>
  <si>
    <t>11.3.10.DC</t>
  </si>
  <si>
    <t>RECTORIA, SEDI, SEAF, CIENCIAS, DIRECCION Y ADMINISTRACION UNAH-TEC, DEPTO DE COMPRAS.</t>
  </si>
  <si>
    <t>Capacitacion analisis microbiologico de aguas en CESCO</t>
  </si>
  <si>
    <t>4.1.1.DC</t>
  </si>
  <si>
    <t xml:space="preserve">actualizacion de conocimientos del personal </t>
  </si>
  <si>
    <t xml:space="preserve">docentes de Ciencias </t>
  </si>
  <si>
    <t>Depto de Ciencias, Dirección y Administración de UNAH-TEC</t>
  </si>
  <si>
    <t xml:space="preserve">Disponibidade CESCO para brindar la capacitación </t>
  </si>
  <si>
    <t>Constancia de participación en la capacitación</t>
  </si>
  <si>
    <t>Realizar proyectos de vinculación de las asignaturas sobre proyectos educativos y desarrollo comunitario.</t>
  </si>
  <si>
    <t>3.7.9.CE</t>
  </si>
  <si>
    <t>En la clase profecinalizantes de la carrera de enfermeria se trbajara integradamente  con  las comunidades del departamento de el Paraiso que reunan algunos criterios centrados en los problemas y necesidades    se  hara un informe .</t>
  </si>
  <si>
    <t xml:space="preserve">Carrera de Enfermeria </t>
  </si>
  <si>
    <t xml:space="preserve">Proyectos realizados, fotografias </t>
  </si>
  <si>
    <t xml:space="preserve"> ORGANIZAR 4 FERIAS DE LA SALUD EN COMUNIDADES DEL DEPARTAMENTO DE EL PARAISO</t>
  </si>
  <si>
    <t>3.2.7.CE</t>
  </si>
  <si>
    <t>Estudiantes de enfermería y docentes</t>
  </si>
  <si>
    <t xml:space="preserve">En las clases de enfermeria se hara la  implementacion de proyectos  en el departamento  a la comunidades con mayor vulnerabilidad </t>
  </si>
  <si>
    <t xml:space="preserve">Los estudiantes de  Investigación realicen estudios en las siguientes líneas de investigación: enfermedades crónicas degenerativas, seguridad alimentaria y la adolescencia, promoción de la salud y prevención de la enfermerdad. </t>
  </si>
  <si>
    <t>2.1.7.CE</t>
  </si>
  <si>
    <t xml:space="preserve">Dar respuesta a la población de la Zona Oriental  en la genración de conocimientos </t>
  </si>
  <si>
    <t xml:space="preserve">Estudiantes de la carrera de Enfermeria </t>
  </si>
  <si>
    <t xml:space="preserve">Carrera de enfermeria </t>
  </si>
  <si>
    <t>1 Participación en becas de investigación por la DICU</t>
  </si>
  <si>
    <t>2.1.8.CE</t>
  </si>
  <si>
    <t xml:space="preserve">Docentes de Enfermeria </t>
  </si>
  <si>
    <t>2.1.9.CE</t>
  </si>
  <si>
    <t xml:space="preserve">Promoción e intercambios de experiencias con profesionales de enfermería. </t>
  </si>
  <si>
    <t>Por lo dos  docentes culminan curso de investigación cientifica</t>
  </si>
  <si>
    <t>2.4.2.CE</t>
  </si>
  <si>
    <t>Enfermeria, Coordinador regional y DICyP</t>
  </si>
  <si>
    <t xml:space="preserve">Desarrollar 1 congreso de Enfermería en el meses de mayo  </t>
  </si>
  <si>
    <t>Sujeta a coordinacion  y docentes de enfermeria</t>
  </si>
  <si>
    <t>Informe de Actividad</t>
  </si>
  <si>
    <t>Docentes y estudiantes de enfermeria</t>
  </si>
  <si>
    <t xml:space="preserve">Coordinación de la Carrera de enfermeria, Coordinación Regional de Investigación </t>
  </si>
  <si>
    <t>Sonido</t>
  </si>
  <si>
    <t xml:space="preserve">Alquileres </t>
  </si>
  <si>
    <t>Crear un programa para llevar el control de estudiantes y graduados enfermeria en UNAH-TEC Danlí</t>
  </si>
  <si>
    <t>5.5.2.CE</t>
  </si>
  <si>
    <t xml:space="preserve">La autoevaluación requiere control de los graduados de la carrera </t>
  </si>
  <si>
    <t xml:space="preserve">Egresados de Informatica </t>
  </si>
  <si>
    <t>Egresados de Enfermeria</t>
  </si>
  <si>
    <t xml:space="preserve">Enfermeria </t>
  </si>
  <si>
    <t>Brindar a docentes, estudiantes y graduados  4 cursos en  RCP,  buenas practicas clinicas, seguridad alimentaria y quirofano.</t>
  </si>
  <si>
    <t>5.4.2.CE</t>
  </si>
  <si>
    <t xml:space="preserve">Incentivar a los estudiantes y graduados para que sigan capacitandose en el area de enfermeria  </t>
  </si>
  <si>
    <t xml:space="preserve">Estudiantes y graduados de enfermeria </t>
  </si>
  <si>
    <t>Carrera de Enfermeria</t>
  </si>
  <si>
    <t xml:space="preserve">diplomas </t>
  </si>
  <si>
    <t xml:space="preserve">Realizar  gestiones para el mantenimiento de equipo audiovisual  existentes en el   laboratorio de enfermeria </t>
  </si>
  <si>
    <t>17.11.1.CE</t>
  </si>
  <si>
    <t>Mantener el equipo audiovisual de enfermeria  en buen estado para el desarrollo de las clases.</t>
  </si>
  <si>
    <t>equipo en bien estado</t>
  </si>
  <si>
    <t>carrera de enfermeria</t>
  </si>
  <si>
    <t xml:space="preserve">carrera de enfermria, DEGT, Asdminsitración y Dirección </t>
  </si>
  <si>
    <t xml:space="preserve">Juramentar Directiva Estudiantil de Informática Administrativa  y de Enfermeria </t>
  </si>
  <si>
    <t>5.1.1.CIACE</t>
  </si>
  <si>
    <t xml:space="preserve">Gestionar el espacio físico para docentes de enfermeria </t>
  </si>
  <si>
    <t xml:space="preserve">11.2.2.CE </t>
  </si>
  <si>
    <t xml:space="preserve">Notas, acuerdos </t>
  </si>
  <si>
    <t>Consejo Universitario, SEAPI, Depto. de Ciencias Economicas; Dirección UNAH-TEC</t>
  </si>
  <si>
    <t>Los docentes actualmente están ocupando el espacio establecido para laboratorio de enfermería, existe muy poca privacidad y comodidad para brindar asesorías académicas a los estudiantes. .</t>
  </si>
  <si>
    <t>RECTORIA, SEDI, SEAF, humanidades y enfermeria, DIRECCION Y ADMINISTRACION UNAH-TEC, DEPTO DE COMPRAS.</t>
  </si>
  <si>
    <t>11.3.7.DHCE</t>
  </si>
  <si>
    <t>Gestionar la adquisición de 4 proyectores multimedia(datashow)</t>
  </si>
  <si>
    <t xml:space="preserve">Gestionar equipamiento de laboratorio enfermeria </t>
  </si>
  <si>
    <t>11.3.11.CE</t>
  </si>
  <si>
    <t xml:space="preserve">Fortalecer la Carrera de Enfermeria con la adquisición de mobiliario y equipo necesario para el mejoramiento del proceso enseñanza aprendizaje. </t>
  </si>
  <si>
    <t>RECTORIA, SEDI, SEAF, ENFERMERIA, DIRECCION Y ADMINISTRACION UNAH-TEC, DEPTO DE COMPRAS.</t>
  </si>
  <si>
    <t xml:space="preserve">Gestionar equipamiento del area de enfermeria 7 escritorios, 7 sillas, 1 mesa de reuniones, 9 sillas impresora  para docentes de enfermeria. </t>
  </si>
  <si>
    <t>11.3.12.CE</t>
  </si>
  <si>
    <t xml:space="preserve">Fortalecer la Carrera de Enfermeria con la adquisición de mobiliario necesario para el mejoramiento del proceso enseñanza aprendizaje. </t>
  </si>
  <si>
    <t>Cama Ginecológica</t>
  </si>
  <si>
    <t>Cama de Transportar Pacientes</t>
  </si>
  <si>
    <t>Grada de 2 pasos</t>
  </si>
  <si>
    <t>Cama de Exámenes</t>
  </si>
  <si>
    <t>Balanza lactante y recién nacido . Con base de soporte , base de acero inoxidable , para pesar niños.</t>
  </si>
  <si>
    <t>Balanza de adulto . Con base de soporte , base de acero inoxidable , para pesar  niños mayores y adultos.</t>
  </si>
  <si>
    <t xml:space="preserve">Set de maniquí simulador de partos. con accesorio adicional: un estractor de cabeza fetal </t>
  </si>
  <si>
    <t xml:space="preserve">Set de modelo de vulva para examen pélvico. </t>
  </si>
  <si>
    <t xml:space="preserve"> Modelo de vulva para la asistencia  de parto. (Primípara) </t>
  </si>
  <si>
    <t xml:space="preserve"> Modelo de vulva para la asistencia  de parto. (Multípara) </t>
  </si>
  <si>
    <t xml:space="preserve">Set de maniquí para el entrenamiento de maniobras de posición de Leopold. </t>
  </si>
  <si>
    <t xml:space="preserve">Maniquí  para práctica de masaje de mamas maternas. </t>
  </si>
  <si>
    <t>Modelo demostrativo de cepillado de dientes. Tamaño doble natural</t>
  </si>
  <si>
    <t>Doppler para latido cardiaco fetal .</t>
  </si>
  <si>
    <t xml:space="preserve">Estetoscopio Traude obstétrico. </t>
  </si>
  <si>
    <t>Estetoscopio para enseñanza.</t>
  </si>
  <si>
    <t>Maniquí simulador de juego de feto, placenta y pelvis.</t>
  </si>
  <si>
    <t>Modelo de loquios después del parto</t>
  </si>
  <si>
    <t>Balanzas digitales portátiles para practica comunitaria</t>
  </si>
  <si>
    <t>Basculas pediátricas de calzón.</t>
  </si>
  <si>
    <t>Monitor para nebulizaciones. Para simulación fija.</t>
  </si>
  <si>
    <t>Micro nebulizador adaptor en t, boquilla, mascarilla</t>
  </si>
  <si>
    <t>Demo dose simulated blood , O positive.</t>
  </si>
  <si>
    <t>Demo dose simulated blood , A  positive.</t>
  </si>
  <si>
    <t>Demo dose simulated blood , AB positive.</t>
  </si>
  <si>
    <t>Demo dose simulated blood , O negative.</t>
  </si>
  <si>
    <t>Demo dose simulated blood , A  negative.</t>
  </si>
  <si>
    <t>Demo dose simulated blood , B negative.  Demo dose simulated blood , AB negative.</t>
  </si>
  <si>
    <t>Simulated blood 1 gallon.</t>
  </si>
  <si>
    <t>Base Brazos kioto simulator intravenous arm   y Hand set.</t>
  </si>
  <si>
    <t xml:space="preserve">Estetoscopio </t>
  </si>
  <si>
    <t>Esfigmomanómetro</t>
  </si>
  <si>
    <t xml:space="preserve">Mesa Mayo de acero inoxidable </t>
  </si>
  <si>
    <t xml:space="preserve">Cuna con bacinete con colchón </t>
  </si>
  <si>
    <t xml:space="preserve">Banquillo acojinado de elevación estructura de acero inoxidable. </t>
  </si>
  <si>
    <t>Modelo de prácticas de enfermería al niño lactante .</t>
  </si>
  <si>
    <t xml:space="preserve">Esqueleto humano maniquí esqueleto a tamaño real, </t>
  </si>
  <si>
    <t>Modelo de prácticas de enfermería de adulto .</t>
  </si>
  <si>
    <t xml:space="preserve">Continuar  con el proceso de rediseño curriclar de la Carrera de Enfermeria con la escuela de enfermeria y los centros regionales que tienten la carrera  </t>
  </si>
  <si>
    <t>1.1.6.CE</t>
  </si>
  <si>
    <t>Residseño del plan de estudios de la carrera de enfermeria.</t>
  </si>
  <si>
    <t xml:space="preserve">ESTUDIANTES DE ENFERMERIA </t>
  </si>
  <si>
    <t xml:space="preserve">ENFERMERIA </t>
  </si>
  <si>
    <t>PLAN DE ESTUDIOS ACTUALIZADO</t>
  </si>
  <si>
    <t xml:space="preserve">CURRICULOS ACTUALIZADOS </t>
  </si>
  <si>
    <t xml:space="preserve">Supervision de estudiantes en Ejercicio Profesional y Servicio Social. En las siguientes comunidades Ojo de Agua, Moroceli, Jacaleapa, El Paraiso, Teupacenti, San Matias, El zapotillo, Jutiapa, San Diego, Quebrada Larga, Alauca y Santa Maria </t>
  </si>
  <si>
    <t>4.1.2.CE</t>
  </si>
  <si>
    <t xml:space="preserve">INFORME DE LAS VISITAS REALIZADAS </t>
  </si>
  <si>
    <t>ESTUDIANTES DE ENFERMERIA EN EJERCIO PROFESIONAL Y SERVICIO SOCIAL</t>
  </si>
  <si>
    <t xml:space="preserve">DISPONIBILIDAD DE RECURSOS PARA REALIZAR VISITAS </t>
  </si>
  <si>
    <t>VELAR POR EL BUEN DESEMPEÑO D ELOS PRACTICANTES EN LOS CENTROS DE SALUD</t>
  </si>
  <si>
    <t xml:space="preserve">COMBUSTIBLE </t>
  </si>
  <si>
    <t>Desarrollar jornadas de inducción a la vida Universitaria</t>
  </si>
  <si>
    <t>c.Mejorada la Atención a estudiantes de primer ingreso</t>
  </si>
  <si>
    <t>Curso introducción a la vida universitaria 3 veces al año, charlas informativas a los estudiantes de primer ingreso, difusión de reglamento estudiantil y reconocimiento de las áreas que funcionan en el centro regional, inclusión de los estudiantes del CRAED</t>
  </si>
  <si>
    <t>5.1.2.VOAE</t>
  </si>
  <si>
    <t xml:space="preserve">Difundir adecuadamente el ingreso de estudiantes a traves de las jornadas de induccion </t>
  </si>
  <si>
    <t xml:space="preserve">AMPLIAR LA COBERTURA DE LOS ESTUDIANTES DE PRIMER ingreso debidamente informados </t>
  </si>
  <si>
    <t xml:space="preserve">Incremento en el número de estudiantes debidamente informados </t>
  </si>
  <si>
    <t xml:space="preserve">VOAE </t>
  </si>
  <si>
    <t>ESTUDIANTES UNAH-TEC</t>
  </si>
  <si>
    <t>Divulgar  la reglamentación estudiantil en los estudiantes de UNAH-TEC-DANLI.</t>
  </si>
  <si>
    <t xml:space="preserve">5.1.3.VOAE </t>
  </si>
  <si>
    <t>Solicitar al comisionado universitario el acompañamiento necesario para difundir la normativa concerniente a los estudiantes</t>
  </si>
  <si>
    <t xml:space="preserve">Lograr que los estudiantes reconozcan e incorporen la normativa estudiantil en su desempeño académico </t>
  </si>
  <si>
    <t xml:space="preserve">Listado de estudiantes capacitados </t>
  </si>
  <si>
    <t>Estudiantes UNAH-TEC  reciben atención psicoterapeutica</t>
  </si>
  <si>
    <t xml:space="preserve">5.1.4.VOAE </t>
  </si>
  <si>
    <t>Desarrollar y optimizar los insumos con los que cuenta el centro regional y gestionar los que son clave para el desarrollo de las actividades</t>
  </si>
  <si>
    <t>Los estudiantes experimentaran el desarrollo integral con incidencia en su rendimiento academico</t>
  </si>
  <si>
    <t>Aumento en el numero de estudiantes beneficiados con una atención integral: en salud, academia y psicosocial</t>
  </si>
  <si>
    <t xml:space="preserve">Incrementar el numero de beneficiarios de becas por excelencia academicas en las tres categorias, elevando solicitudes en las 2 convocatorias </t>
  </si>
  <si>
    <t xml:space="preserve">5.1.5.VOAE </t>
  </si>
  <si>
    <t xml:space="preserve">Aprobación de becas por parte del comité de atencion socioeconomica y estimulo educativo </t>
  </si>
  <si>
    <t xml:space="preserve">Apoyo a los estudiantes de escasos recursos economicos para continuar con los estudios universitarios </t>
  </si>
  <si>
    <t xml:space="preserve">Becas Aprobadas </t>
  </si>
  <si>
    <t xml:space="preserve">Jornadas de promoción y difusión de las carreras de UNAH-TEC en Centros Educativos de educación media </t>
  </si>
  <si>
    <t>5.1.6.VOAE</t>
  </si>
  <si>
    <t xml:space="preserve">Incorporar mayor numero de docentes en las visitas a los colegios de educación media </t>
  </si>
  <si>
    <t>Difundir adecuadamente toda la oferta académica de la UNAH</t>
  </si>
  <si>
    <t xml:space="preserve">Aumento en la población de UNAH-tec verificando la correlación entre los estudiantes visitados y los que tuvieran algún contacto atavez d ela PAA, o cualquier otro acercamiento a ala institución </t>
  </si>
  <si>
    <t>Estudiantes de educación medio del departamento del paraíso</t>
  </si>
  <si>
    <t xml:space="preserve">VOAE, Coordianadores de Carrera </t>
  </si>
  <si>
    <t>5.2.1.VOAE</t>
  </si>
  <si>
    <t>Desarrollar feria de la salud para los estudiantes de UNAH-TEC</t>
  </si>
  <si>
    <t xml:space="preserve">Impulsar el estado de salud de los estudiantes de de la comunidad universitaria </t>
  </si>
  <si>
    <t xml:space="preserve">Listado de atenciones brindadas, listas de medicamentos entregados, fotografias </t>
  </si>
  <si>
    <t>Estudiantes y personal de UNAH-TEC-DANLÍ</t>
  </si>
  <si>
    <t xml:space="preserve">ALIMENTACION </t>
  </si>
  <si>
    <t>Incorporar a la asociación de becarios al trabajo comunitario en apoyo a grupos vulnerables de la región</t>
  </si>
  <si>
    <t>5.1.7.VOAE</t>
  </si>
  <si>
    <t xml:space="preserve">Informe del trabajo comunitario realizado </t>
  </si>
  <si>
    <t xml:space="preserve">VOAE, becarios </t>
  </si>
  <si>
    <t>Poblacion de la zona oriental</t>
  </si>
  <si>
    <t xml:space="preserve">Los estudiantes becarios participen en trabajos comunitarios </t>
  </si>
  <si>
    <t>Establecer enlace con entidades estatales para promover al recien egresado  con la camara de comercio regional. (bolsa de trabajo)</t>
  </si>
  <si>
    <t>5.1.8.VOAE</t>
  </si>
  <si>
    <t>Viavilizar la alianza estrategica con la secretaria regional del trabajo</t>
  </si>
  <si>
    <t>Posicionar a los jovenes egresados y por agresar en el mercado regional y nacional</t>
  </si>
  <si>
    <t>estudiantes UNAH-TEC-DANLI</t>
  </si>
  <si>
    <t>VOAE, Secretaria del Trabajo</t>
  </si>
  <si>
    <t xml:space="preserve">visitas realizadas </t>
  </si>
  <si>
    <t xml:space="preserve">Jornadas de orientación vocacional </t>
  </si>
  <si>
    <t>Listado de estudiantes atendidos</t>
  </si>
  <si>
    <t>5.1.9.VOAE</t>
  </si>
  <si>
    <t>5.1.10.VOAE</t>
  </si>
  <si>
    <t xml:space="preserve">Atención a los estudiantes en orientacion vocacional el linea </t>
  </si>
  <si>
    <t>5.3.1.VOAE</t>
  </si>
  <si>
    <t xml:space="preserve">Fomentar una actividad artisitica incorporando nuevos artistas regionales </t>
  </si>
  <si>
    <t>Estudiantes  de UNAH-TEC-DANLÍ</t>
  </si>
  <si>
    <t xml:space="preserve">Los estudiantes se incorporen en actividades artisticas y culturales </t>
  </si>
  <si>
    <t xml:space="preserve">Listado de estudiantes </t>
  </si>
  <si>
    <t>5.3.2.VOAE</t>
  </si>
  <si>
    <t xml:space="preserve">Celebración del día del estudiante universitario </t>
  </si>
  <si>
    <t xml:space="preserve">fotografias, informe de la actividad </t>
  </si>
  <si>
    <t>Estimular a los estudiantes de UNAH-TEC para el día del estudiante</t>
  </si>
  <si>
    <t>5.3.3.VOAE</t>
  </si>
  <si>
    <t>Consurso de Poesia, pintura y dibujo</t>
  </si>
  <si>
    <t>Promover el arte y cultura en los estudiante</t>
  </si>
  <si>
    <t xml:space="preserve">Consursos </t>
  </si>
  <si>
    <t xml:space="preserve">premios </t>
  </si>
  <si>
    <t xml:space="preserve">Premiación a la excelencia academica </t>
  </si>
  <si>
    <t xml:space="preserve">Listado de diplomas entregados </t>
  </si>
  <si>
    <t xml:space="preserve">Estimular a los estudiantes de excelencia de unah-tec </t>
  </si>
  <si>
    <t xml:space="preserve">5.3.4.VOAE </t>
  </si>
  <si>
    <t>cuarta expoventa agroindustrial 2016, participacion del equipo docente de agroindustria, venta de productos, expocisiones, gastronomia regional.</t>
  </si>
  <si>
    <t xml:space="preserve">3.2.8.CAI </t>
  </si>
  <si>
    <t>Promover la carrera de ingenieria agroindustrial. Potenciar a los estudiantes a fabricar y vender productos agroindustriales en diferentes asignaturas con participacion mypimes agroindustriales de la zona oriental .</t>
  </si>
  <si>
    <t xml:space="preserve">Informe de Actividad </t>
  </si>
  <si>
    <t xml:space="preserve">Docentes y estudiantes </t>
  </si>
  <si>
    <t>Docentes Agroindustria</t>
  </si>
  <si>
    <t>Esta sujeta a aprobación de presupuesto y de la organización de los docentes de Ingeniería agroindustrial</t>
  </si>
  <si>
    <t>Cuarto Congreso regional de Ingenieria Agroindustrial</t>
  </si>
  <si>
    <t>2.1.10.CAI</t>
  </si>
  <si>
    <t>Docentes y estudiantes de la carrera de agroindustria</t>
  </si>
  <si>
    <t xml:space="preserve">Coordinación de la Carrera de Agroindustria, Coordinación Regional de Investigación </t>
  </si>
  <si>
    <t>actualizacion de estudiantes y docentes en temas relevantes de ing. agroindustrial, por medio de participacion de investigadores y empresas con experiencia en el campo.</t>
  </si>
  <si>
    <t xml:space="preserve">participación  como ponentes Nacionales al congreso nacional de Investigacion cientifica UNAH con al menos dos ponencias. </t>
  </si>
  <si>
    <t>2.2.1.CAI</t>
  </si>
  <si>
    <t>Compromiso de los investigadores en dar a conocer sus trabajos</t>
  </si>
  <si>
    <t>Dar a conocer los procesos de investigación de UNAH-TEC Danlí</t>
  </si>
  <si>
    <t>Listado de docentes aceptados como conferencistas</t>
  </si>
  <si>
    <t>Docentes y estudiantes</t>
  </si>
  <si>
    <t xml:space="preserve">AGROINDUSTRIA </t>
  </si>
  <si>
    <t>Participar en al menos una convocatoria de becas de investigación por la DICU</t>
  </si>
  <si>
    <t>2.1.11.CAI</t>
  </si>
  <si>
    <t xml:space="preserve">Docentes de Agroindustria </t>
  </si>
  <si>
    <t xml:space="preserve">Carrera de Agroindustria </t>
  </si>
  <si>
    <t>realizacion de al menos tres trabajos de investigacion con empresas de la zona, asimismo asesoria a microempresas en gestion de la calidad y diseño de productos agroindustriales</t>
  </si>
  <si>
    <t>3.2.9.CAI</t>
  </si>
  <si>
    <t>que los estudiantes se vinculen y tenga experiencia en la empresa privada relacionando la teoria con la practica.</t>
  </si>
  <si>
    <t xml:space="preserve">INFORMES DE LAS INVESTIGACIONES </t>
  </si>
  <si>
    <t xml:space="preserve">EMPRESAS DE LA ZONA ORIENTAL </t>
  </si>
  <si>
    <t xml:space="preserve">CARRERA DE AGROINDUSTRIA </t>
  </si>
  <si>
    <t>AL MENOS DOS DOCENTES CURSEN DIPLOMADO DE INVESTIGACIÓN</t>
  </si>
  <si>
    <t>2.4.3.CAI</t>
  </si>
  <si>
    <t>AGROINDUSTRIA, Coordinador regional y DICyP</t>
  </si>
  <si>
    <t>Crear al menos 3 cursos a estudiantes de ing. agroindustrial</t>
  </si>
  <si>
    <t>Incentivar a los estudiantes para que sigan capacitandose en el area de ingenieiria.</t>
  </si>
  <si>
    <t xml:space="preserve">ESTUDIANTES DE AGROINDUSTRIA </t>
  </si>
  <si>
    <t xml:space="preserve">5.4.3.CAI </t>
  </si>
  <si>
    <t xml:space="preserve">lograr que al menos cuatro egresados del centro regional apliquen a programas de becas internacionales </t>
  </si>
  <si>
    <t>Intercambio, juntas, reuniones con la VRI para fortalecimiento de la internacionalizacion de UNAH-TEC-DANLI.</t>
  </si>
  <si>
    <t xml:space="preserve">Gestionar capacitacion a docentes de la carrera de agroindustria en eventos nacionales e internacionales en el area </t>
  </si>
  <si>
    <t>promover la promocion de becas y pasantias de becas al extranjero de estudiantes, docentes, admistrativos y egresados</t>
  </si>
  <si>
    <t>incentivar la internacionalizacion de los diferentes procesos educativos de UNAH-TEC-DANLI</t>
  </si>
  <si>
    <t>promover la internacionalizacion de la carrera de ing. agroindustrial.</t>
  </si>
  <si>
    <t>incentivar a obtener especialidades y master en el extranjero para especializar personal de la unah-tec-danli</t>
  </si>
  <si>
    <t>14.1.1.VRI</t>
  </si>
  <si>
    <t>14.1.2.VRI</t>
  </si>
  <si>
    <t>14.1.4.VRI</t>
  </si>
  <si>
    <t>14.1.3.VRI</t>
  </si>
  <si>
    <t xml:space="preserve">EGRESADOS APLICANDO A BECAS </t>
  </si>
  <si>
    <t>EGRESADOS UNAH-TEC</t>
  </si>
  <si>
    <t>aumentar el numero de expertos del campo de la agroindustria, asi como de disponer un relevo generacional de la carrera y demas carreras</t>
  </si>
  <si>
    <t>ENLACE REGIONAL VRI</t>
  </si>
  <si>
    <t xml:space="preserve">INVITACION A REUNIONES </t>
  </si>
  <si>
    <t xml:space="preserve">DOCENTES DE AGROINDUSTRIA </t>
  </si>
  <si>
    <t>DIPLOMA DE PARTICIPACION</t>
  </si>
  <si>
    <t xml:space="preserve">DOCUMENTOS PUBLICADOS </t>
  </si>
  <si>
    <t xml:space="preserve">PASAJE </t>
  </si>
  <si>
    <t xml:space="preserve">Participar en la elaboracion de la propuesta de proyecto de Poligono Agroindustrial de la VRI para la carrera de agroindustria, y otros que que brinden oportunidad de mejorar la calidad de la educacion </t>
  </si>
  <si>
    <t>mejorar la infraestructura y laboratorios de la carrera de ingenieria agroindustrial mediante gestion internacional.</t>
  </si>
  <si>
    <t>11.3.12.CAI</t>
  </si>
  <si>
    <t xml:space="preserve">INFORME DE PROPUESTA </t>
  </si>
  <si>
    <t xml:space="preserve">Gestionar Equipamiento de la sala de maestros de agroindustria.  </t>
  </si>
  <si>
    <t>Gestionar la contratación de: un profesor a tiempo completo Ingeniero Agroindustrial con maestria en el campo de agroindustria o ciencia de los alimentos; un profesor por hora para clases especificas de carrera;  un encargado de laboratorio para las plantas de proceso de alimentos.</t>
  </si>
  <si>
    <t>gestion de equipo de laboratorio para ingenieria agroindustrial, para usos multiples.</t>
  </si>
  <si>
    <t>gestioón de la construccion de infraestructura de laboratorios de frutas, carnes, lacteos, y café.</t>
  </si>
  <si>
    <t>11.3.13.CAI</t>
  </si>
  <si>
    <t>11.3.14.CAI</t>
  </si>
  <si>
    <t>mejorar la calidad de las condiciones de los docentes de la carrera.</t>
  </si>
  <si>
    <t>fortalecer el equipo de profesionales de la carrera de agroidustria.</t>
  </si>
  <si>
    <t>Mejorar la calidad de educacion pro medio de la mejora de equipo, por medio de la adquision de equipo</t>
  </si>
  <si>
    <t xml:space="preserve">ARMARIO </t>
  </si>
  <si>
    <t>11.3.15.CAI</t>
  </si>
  <si>
    <t xml:space="preserve">Mezcladora para carnes. Con tanque de acero inoxidable, de 110 voltios, 1/2 HP, capacidad de 50 kilos </t>
  </si>
  <si>
    <t xml:space="preserve">Termo Selladora para Bandejas 110 voltios, rodo de 18 pulgadas </t>
  </si>
  <si>
    <t>Bascula Digital 110 voltios, capacidad maxima de 5 kilos y minimo de un gramo</t>
  </si>
  <si>
    <t xml:space="preserve">Selladora para bolsa plastica y de alumninio metalica de 110 voltios, de pedal de 12 pulgadas </t>
  </si>
  <si>
    <t xml:space="preserve">Selladora para Celofan metalica de 110 voltios, de pedal de 12 pulgadas </t>
  </si>
  <si>
    <t xml:space="preserve">Empacadora al Vacio de mesa110 voltios, con camara de 20 pulgadas </t>
  </si>
  <si>
    <t>Sierra cortadora de carne y hueso Motor de 1.5 HP de 110 votios y 60 HZ</t>
  </si>
  <si>
    <t xml:space="preserve">Olla de precion de Aluninio Capacidad de 44 litros, aluninio, con manometro </t>
  </si>
  <si>
    <t>Freidora acero inoxidable, de una canasta, de gas</t>
  </si>
  <si>
    <t>Maquina de tostar café PROBAT</t>
  </si>
  <si>
    <t>Molino graduable</t>
  </si>
  <si>
    <t>Set de formatos de catación</t>
  </si>
  <si>
    <t>Balanza de precisión</t>
  </si>
  <si>
    <t>Estufa de gas de 6 quemadores (de mesa)</t>
  </si>
  <si>
    <t>Cilindros de gas LPG de 25 libras</t>
  </si>
  <si>
    <t>Mesa para perfil de tueste (Acero inoxidable)</t>
  </si>
  <si>
    <t>Mesa de acero inoxidable de 6 pies de largo</t>
  </si>
  <si>
    <t>Tester de humedad para granos rango minimo 5%</t>
  </si>
  <si>
    <t xml:space="preserve">Descremadora Manual y Eléctrica. Capacidad de 300 l/h, 100 V/60Hz/1PH                                         </t>
  </si>
  <si>
    <t>Tina Quesera de Acero Inoxidable Tina quesera de 1000 Lts. formato cilíndrico vertical.  Construida 100% en acero inoxidable calidad Aisi 304 con espesores de acuerdo al siguiente detalle: 2 mm.en fondo interior con refuerzos en chapa conformada de 1.2 mm., 1.2 mm.En cuerpo interior con terminación pulido sanitario, 1.2 mm.En tapa, puente en caño de 25.4 mm., 1 mm.En cuerpos exterior con terminación 2B. Con sistema de calentamiento de producto mediante intercambio de calor con agua caliente en fondo y sistema de refrigeración mediante circulación de agua natural por inundación y rebalse .Con agitador con motor de ¾ HP con variador de velocidad de 40 a 90 RPM. Incluye lira y pala. Válvula de salida de 4”.</t>
  </si>
  <si>
    <t>Lactodensimetro Pruebas de adulteración agua.</t>
  </si>
  <si>
    <r>
      <t xml:space="preserve">Pasteurizador </t>
    </r>
    <r>
      <rPr>
        <b/>
        <sz val="11"/>
        <color theme="1"/>
        <rFont val="Calibri"/>
        <family val="2"/>
        <scheme val="minor"/>
      </rPr>
      <t xml:space="preserve">Gurí 300 </t>
    </r>
    <r>
      <rPr>
        <sz val="11"/>
        <color theme="1"/>
        <rFont val="Calibri"/>
        <family val="2"/>
        <scheme val="minor"/>
      </rPr>
      <t>compacto continuo para leche de 300 Lts./h con sistema de calentamiento de agua por termo tanque eléctrico de acero inoxidable calidad Aisi 304 (220 Volt CA – Consumo máximo: 7 Kw/h Consumo en régimen: 4 Kw/h), sistema de intercambio de calor por placas en acero inoxidable calidad Aisi 304 con cabezales en el mismo material, con mecanismos de seguridad para garantizar temperaturas de pasteurizado. Incluye registro de la misma mediante termógrafo para PC. Con sistema de lavado C.I.P. y filtro de leche con elemento filtrante en malla de acero inoxidable.</t>
    </r>
  </si>
  <si>
    <t>Homogenizador 300 litros por hora</t>
  </si>
  <si>
    <t>Cincho con prensa 50 libras de Acero Inoxidable</t>
  </si>
  <si>
    <t>Lacto scan 60 Pruebas de calidad en leche</t>
  </si>
  <si>
    <t>Llenadora de liquidos (empacadora) Acero inoxidable 500 l/h, 12 v.</t>
  </si>
  <si>
    <t>mesa de acero inoxidable 14x4x6 pies</t>
  </si>
  <si>
    <t>frezzer congelador vertical  dos puertas, acero inoxidable, temperatura de -24 °C, con compresor y evaporador, panel digital, 1.38x0.78x2.1 mts</t>
  </si>
  <si>
    <t>frezer mostrador horizontal para carnes 14x5 pies, 110 V, interior de acero inoxidable</t>
  </si>
  <si>
    <t>estufa industrial 4 quemadores con plancha,  de gas.</t>
  </si>
  <si>
    <t>fregadero Acero inoxidable, dos cubetas, con grifo, patas cuadradas.</t>
  </si>
  <si>
    <t>estantes de acero inoxidable 1.8 mtrs, acero inoxidable 10 niveles, lisos con ruedas</t>
  </si>
  <si>
    <t>deshidratdor industrial de frutas acero inoxidable, 220V, temperatura hasta de 300 °C, dimensiones de 3.5x4.5x4.5, iso.</t>
  </si>
  <si>
    <t>invernadero para productos agricolas de base madera con malla antivirus de  50 mesh,  3.67x150 mts, ya instalado</t>
  </si>
  <si>
    <t>pozo artesanal malacate con accesorios para bombeo tuberias, parte electrica, bomba electrica, de 5 hp</t>
  </si>
  <si>
    <t xml:space="preserve">cuarto frio industrial 4x4 mts, 220v. Temperatura 0 °C, 11M3, capacidad de 2300kg. </t>
  </si>
  <si>
    <t xml:space="preserve">Purificador de Agua con las siguientes características: ozonizador de agua: elimina quistes, bacterias, solidos T1, capacidad 1000 unidades por mes, de acero inoxidable, 220 V, 1000 W; caudadl 5 galones por hora minimo  </t>
  </si>
  <si>
    <t>Extrusor para extracción de aceites</t>
  </si>
  <si>
    <t>Extrusor para Snack</t>
  </si>
  <si>
    <t>Ollas de acero inoxidable</t>
  </si>
  <si>
    <t>Ollas de acero inoxidable de 60 litros</t>
  </si>
  <si>
    <t>Ollas de presión de acero inoxidable</t>
  </si>
  <si>
    <t>Calentador de agua</t>
  </si>
  <si>
    <t>Tuberia Agua Fría</t>
  </si>
  <si>
    <t>Manguera para suministro de agua en M.</t>
  </si>
  <si>
    <t>Pistolas de agua</t>
  </si>
  <si>
    <t>Tuberia Agua Caliente</t>
  </si>
  <si>
    <t>Tuberia Vapor</t>
  </si>
  <si>
    <t>Compresor de aire comprimido</t>
  </si>
  <si>
    <t>Tuberia Aire Comprimido</t>
  </si>
  <si>
    <t>Gases inertes (Tanque)</t>
  </si>
  <si>
    <t>Valvula doble para control de presión (incluye 2 manómetros)</t>
  </si>
  <si>
    <t xml:space="preserve">Caldera de gas para suministro de calor a multiples equipos </t>
  </si>
  <si>
    <t>No se cuentan con los laboratorios ni talleres de procesamiento de alimentos que son indispensables para enriquecer el proceso de enseñanza aprendizaje.</t>
  </si>
  <si>
    <t xml:space="preserve">Construcción e instalación de la planta piloto  </t>
  </si>
  <si>
    <t>Autoridades Universitarias de CU así como la Dirección del centro.</t>
  </si>
  <si>
    <t>RECTORIA, SEDI, SEAF, AGROINDUSTRIA , DIRECCION Y ADMINISTRACION UNAH-TEC, DEPTO DE COMPRAS.</t>
  </si>
  <si>
    <t>Construcción de infraestructura para planta piloto agroindustrial e intalaciones electricas</t>
  </si>
  <si>
    <t xml:space="preserve">VIVERO </t>
  </si>
  <si>
    <t xml:space="preserve">CIENCIAS </t>
  </si>
  <si>
    <t>CIENCIAS</t>
  </si>
  <si>
    <t xml:space="preserve">CIENCIAS SOCIALES </t>
  </si>
  <si>
    <t>11.4.4.CAI</t>
  </si>
  <si>
    <t>ENCARGADO DE LABORATORIO</t>
  </si>
  <si>
    <t>seguimiento al plan de mejora del proceso de autoevaluacion en los diferentes factores.</t>
  </si>
  <si>
    <t>6.3.2.CAI</t>
  </si>
  <si>
    <t>que los estudiantes conozcan los procesos de transformacion de difefentes materias primas agroindustrriales</t>
  </si>
  <si>
    <t>realizacion de 3 giras educativas a zonas que cuentan con cultivos y procesos que la zona oriental no cuenta.</t>
  </si>
  <si>
    <t>Informe de Giras Realizadas</t>
  </si>
  <si>
    <t>Estudiantes de Ingenieria Agroindustrial</t>
  </si>
  <si>
    <t>3.2.10CAI</t>
  </si>
  <si>
    <t>Participacion, seguimiento en apoyo a la mesas sectoriales para el apoyo al desarrollo economico local de region oriental , que esten relacionadas a la agroidnustria.</t>
  </si>
  <si>
    <t>mejorar la vinculacion U_S de la carrera de agroindustria.</t>
  </si>
  <si>
    <t>ZONA ORIENTAL</t>
  </si>
  <si>
    <t>CONSTANCIA DE PARTICIPACION</t>
  </si>
  <si>
    <t xml:space="preserve">Realizar campañas de motivación a los docentes de UNAH-TEC  para la elaboración de proyectos de investigación científica </t>
  </si>
  <si>
    <t>Aprobación de presupuesto por autoridades universitarias</t>
  </si>
  <si>
    <t xml:space="preserve">Listado de proyectos de investigación en ejecución. </t>
  </si>
  <si>
    <t>Docentes y estudiantes UNAH-TEC Danlí</t>
  </si>
  <si>
    <t>Coordinador regional</t>
  </si>
  <si>
    <t>2.1.12.IC</t>
  </si>
  <si>
    <t>Realizar campaña a los docente para que realicen  publicaciones de trabajos científicos de importancia en las revistas cientificas  de la UNAH.</t>
  </si>
  <si>
    <t>2.2.2.IC</t>
  </si>
  <si>
    <t>Documento publicado</t>
  </si>
  <si>
    <t>Promover la publicación y difusión de resultados de investigaciones en congresos, eventos y foros internacionales</t>
  </si>
  <si>
    <t>2.2.3.IC</t>
  </si>
  <si>
    <t>Prespuesto aprobado para el centro y Compromiso de los investigadores en dar a conocer sus trabajos</t>
  </si>
  <si>
    <t>Dar a conocer los procesos de investigación de UNAH</t>
  </si>
  <si>
    <t>Ponencia presentada</t>
  </si>
  <si>
    <t xml:space="preserve">Elaboración y publicación de boletin informativo de desarrollo cientifico  </t>
  </si>
  <si>
    <t>Disponibilidad de recursos económicos de UNAH-TEC-Danlí</t>
  </si>
  <si>
    <t>Boletín publicado</t>
  </si>
  <si>
    <t>Coordinador regional y autoridades de UNAH-TEC</t>
  </si>
  <si>
    <t>2.2.4.IC</t>
  </si>
  <si>
    <t>ENCUENTRO DE INVESTIGACION UNAH-TEC-DANLI</t>
  </si>
  <si>
    <t>2.2.5.IC</t>
  </si>
  <si>
    <t xml:space="preserve">ENCUENTRO REALIZADO, FOTOS, INFORME </t>
  </si>
  <si>
    <t>Gestionar  2 cursos de actualización sobre la investigación científica en coordinación con la DICyP</t>
  </si>
  <si>
    <t>2.4.3.IC</t>
  </si>
  <si>
    <t>Disponibilidad en la programación de cursos por la DICyP</t>
  </si>
  <si>
    <t>Coordinador regional y DICyP</t>
  </si>
  <si>
    <t xml:space="preserve">PRODUCCION DE TRES CORTOMETRAJES </t>
  </si>
  <si>
    <t>7.4.1.ERU</t>
  </si>
  <si>
    <t>7.4.2.ERU</t>
  </si>
  <si>
    <t>PROMOVER LA CULTURA EN LOS ESTUDIANTES DE UNAH-TEC</t>
  </si>
  <si>
    <t xml:space="preserve">DESARROLLO DE ACTIVIDADES CULTURALES CON LOS ESTUDIANTES DEL VOLUNTARIADO CULTURAL </t>
  </si>
  <si>
    <t xml:space="preserve">LO ESENCIAL </t>
  </si>
  <si>
    <t>INFORME DE ACTIVIDADES REALIZADAS</t>
  </si>
  <si>
    <t xml:space="preserve">ESTUDIANTES UNAH-TEC </t>
  </si>
  <si>
    <t>PROMOVER EL ARTE EN LOS ESTUDIANTES DE UNAH-TEC</t>
  </si>
  <si>
    <t xml:space="preserve">CORTO METRAJES REALIZADOS </t>
  </si>
  <si>
    <t xml:space="preserve">PREMIOS </t>
  </si>
  <si>
    <t>8.2.1.CAI</t>
  </si>
  <si>
    <t>Apoyo economico de autoridades universitarias para la implementación del plan de mejora</t>
  </si>
  <si>
    <t>Acreditación de las carreras de UNAH-TEC Danlí</t>
  </si>
  <si>
    <t>Informes de avance del plan de mejora</t>
  </si>
  <si>
    <t>UNAH-TEC Danlí</t>
  </si>
  <si>
    <t>Coordinadores de carrera, Vicerrectoria académica, dirección UNAH-TEC Danlí</t>
  </si>
  <si>
    <t>Gestionar Culminación de la construcción el edificio de aulas N 1</t>
  </si>
  <si>
    <t xml:space="preserve">Gestionar la Construccion del Segundo Edificio de Aulas </t>
  </si>
  <si>
    <t xml:space="preserve">Este Centro solo cuenta con 10 aulas para impartir 125 secciones de hora clases, los cuales no son suficientes  para atender la demanda de los estudiantes </t>
  </si>
  <si>
    <t xml:space="preserve">Proyectos concluidos </t>
  </si>
  <si>
    <t>Autoridades Universitarias de CU así como la Dirección del centro, SEAPI.</t>
  </si>
  <si>
    <t>La apertura de nuevas áreas académicas requiere de más espacio fisicos</t>
  </si>
  <si>
    <t>Planos de construcción de la infraestructura, y fotografias</t>
  </si>
  <si>
    <t>Gestionar la Construcción de un edificio que contenga las siguientes aéreas: Dirección, Administración, Secretaria, Registro, Tesorería, Personal; Sistema de Admisiones, VOAE, Vinculación, Consejo Local, Investigación, Área de Docentes, biblioteca, sección de baños, sala de juntas, gestión de la calidad educativa y clinica de atención a estudiantes.</t>
  </si>
  <si>
    <t>UNAH-TEC no cuenta con infraestructura para la parte administrativo; con dicha construcción fortalecerá a UNAH-TEC-DANLI</t>
  </si>
  <si>
    <t>UNAH_TEC</t>
  </si>
  <si>
    <t xml:space="preserve">Gestionar la Adquisición de un vehiculo doble cabina 4x4 para realizar viajes de supervision a los estudiantes que estan realizando su servicio social  y para realizar viajes de trabajo a CU. </t>
  </si>
  <si>
    <t>11.3.19.ADMON</t>
  </si>
  <si>
    <t>11.3.18.ADMON</t>
  </si>
  <si>
    <t>11.3.17.ADMON</t>
  </si>
  <si>
    <t>11.3.16.ADMON</t>
  </si>
  <si>
    <t>UNAH-TEC no cuenta con un vehiculo asignado para realizar trabajos y supervisiones de los estudiantes de enfermeria que se encuentra en servicio social</t>
  </si>
  <si>
    <t xml:space="preserve">Vehiculo </t>
  </si>
  <si>
    <t xml:space="preserve">Direccion </t>
  </si>
  <si>
    <t>A. Aulas de la Segunda Planta</t>
  </si>
  <si>
    <t xml:space="preserve">Puertas </t>
  </si>
  <si>
    <t>Ventanas de Aluminio y Celosia de Vidrio</t>
  </si>
  <si>
    <t xml:space="preserve">Cemento Gris  Tipo Portalan </t>
  </si>
  <si>
    <t xml:space="preserve">Arena de Rio Lavada </t>
  </si>
  <si>
    <t>Grava de Rio</t>
  </si>
  <si>
    <t>Bloque de Concreto de 15x20x40 cm</t>
  </si>
  <si>
    <t xml:space="preserve">Ladrillo de Granito Terrazo 30 x 30 </t>
  </si>
  <si>
    <t xml:space="preserve">Lamina de Aluminizada cal. 26 ondulada 36" x 6" </t>
  </si>
  <si>
    <t xml:space="preserve">Capote para Lamina Aluminizada </t>
  </si>
  <si>
    <t>Alambre de Amarre</t>
  </si>
  <si>
    <t>Varilla de Hiero Corruada de 3/8" x 30' Leg</t>
  </si>
  <si>
    <t xml:space="preserve">Varilla de Hierro Lisa de 5/8" x 30' legita </t>
  </si>
  <si>
    <t xml:space="preserve">Varilla de Hierro Corrugada de 1" x 30 legitima </t>
  </si>
  <si>
    <t xml:space="preserve">Varilla de Hierro Lisa de 1/4" x 30' legitima </t>
  </si>
  <si>
    <t>Canaleta de 2" x 6" x 1/16"</t>
  </si>
  <si>
    <t xml:space="preserve">Clavos dif Dimenciones </t>
  </si>
  <si>
    <t xml:space="preserve">Madera Rustica de Pino </t>
  </si>
  <si>
    <t xml:space="preserve">Sanitarios </t>
  </si>
  <si>
    <t xml:space="preserve">Mano de Obra </t>
  </si>
  <si>
    <t xml:space="preserve">Imprevistos </t>
  </si>
  <si>
    <t>Construcción de infraestructura del edificio de Aulas N° 2</t>
  </si>
  <si>
    <t>Construcción de infraestructura del area administrativa e intalaciones electricas</t>
  </si>
  <si>
    <t xml:space="preserve">vehiculo doble cabina 4 x 4 doble traccion </t>
  </si>
  <si>
    <t>11.3.20.ADMON</t>
  </si>
  <si>
    <t xml:space="preserve">para brindar um mejor servicio al estudiente, docente en las areas administrativas </t>
  </si>
  <si>
    <t xml:space="preserve">mesa </t>
  </si>
  <si>
    <t xml:space="preserve">loker </t>
  </si>
  <si>
    <t xml:space="preserve">estante </t>
  </si>
  <si>
    <t>11.3.20.admon</t>
  </si>
  <si>
    <t xml:space="preserve">impresora de recibos </t>
  </si>
  <si>
    <t xml:space="preserve">impresora de etiquetas </t>
  </si>
  <si>
    <t xml:space="preserve">lector de codigo de barra </t>
  </si>
  <si>
    <t xml:space="preserve">CARRITO DE CORTAR CESPED </t>
  </si>
  <si>
    <t xml:space="preserve">PULIDORA DE PISO </t>
  </si>
  <si>
    <t xml:space="preserve">armario </t>
  </si>
  <si>
    <t xml:space="preserve">Gestionar Equipamiento area adminsitrativa, biblioteca, aula de ajedrez </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</si>
</sst>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0"/>
      <color rgb="FF000000"/>
      <name val="Arial"/>
      <family val="2"/>
    </font>
    <font>
      <sz val="12"/>
      <color rgb="FF000000"/>
      <name val="Arial Narrow"/>
      <family val="2"/>
    </font>
    <font>
      <sz val="11"/>
      <name val="Arial"/>
      <family val="2"/>
    </font>
    <font>
      <sz val="12"/>
      <color theme="1"/>
      <name val="Arial Narrow"/>
      <family val="2"/>
    </font>
    <font>
      <sz val="11"/>
      <color indexed="8"/>
      <name val="Arial"/>
      <family val="2"/>
    </font>
    <font>
      <sz val="10"/>
      <color theme="1"/>
      <name val="Calibri"/>
      <family val="2"/>
    </font>
    <font>
      <sz val="10"/>
      <color theme="1"/>
      <name val="Calibri"/>
      <family val="2"/>
      <scheme val="minor"/>
    </font>
    <font>
      <sz val="12"/>
      <name val="Arial Narrow"/>
      <family val="2"/>
    </font>
    <font>
      <sz val="11"/>
      <color theme="1"/>
      <name val="Arial"/>
      <family val="2"/>
    </font>
    <font>
      <sz val="12"/>
      <color theme="1"/>
      <name val="Calibri"/>
      <family val="2"/>
    </font>
    <font>
      <sz val="11"/>
      <color rgb="FF000000"/>
      <name val="Arial"/>
      <family val="2"/>
    </font>
    <font>
      <b/>
      <sz val="12"/>
      <color theme="3"/>
      <name val="Calibri"/>
      <family val="2"/>
      <scheme val="minor"/>
    </font>
    <font>
      <sz val="10"/>
      <color theme="1"/>
      <name val="Arial"/>
      <family val="2"/>
    </font>
    <font>
      <sz val="11"/>
      <color rgb="FF333333"/>
      <name val="Calibri"/>
      <family val="2"/>
      <scheme val="minor"/>
    </font>
    <font>
      <sz val="11"/>
      <name val="Arial Narrow"/>
      <family val="2"/>
    </font>
    <font>
      <sz val="10"/>
      <name val="Calibri"/>
      <family val="2"/>
    </font>
    <font>
      <sz val="12"/>
      <color rgb="FF00B050"/>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6" tint="0.79998168889431442"/>
        <bgColor indexed="65"/>
      </patternFill>
    </fill>
  </fills>
  <borders count="6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medium">
        <color auto="1"/>
      </top>
      <bottom style="thin">
        <color auto="1"/>
      </bottom>
      <diagonal/>
    </border>
    <border>
      <left/>
      <right/>
      <top style="thin">
        <color rgb="FF000000"/>
      </top>
      <bottom/>
      <diagonal/>
    </border>
    <border>
      <left/>
      <right/>
      <top style="thin">
        <color auto="1"/>
      </top>
      <bottom style="thin">
        <color auto="1"/>
      </bottom>
      <diagonal/>
    </border>
    <border>
      <left style="thin">
        <color indexed="64"/>
      </left>
      <right/>
      <top/>
      <bottom/>
      <diagonal/>
    </border>
  </borders>
  <cellStyleXfs count="22">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1" fillId="0" borderId="0"/>
    <xf numFmtId="0" fontId="20" fillId="23" borderId="0" applyNumberFormat="0" applyBorder="0" applyAlignment="0" applyProtection="0"/>
  </cellStyleXfs>
  <cellXfs count="85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4"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6"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8" fillId="0" borderId="53" xfId="0" applyFont="1" applyBorder="1" applyAlignment="1">
      <alignment horizontal="lef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72" fillId="0" borderId="58" xfId="20" applyFont="1" applyFill="1" applyBorder="1" applyAlignment="1">
      <alignment horizontal="left" vertical="top" wrapText="1"/>
    </xf>
    <xf numFmtId="0" fontId="8" fillId="0" borderId="0" xfId="19" applyAlignment="1">
      <alignment vertical="top" wrapText="1"/>
    </xf>
    <xf numFmtId="43" fontId="39" fillId="0" borderId="26" xfId="18" applyFont="1" applyBorder="1" applyAlignment="1">
      <alignment horizontal="center" vertical="center" wrapText="1"/>
    </xf>
    <xf numFmtId="0" fontId="72" fillId="0" borderId="26" xfId="20" applyFont="1" applyFill="1" applyBorder="1" applyAlignment="1">
      <alignment horizontal="left" vertical="top" wrapText="1"/>
    </xf>
    <xf numFmtId="41" fontId="39" fillId="0" borderId="26" xfId="19" applyNumberFormat="1" applyFont="1" applyBorder="1" applyAlignment="1">
      <alignment horizontal="center" vertical="center" wrapText="1"/>
    </xf>
    <xf numFmtId="0" fontId="73" fillId="0" borderId="26" xfId="19" applyFont="1" applyFill="1" applyBorder="1" applyAlignment="1">
      <alignment horizontal="justify" vertical="top" wrapText="1"/>
    </xf>
    <xf numFmtId="9" fontId="74" fillId="2" borderId="16" xfId="20" applyNumberFormat="1" applyFont="1" applyFill="1" applyBorder="1" applyAlignment="1">
      <alignment horizontal="center" vertical="top" wrapText="1"/>
    </xf>
    <xf numFmtId="0" fontId="72" fillId="2" borderId="59" xfId="20" applyFont="1" applyFill="1" applyBorder="1" applyAlignment="1">
      <alignment horizontal="left" vertical="top" wrapText="1"/>
    </xf>
    <xf numFmtId="0" fontId="75" fillId="0" borderId="27" xfId="19" applyFont="1" applyFill="1" applyBorder="1" applyAlignment="1">
      <alignment horizontal="center" vertical="center" wrapText="1"/>
    </xf>
    <xf numFmtId="0" fontId="73" fillId="0" borderId="27" xfId="19" applyFont="1" applyFill="1" applyBorder="1" applyAlignment="1">
      <alignment horizontal="center" vertical="center" wrapText="1"/>
    </xf>
    <xf numFmtId="0" fontId="76" fillId="2" borderId="26" xfId="19" applyFont="1" applyFill="1" applyBorder="1" applyAlignment="1">
      <alignment horizontal="center" vertical="top" wrapText="1"/>
    </xf>
    <xf numFmtId="0" fontId="22" fillId="5" borderId="10" xfId="0" applyFont="1" applyFill="1" applyBorder="1" applyAlignment="1">
      <alignment horizontal="left" vertical="center" wrapText="1"/>
    </xf>
    <xf numFmtId="0" fontId="22" fillId="5" borderId="10" xfId="0" applyFont="1" applyFill="1" applyBorder="1" applyAlignment="1">
      <alignment vertical="center" wrapText="1"/>
    </xf>
    <xf numFmtId="0" fontId="77" fillId="2" borderId="26" xfId="0" applyFont="1" applyFill="1" applyBorder="1" applyAlignment="1">
      <alignment horizontal="center" vertical="top" wrapText="1"/>
    </xf>
    <xf numFmtId="0" fontId="72" fillId="0" borderId="59" xfId="20" applyFont="1" applyFill="1" applyBorder="1" applyAlignment="1">
      <alignment horizontal="left" vertical="top" wrapText="1"/>
    </xf>
    <xf numFmtId="9" fontId="78" fillId="2" borderId="0" xfId="20" applyNumberFormat="1" applyFont="1" applyFill="1" applyBorder="1" applyAlignment="1">
      <alignment horizontal="center" vertical="top" wrapText="1"/>
    </xf>
    <xf numFmtId="9" fontId="78" fillId="2" borderId="60" xfId="20" applyNumberFormat="1" applyFont="1" applyFill="1" applyBorder="1" applyAlignment="1">
      <alignment horizontal="center" vertical="top" wrapText="1"/>
    </xf>
    <xf numFmtId="0" fontId="75" fillId="0" borderId="26" xfId="19" applyFont="1" applyFill="1" applyBorder="1" applyAlignment="1">
      <alignment horizontal="center" vertical="center" wrapText="1"/>
    </xf>
    <xf numFmtId="0" fontId="64" fillId="0" borderId="26" xfId="19" applyFont="1" applyBorder="1" applyAlignment="1">
      <alignment horizontal="center" vertical="center" wrapText="1"/>
    </xf>
    <xf numFmtId="9" fontId="78" fillId="2" borderId="61" xfId="20" applyNumberFormat="1" applyFont="1" applyFill="1" applyBorder="1" applyAlignment="1">
      <alignment horizontal="center" vertical="top" wrapText="1"/>
    </xf>
    <xf numFmtId="0" fontId="80" fillId="2" borderId="26" xfId="19" applyFont="1" applyFill="1" applyBorder="1" applyAlignment="1">
      <alignment horizontal="center" vertical="center" wrapText="1"/>
    </xf>
    <xf numFmtId="0" fontId="38" fillId="0" borderId="0" xfId="19" applyFont="1" applyBorder="1" applyAlignment="1">
      <alignment horizontal="center" vertical="center" wrapText="1"/>
    </xf>
    <xf numFmtId="0" fontId="76" fillId="2" borderId="26" xfId="19" applyFont="1" applyFill="1" applyBorder="1" applyAlignment="1">
      <alignment vertical="top" wrapText="1"/>
    </xf>
    <xf numFmtId="0" fontId="73" fillId="0" borderId="26" xfId="19" applyFont="1" applyFill="1" applyBorder="1" applyAlignment="1">
      <alignment horizontal="center" vertical="center" wrapText="1"/>
    </xf>
    <xf numFmtId="0" fontId="78" fillId="2" borderId="58" xfId="20" applyFont="1" applyFill="1" applyBorder="1" applyAlignment="1">
      <alignment horizontal="center" vertical="top" wrapText="1"/>
    </xf>
    <xf numFmtId="9" fontId="33" fillId="2" borderId="26" xfId="19" applyNumberFormat="1" applyFont="1" applyFill="1" applyBorder="1" applyAlignment="1">
      <alignment horizontal="center" vertical="center" wrapText="1"/>
    </xf>
    <xf numFmtId="0" fontId="72" fillId="0" borderId="59" xfId="20" applyFont="1" applyFill="1" applyBorder="1" applyAlignment="1">
      <alignment horizontal="left" vertical="center" wrapText="1"/>
    </xf>
    <xf numFmtId="0" fontId="81" fillId="0" borderId="26" xfId="0" applyFont="1" applyBorder="1" applyAlignment="1">
      <alignment vertical="top" wrapText="1"/>
    </xf>
    <xf numFmtId="0" fontId="75" fillId="0" borderId="26" xfId="19" applyFont="1" applyFill="1" applyBorder="1" applyAlignment="1">
      <alignment horizontal="justify" vertical="top" wrapText="1"/>
    </xf>
    <xf numFmtId="0" fontId="78" fillId="0" borderId="59" xfId="20" applyFont="1" applyFill="1" applyBorder="1" applyAlignment="1">
      <alignment horizontal="center" vertical="top" wrapText="1"/>
    </xf>
    <xf numFmtId="0" fontId="78" fillId="2" borderId="59" xfId="20" applyFont="1" applyFill="1" applyBorder="1" applyAlignment="1">
      <alignment horizontal="center" vertical="top" wrapText="1"/>
    </xf>
    <xf numFmtId="0" fontId="29" fillId="0" borderId="28" xfId="19" applyFont="1" applyBorder="1" applyAlignment="1">
      <alignment horizontal="center" vertical="center" wrapText="1"/>
    </xf>
    <xf numFmtId="0" fontId="29" fillId="0" borderId="62" xfId="19" applyFont="1" applyBorder="1" applyAlignment="1">
      <alignment horizontal="center" vertical="center" wrapText="1"/>
    </xf>
    <xf numFmtId="9" fontId="74" fillId="2" borderId="63" xfId="20" applyNumberFormat="1" applyFont="1" applyFill="1" applyBorder="1" applyAlignment="1">
      <alignment horizontal="center" vertical="top" wrapText="1"/>
    </xf>
    <xf numFmtId="0" fontId="83" fillId="2" borderId="26" xfId="19" applyFont="1" applyFill="1" applyBorder="1" applyAlignment="1" applyProtection="1">
      <alignment vertical="top" wrapText="1"/>
      <protection locked="0"/>
    </xf>
    <xf numFmtId="0" fontId="72" fillId="2" borderId="26" xfId="20" applyFont="1" applyFill="1" applyBorder="1" applyAlignment="1">
      <alignment horizontal="left" vertical="top" wrapText="1"/>
    </xf>
    <xf numFmtId="9" fontId="74" fillId="2" borderId="0" xfId="20" applyNumberFormat="1" applyFont="1" applyFill="1" applyBorder="1" applyAlignment="1">
      <alignment horizontal="center" vertical="top" wrapText="1"/>
    </xf>
    <xf numFmtId="0" fontId="83" fillId="2" borderId="26" xfId="19" applyFont="1" applyFill="1" applyBorder="1" applyAlignment="1" applyProtection="1">
      <alignment vertical="center" wrapText="1"/>
      <protection locked="0"/>
    </xf>
    <xf numFmtId="0" fontId="76" fillId="2" borderId="26" xfId="19" applyFont="1" applyFill="1" applyBorder="1" applyAlignment="1">
      <alignment vertical="center" wrapText="1"/>
    </xf>
    <xf numFmtId="0" fontId="72" fillId="2" borderId="58" xfId="20" applyFont="1" applyFill="1" applyBorder="1" applyAlignment="1">
      <alignment horizontal="left" vertical="top" wrapText="1"/>
    </xf>
    <xf numFmtId="0" fontId="71" fillId="0" borderId="0" xfId="20" applyAlignment="1">
      <alignment wrapText="1"/>
    </xf>
    <xf numFmtId="9" fontId="78" fillId="2" borderId="26" xfId="20" applyNumberFormat="1" applyFont="1" applyFill="1" applyBorder="1" applyAlignment="1">
      <alignment horizontal="center" vertical="top" wrapText="1"/>
    </xf>
    <xf numFmtId="0" fontId="0" fillId="0" borderId="26" xfId="0" applyBorder="1" applyAlignment="1">
      <alignment wrapText="1"/>
    </xf>
    <xf numFmtId="0" fontId="72" fillId="2" borderId="64" xfId="20" applyFont="1" applyFill="1" applyBorder="1" applyAlignment="1">
      <alignment horizontal="left" vertical="top" wrapText="1"/>
    </xf>
    <xf numFmtId="0" fontId="0" fillId="2" borderId="26" xfId="0" applyFill="1" applyBorder="1" applyAlignment="1">
      <alignment vertical="top" wrapText="1"/>
    </xf>
    <xf numFmtId="0" fontId="0" fillId="0" borderId="0" xfId="0" applyAlignment="1">
      <alignment wrapText="1"/>
    </xf>
    <xf numFmtId="0" fontId="0" fillId="0" borderId="26" xfId="0" applyBorder="1" applyAlignment="1">
      <alignment horizontal="justify" vertical="top"/>
    </xf>
    <xf numFmtId="0" fontId="84" fillId="0" borderId="26" xfId="0" applyFont="1" applyBorder="1" applyAlignment="1">
      <alignment wrapText="1"/>
    </xf>
    <xf numFmtId="0" fontId="0" fillId="0" borderId="0" xfId="0" applyAlignment="1">
      <alignment horizontal="left" vertical="top" wrapText="1"/>
    </xf>
    <xf numFmtId="0" fontId="77" fillId="2" borderId="26" xfId="0" applyFont="1" applyFill="1" applyBorder="1" applyAlignment="1">
      <alignment vertical="top" wrapText="1"/>
    </xf>
    <xf numFmtId="0" fontId="77" fillId="2" borderId="26" xfId="0" applyFont="1" applyFill="1" applyBorder="1" applyAlignment="1">
      <alignment horizontal="left" vertical="top" wrapText="1"/>
    </xf>
    <xf numFmtId="0" fontId="22" fillId="5" borderId="12" xfId="0" applyFont="1" applyFill="1" applyBorder="1" applyAlignment="1">
      <alignment vertical="center" wrapText="1"/>
    </xf>
    <xf numFmtId="171" fontId="21" fillId="2" borderId="0" xfId="0" applyNumberFormat="1" applyFont="1" applyFill="1" applyAlignment="1">
      <alignment vertical="center"/>
    </xf>
    <xf numFmtId="0" fontId="29" fillId="0" borderId="26" xfId="19" applyFont="1" applyBorder="1" applyAlignment="1">
      <alignment horizontal="center" vertical="center" wrapText="1"/>
    </xf>
    <xf numFmtId="0" fontId="0" fillId="0" borderId="26" xfId="0" applyBorder="1" applyAlignment="1">
      <alignment horizontal="center"/>
    </xf>
    <xf numFmtId="9" fontId="85" fillId="2" borderId="61" xfId="20" applyNumberFormat="1" applyFont="1" applyFill="1" applyBorder="1" applyAlignment="1">
      <alignment horizontal="center" vertical="top"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32" fillId="0" borderId="62" xfId="0" applyFont="1" applyFill="1" applyBorder="1" applyAlignment="1">
      <alignment horizontal="center" vertical="center" wrapText="1"/>
    </xf>
    <xf numFmtId="43" fontId="32" fillId="0" borderId="62" xfId="18" applyFont="1" applyFill="1" applyBorder="1" applyAlignment="1">
      <alignment horizontal="center" vertical="center" wrapText="1"/>
    </xf>
    <xf numFmtId="9" fontId="32" fillId="0" borderId="62" xfId="0" applyNumberFormat="1" applyFont="1" applyFill="1" applyBorder="1" applyAlignment="1">
      <alignment horizontal="center" vertical="center" wrapText="1"/>
    </xf>
    <xf numFmtId="0" fontId="32" fillId="0" borderId="27" xfId="0"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27" xfId="18"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0" fontId="0" fillId="0" borderId="26" xfId="0" applyBorder="1"/>
    <xf numFmtId="9" fontId="0" fillId="0" borderId="26" xfId="0" applyNumberFormat="1" applyBorder="1"/>
    <xf numFmtId="43" fontId="21" fillId="6" borderId="24" xfId="0" applyNumberFormat="1" applyFont="1" applyFill="1" applyBorder="1" applyAlignment="1">
      <alignment vertical="center"/>
    </xf>
    <xf numFmtId="41" fontId="22" fillId="2" borderId="18" xfId="0" applyNumberFormat="1" applyFont="1" applyFill="1" applyBorder="1" applyAlignment="1">
      <alignment horizontal="center" vertical="center"/>
    </xf>
    <xf numFmtId="0" fontId="22" fillId="2" borderId="26" xfId="0" applyFont="1" applyFill="1" applyBorder="1" applyAlignment="1">
      <alignment vertical="center"/>
    </xf>
    <xf numFmtId="43" fontId="0" fillId="0" borderId="26" xfId="0" applyNumberFormat="1" applyBorder="1"/>
    <xf numFmtId="0" fontId="32" fillId="0" borderId="28" xfId="0" applyFont="1" applyFill="1" applyBorder="1" applyAlignment="1">
      <alignment horizontal="center" vertical="center" wrapText="1"/>
    </xf>
    <xf numFmtId="0" fontId="72" fillId="0" borderId="0" xfId="20" applyFont="1" applyFill="1" applyBorder="1" applyAlignment="1">
      <alignment horizontal="left" vertical="top" wrapText="1"/>
    </xf>
    <xf numFmtId="0" fontId="72" fillId="0" borderId="64" xfId="20" applyFont="1" applyFill="1" applyBorder="1" applyAlignment="1">
      <alignment horizontal="left" vertical="top" wrapText="1"/>
    </xf>
    <xf numFmtId="0" fontId="85" fillId="2" borderId="0" xfId="20" applyFont="1" applyFill="1" applyBorder="1" applyAlignment="1">
      <alignment horizontal="center" vertical="top" wrapText="1"/>
    </xf>
    <xf numFmtId="0" fontId="78" fillId="0" borderId="26" xfId="20" applyFont="1" applyFill="1" applyBorder="1" applyAlignment="1">
      <alignment horizontal="left" vertical="top" wrapText="1"/>
    </xf>
    <xf numFmtId="0" fontId="78" fillId="0" borderId="59" xfId="20" applyFont="1" applyFill="1" applyBorder="1" applyAlignment="1">
      <alignment horizontal="left" vertical="top" wrapText="1"/>
    </xf>
    <xf numFmtId="0" fontId="22" fillId="5" borderId="8" xfId="0" applyFont="1" applyFill="1" applyBorder="1" applyAlignment="1">
      <alignment horizontal="center" vertical="center"/>
    </xf>
    <xf numFmtId="43" fontId="33" fillId="0" borderId="28" xfId="19" applyNumberFormat="1"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9" fontId="0" fillId="0" borderId="27" xfId="0" applyNumberFormat="1" applyBorder="1"/>
    <xf numFmtId="43" fontId="0" fillId="0" borderId="27" xfId="0" applyNumberFormat="1" applyBorder="1"/>
    <xf numFmtId="0" fontId="0" fillId="0" borderId="27" xfId="0" applyBorder="1"/>
    <xf numFmtId="9" fontId="85" fillId="2" borderId="13" xfId="20" applyNumberFormat="1" applyFont="1" applyFill="1" applyBorder="1" applyAlignment="1">
      <alignment horizontal="center" vertical="top" wrapText="1"/>
    </xf>
    <xf numFmtId="0" fontId="0" fillId="0" borderId="27" xfId="0" applyBorder="1" applyAlignment="1">
      <alignment wrapText="1"/>
    </xf>
    <xf numFmtId="0" fontId="77" fillId="2" borderId="27" xfId="0" applyFont="1" applyFill="1" applyBorder="1" applyAlignment="1">
      <alignment horizontal="center" vertical="top" wrapText="1"/>
    </xf>
    <xf numFmtId="9" fontId="78" fillId="2" borderId="65" xfId="20" applyNumberFormat="1" applyFont="1" applyFill="1" applyBorder="1" applyAlignment="1">
      <alignment horizontal="center" vertical="top" wrapText="1"/>
    </xf>
    <xf numFmtId="0" fontId="86" fillId="0" borderId="26" xfId="19" applyFont="1" applyBorder="1" applyAlignment="1">
      <alignment vertical="top" wrapText="1"/>
    </xf>
    <xf numFmtId="0" fontId="86" fillId="0" borderId="26" xfId="19" applyFont="1" applyBorder="1" applyAlignment="1">
      <alignment horizontal="center" vertical="top" wrapText="1"/>
    </xf>
    <xf numFmtId="0" fontId="0" fillId="0" borderId="26" xfId="0" applyFont="1" applyBorder="1" applyAlignment="1">
      <alignment wrapText="1"/>
    </xf>
    <xf numFmtId="0" fontId="4" fillId="0" borderId="26" xfId="0" applyFont="1" applyBorder="1" applyAlignment="1">
      <alignment wrapText="1"/>
    </xf>
    <xf numFmtId="0" fontId="22" fillId="5" borderId="0" xfId="0" applyNumberFormat="1" applyFont="1" applyFill="1" applyBorder="1" applyAlignment="1">
      <alignment horizontal="center" vertical="center"/>
    </xf>
    <xf numFmtId="41" fontId="22" fillId="5" borderId="0" xfId="0" applyNumberFormat="1" applyFont="1" applyFill="1" applyBorder="1" applyAlignment="1">
      <alignment vertical="center"/>
    </xf>
    <xf numFmtId="0" fontId="22" fillId="5" borderId="0" xfId="0" applyFont="1" applyFill="1" applyBorder="1" applyAlignment="1">
      <alignment horizontal="center" vertical="center"/>
    </xf>
    <xf numFmtId="0" fontId="0" fillId="0" borderId="26" xfId="0" applyFont="1" applyBorder="1"/>
    <xf numFmtId="4" fontId="0" fillId="0" borderId="26" xfId="0" applyNumberFormat="1" applyFont="1" applyBorder="1"/>
    <xf numFmtId="3" fontId="0" fillId="0" borderId="26" xfId="0" applyNumberFormat="1" applyFont="1" applyBorder="1"/>
    <xf numFmtId="0" fontId="0" fillId="0" borderId="26" xfId="0" applyFont="1" applyBorder="1" applyAlignment="1">
      <alignment vertical="top"/>
    </xf>
    <xf numFmtId="4" fontId="0" fillId="0" borderId="26" xfId="0" applyNumberFormat="1" applyFont="1" applyBorder="1" applyAlignment="1">
      <alignment vertical="top"/>
    </xf>
    <xf numFmtId="43" fontId="0" fillId="0" borderId="26" xfId="18" applyFont="1" applyBorder="1"/>
    <xf numFmtId="0" fontId="4" fillId="0" borderId="26" xfId="0" applyFont="1" applyBorder="1"/>
    <xf numFmtId="0" fontId="78" fillId="2" borderId="26" xfId="20" applyFont="1" applyFill="1" applyBorder="1" applyAlignment="1">
      <alignment horizontal="center" vertical="top" wrapText="1"/>
    </xf>
    <xf numFmtId="9" fontId="33" fillId="0" borderId="26" xfId="18" applyNumberFormat="1" applyFont="1" applyBorder="1" applyAlignment="1">
      <alignment horizontal="center" vertical="center" wrapText="1"/>
    </xf>
    <xf numFmtId="0" fontId="76" fillId="0" borderId="26" xfId="19" applyFont="1" applyFill="1" applyBorder="1" applyAlignment="1">
      <alignment horizontal="center" vertical="top" wrapText="1"/>
    </xf>
    <xf numFmtId="0" fontId="76" fillId="2" borderId="37" xfId="19" applyFont="1" applyFill="1" applyBorder="1" applyAlignment="1">
      <alignment vertical="top" wrapText="1"/>
    </xf>
    <xf numFmtId="0" fontId="22" fillId="5" borderId="0" xfId="0" applyFont="1" applyFill="1" applyBorder="1" applyAlignment="1">
      <alignment vertical="center"/>
    </xf>
    <xf numFmtId="0" fontId="76" fillId="0" borderId="26" xfId="19" applyFont="1" applyBorder="1" applyAlignment="1">
      <alignment vertical="top" wrapText="1"/>
    </xf>
    <xf numFmtId="0" fontId="76" fillId="0" borderId="26" xfId="19" applyFont="1" applyBorder="1" applyAlignment="1">
      <alignment horizontal="center" vertical="top" wrapText="1"/>
    </xf>
    <xf numFmtId="0" fontId="0" fillId="0" borderId="0" xfId="0"/>
    <xf numFmtId="44" fontId="21" fillId="2" borderId="0" xfId="10" applyFont="1" applyFill="1" applyAlignment="1">
      <alignment horizontal="center" vertical="center"/>
    </xf>
    <xf numFmtId="0" fontId="32" fillId="0" borderId="26" xfId="0" applyFont="1" applyBorder="1" applyAlignment="1">
      <alignment horizontal="center" vertical="center" wrapText="1"/>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0" fillId="0" borderId="26" xfId="0" applyBorder="1" applyAlignment="1">
      <alignment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65"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top"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26" fillId="0" borderId="0" xfId="19" applyFont="1" applyBorder="1" applyAlignment="1">
      <alignment wrapText="1"/>
    </xf>
    <xf numFmtId="0" fontId="22" fillId="5" borderId="10" xfId="0" applyFont="1" applyFill="1" applyBorder="1"/>
    <xf numFmtId="41" fontId="22" fillId="5" borderId="65" xfId="0" applyNumberFormat="1" applyFont="1" applyFill="1" applyBorder="1" applyAlignment="1"/>
    <xf numFmtId="171" fontId="22" fillId="5" borderId="17" xfId="0" applyNumberFormat="1" applyFont="1" applyFill="1" applyBorder="1"/>
    <xf numFmtId="0" fontId="22" fillId="5" borderId="12" xfId="0" applyFont="1" applyFill="1" applyBorder="1" applyAlignment="1">
      <alignment vertical="center" wrapText="1"/>
    </xf>
    <xf numFmtId="43" fontId="32" fillId="0" borderId="26" xfId="18" applyFont="1" applyFill="1" applyBorder="1" applyAlignment="1">
      <alignment horizontal="center" vertical="center" wrapText="1"/>
    </xf>
    <xf numFmtId="0" fontId="0" fillId="2" borderId="26" xfId="0" applyFont="1" applyFill="1" applyBorder="1" applyAlignment="1">
      <alignment horizontal="center"/>
    </xf>
    <xf numFmtId="43" fontId="0" fillId="2" borderId="26" xfId="18" applyFont="1" applyFill="1" applyBorder="1" applyAlignment="1">
      <alignment horizontal="center"/>
    </xf>
    <xf numFmtId="43" fontId="4" fillId="2" borderId="26" xfId="18" applyFont="1" applyFill="1" applyBorder="1" applyAlignment="1">
      <alignment horizontal="center"/>
    </xf>
    <xf numFmtId="0" fontId="0" fillId="0" borderId="26" xfId="0" applyBorder="1"/>
    <xf numFmtId="43" fontId="0" fillId="0" borderId="26" xfId="18" applyFont="1" applyBorder="1"/>
    <xf numFmtId="0" fontId="0" fillId="5" borderId="26" xfId="0" applyFont="1" applyFill="1" applyBorder="1" applyAlignment="1">
      <alignment horizontal="center"/>
    </xf>
    <xf numFmtId="43" fontId="0" fillId="5" borderId="26" xfId="18" applyFont="1" applyFill="1" applyBorder="1" applyAlignment="1">
      <alignment horizontal="center"/>
    </xf>
    <xf numFmtId="0" fontId="0" fillId="5" borderId="26" xfId="0" applyFill="1" applyBorder="1" applyAlignment="1">
      <alignment wrapText="1"/>
    </xf>
    <xf numFmtId="0" fontId="22" fillId="3" borderId="13" xfId="0" applyNumberFormat="1" applyFont="1" applyFill="1" applyBorder="1" applyAlignment="1">
      <alignment horizontal="center" vertical="center"/>
    </xf>
    <xf numFmtId="0" fontId="21" fillId="3" borderId="0" xfId="0" applyFont="1" applyFill="1" applyBorder="1"/>
    <xf numFmtId="41" fontId="22" fillId="3" borderId="14" xfId="0" applyNumberFormat="1" applyFont="1" applyFill="1" applyBorder="1" applyAlignment="1">
      <alignment vertical="center"/>
    </xf>
    <xf numFmtId="0" fontId="76" fillId="2" borderId="26" xfId="19" applyFont="1" applyFill="1" applyBorder="1" applyAlignment="1">
      <alignment horizontal="left" vertical="top" wrapText="1"/>
    </xf>
    <xf numFmtId="0" fontId="76" fillId="2" borderId="26" xfId="19" applyFont="1" applyFill="1" applyBorder="1" applyAlignment="1">
      <alignment vertical="top" wrapText="1"/>
    </xf>
    <xf numFmtId="0" fontId="76" fillId="0" borderId="26" xfId="19" applyFont="1" applyFill="1" applyBorder="1" applyAlignment="1">
      <alignment vertical="top" wrapText="1"/>
    </xf>
    <xf numFmtId="0" fontId="83" fillId="0" borderId="26" xfId="19" applyFont="1" applyBorder="1" applyAlignment="1">
      <alignment vertical="top" wrapText="1"/>
    </xf>
    <xf numFmtId="0" fontId="77" fillId="2" borderId="26" xfId="0" applyFont="1" applyFill="1" applyBorder="1" applyAlignment="1">
      <alignment vertical="top" wrapText="1"/>
    </xf>
    <xf numFmtId="0" fontId="77" fillId="0" borderId="26" xfId="0" applyFont="1" applyBorder="1" applyAlignment="1">
      <alignment vertical="top" wrapText="1"/>
    </xf>
    <xf numFmtId="0" fontId="77" fillId="2" borderId="26" xfId="0" applyFont="1" applyFill="1" applyBorder="1" applyAlignment="1">
      <alignment horizontal="center" vertical="top" wrapText="1"/>
    </xf>
    <xf numFmtId="0" fontId="77" fillId="0" borderId="26" xfId="0" applyFont="1" applyBorder="1" applyAlignment="1">
      <alignment horizontal="center" vertical="top" wrapText="1"/>
    </xf>
    <xf numFmtId="0" fontId="77" fillId="0" borderId="26" xfId="0" applyFont="1" applyBorder="1" applyAlignment="1">
      <alignment horizontal="left" vertical="top" wrapText="1"/>
    </xf>
    <xf numFmtId="0" fontId="0" fillId="0" borderId="26" xfId="0" applyFont="1" applyBorder="1" applyAlignment="1">
      <alignment vertical="top" wrapText="1"/>
    </xf>
    <xf numFmtId="0" fontId="22" fillId="5" borderId="1" xfId="0" applyFont="1" applyFill="1" applyBorder="1" applyAlignment="1">
      <alignment horizontal="center" vertical="center"/>
    </xf>
    <xf numFmtId="9" fontId="87" fillId="2" borderId="65" xfId="20" applyNumberFormat="1" applyFont="1" applyFill="1" applyBorder="1" applyAlignment="1">
      <alignment horizontal="center" vertical="top" wrapText="1"/>
    </xf>
    <xf numFmtId="0" fontId="72" fillId="2" borderId="59" xfId="20" applyFont="1" applyFill="1" applyBorder="1" applyAlignment="1">
      <alignment horizontal="left" vertical="center" wrapText="1"/>
    </xf>
    <xf numFmtId="0" fontId="87" fillId="2" borderId="59" xfId="20" applyFont="1" applyFill="1" applyBorder="1" applyAlignment="1">
      <alignment horizontal="center" vertical="top" wrapText="1"/>
    </xf>
    <xf numFmtId="0" fontId="78" fillId="2" borderId="58" xfId="20" applyFont="1" applyFill="1" applyBorder="1" applyAlignment="1">
      <alignment horizontal="center" vertical="center" wrapText="1"/>
    </xf>
    <xf numFmtId="9" fontId="78" fillId="2" borderId="59" xfId="20" applyNumberFormat="1" applyFont="1" applyFill="1" applyBorder="1" applyAlignment="1">
      <alignment horizontal="center" vertical="top" wrapText="1"/>
    </xf>
    <xf numFmtId="9" fontId="32" fillId="0" borderId="26" xfId="18" applyNumberFormat="1" applyFont="1" applyFill="1" applyBorder="1" applyAlignment="1">
      <alignment horizontal="center" vertical="center" wrapText="1"/>
    </xf>
    <xf numFmtId="10" fontId="32" fillId="0" borderId="26" xfId="0" applyNumberFormat="1" applyFont="1" applyFill="1" applyBorder="1" applyAlignment="1">
      <alignment horizontal="center" vertical="center" wrapText="1"/>
    </xf>
    <xf numFmtId="0" fontId="28" fillId="21" borderId="42" xfId="0" applyFont="1" applyFill="1" applyBorder="1" applyAlignment="1" applyProtection="1">
      <alignment horizontal="center" vertical="center" wrapText="1"/>
      <protection locked="0"/>
    </xf>
    <xf numFmtId="0" fontId="32" fillId="0" borderId="37" xfId="0" applyFont="1" applyFill="1" applyBorder="1" applyAlignment="1">
      <alignment horizontal="center" vertical="center" wrapText="1"/>
    </xf>
    <xf numFmtId="0" fontId="77" fillId="2" borderId="37" xfId="0" applyFont="1" applyFill="1" applyBorder="1" applyAlignment="1">
      <alignment horizontal="center" vertical="top" wrapText="1"/>
    </xf>
    <xf numFmtId="0" fontId="0" fillId="0" borderId="42" xfId="0" applyBorder="1"/>
    <xf numFmtId="0" fontId="0" fillId="0" borderId="37" xfId="0" applyBorder="1"/>
    <xf numFmtId="0" fontId="32" fillId="0" borderId="42" xfId="0" applyFont="1" applyFill="1" applyBorder="1" applyAlignment="1">
      <alignment horizontal="center" vertical="center" wrapText="1"/>
    </xf>
    <xf numFmtId="0" fontId="29" fillId="10" borderId="37" xfId="19" applyFont="1" applyFill="1" applyBorder="1" applyAlignment="1">
      <alignment vertical="top" wrapText="1"/>
    </xf>
    <xf numFmtId="0" fontId="0" fillId="0" borderId="36" xfId="0" applyBorder="1"/>
    <xf numFmtId="0" fontId="26" fillId="0" borderId="0" xfId="19" applyFont="1" applyBorder="1" applyAlignment="1">
      <alignment vertical="top"/>
    </xf>
    <xf numFmtId="0" fontId="26" fillId="0" borderId="0" xfId="0" applyFont="1" applyBorder="1" applyAlignment="1">
      <alignment vertical="top" wrapText="1"/>
    </xf>
    <xf numFmtId="0" fontId="26" fillId="0" borderId="0" xfId="0" applyFont="1" applyBorder="1" applyAlignment="1">
      <alignment vertical="center" wrapText="1"/>
    </xf>
    <xf numFmtId="0" fontId="0" fillId="0" borderId="0" xfId="0" applyBorder="1"/>
    <xf numFmtId="0" fontId="0" fillId="0" borderId="26" xfId="0" applyFont="1" applyBorder="1" applyAlignment="1">
      <alignment horizontal="center" wrapText="1"/>
    </xf>
    <xf numFmtId="0" fontId="0" fillId="0" borderId="26" xfId="0" applyFont="1" applyBorder="1" applyAlignment="1">
      <alignment horizontal="left" wrapText="1"/>
    </xf>
    <xf numFmtId="1" fontId="4" fillId="0" borderId="26" xfId="18" applyNumberFormat="1" applyFont="1" applyFill="1" applyBorder="1" applyAlignment="1">
      <alignment horizontal="center" vertical="center" wrapText="1"/>
    </xf>
    <xf numFmtId="43" fontId="0" fillId="0" borderId="26" xfId="18" applyFont="1" applyBorder="1" applyAlignment="1"/>
    <xf numFmtId="43" fontId="4" fillId="0" borderId="26" xfId="18" applyFont="1" applyBorder="1"/>
    <xf numFmtId="0" fontId="0" fillId="2" borderId="26" xfId="0" applyFont="1" applyFill="1" applyBorder="1"/>
    <xf numFmtId="0" fontId="0" fillId="2" borderId="26" xfId="0" applyFont="1" applyFill="1" applyBorder="1" applyAlignment="1">
      <alignment wrapText="1"/>
    </xf>
    <xf numFmtId="9" fontId="37" fillId="0" borderId="26" xfId="0" applyNumberFormat="1" applyFont="1" applyBorder="1" applyAlignment="1">
      <alignment horizontal="center" vertical="center"/>
    </xf>
    <xf numFmtId="0" fontId="80" fillId="0" borderId="26" xfId="19" applyFont="1" applyFill="1" applyBorder="1" applyAlignment="1">
      <alignment horizontal="center" vertical="center" wrapText="1"/>
    </xf>
    <xf numFmtId="0" fontId="80" fillId="0" borderId="26" xfId="21" applyNumberFormat="1" applyFont="1" applyFill="1" applyBorder="1" applyAlignment="1">
      <alignment horizontal="center" vertical="center" wrapText="1"/>
    </xf>
    <xf numFmtId="3" fontId="0" fillId="0" borderId="0" xfId="0" applyNumberFormat="1"/>
    <xf numFmtId="0" fontId="32" fillId="0" borderId="0" xfId="0" applyFont="1" applyBorder="1" applyAlignment="1">
      <alignment horizontal="center" vertical="center" wrapText="1"/>
    </xf>
    <xf numFmtId="0" fontId="4" fillId="0" borderId="26" xfId="0" applyFont="1" applyBorder="1" applyAlignment="1">
      <alignment horizontal="left" vertical="center" wrapText="1"/>
    </xf>
    <xf numFmtId="1" fontId="4" fillId="0" borderId="26" xfId="0" applyNumberFormat="1" applyFont="1" applyBorder="1" applyAlignment="1">
      <alignment horizontal="center"/>
    </xf>
    <xf numFmtId="43" fontId="4" fillId="0" borderId="26" xfId="18"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7"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69" fillId="18" borderId="30" xfId="0" applyFont="1" applyFill="1" applyBorder="1" applyAlignment="1">
      <alignment horizontal="center" vertical="center" wrapText="1"/>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69"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75" fillId="0" borderId="62" xfId="19" applyFont="1" applyFill="1" applyBorder="1" applyAlignment="1">
      <alignment horizontal="center" vertical="center" wrapText="1"/>
    </xf>
    <xf numFmtId="0" fontId="75"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66"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59"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29" fillId="0" borderId="62" xfId="16" applyFont="1" applyBorder="1" applyAlignment="1">
      <alignment horizontal="center" vertical="center" wrapText="1"/>
    </xf>
    <xf numFmtId="0" fontId="60" fillId="0" borderId="0" xfId="16" applyFont="1" applyFill="1" applyBorder="1" applyAlignment="1">
      <alignment horizontal="center" vertical="top" wrapText="1"/>
    </xf>
    <xf numFmtId="0" fontId="29" fillId="2" borderId="62" xfId="19"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29" fillId="2" borderId="27" xfId="19" applyFont="1" applyFill="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0" fontId="82" fillId="2" borderId="62" xfId="0" applyFont="1" applyFill="1" applyBorder="1" applyAlignment="1">
      <alignment horizontal="center" vertical="center" wrapText="1"/>
    </xf>
    <xf numFmtId="0" fontId="82" fillId="2" borderId="27" xfId="0" applyFont="1" applyFill="1" applyBorder="1" applyAlignment="1">
      <alignment horizontal="center" vertical="center" wrapText="1"/>
    </xf>
    <xf numFmtId="0" fontId="29" fillId="0" borderId="62" xfId="19" applyFont="1" applyBorder="1" applyAlignment="1">
      <alignment horizontal="center" vertical="center" wrapText="1"/>
    </xf>
    <xf numFmtId="0" fontId="27" fillId="0" borderId="62" xfId="19" applyFont="1" applyBorder="1" applyAlignment="1">
      <alignment horizontal="center" vertical="center" wrapText="1"/>
    </xf>
    <xf numFmtId="0" fontId="35" fillId="2" borderId="28" xfId="19" applyFont="1" applyFill="1" applyBorder="1" applyAlignment="1">
      <alignment horizontal="center" vertical="center" wrapText="1"/>
    </xf>
    <xf numFmtId="0" fontId="35" fillId="2" borderId="62" xfId="19" applyFont="1" applyFill="1" applyBorder="1" applyAlignment="1">
      <alignment horizontal="center" vertical="center" wrapText="1"/>
    </xf>
    <xf numFmtId="0" fontId="35" fillId="2" borderId="27" xfId="19" applyFont="1" applyFill="1" applyBorder="1" applyAlignment="1">
      <alignment horizontal="center" vertical="center" wrapText="1"/>
    </xf>
    <xf numFmtId="0" fontId="35" fillId="0" borderId="62" xfId="19" applyFont="1" applyBorder="1" applyAlignment="1">
      <alignment horizontal="center" vertical="center" wrapText="1"/>
    </xf>
    <xf numFmtId="0" fontId="35" fillId="0" borderId="27" xfId="19" applyFont="1" applyBorder="1" applyAlignment="1">
      <alignment horizontal="center" vertical="center" wrapText="1"/>
    </xf>
    <xf numFmtId="0" fontId="73" fillId="0" borderId="62" xfId="19" applyFont="1" applyFill="1" applyBorder="1" applyAlignment="1">
      <alignment horizontal="center" vertical="center" wrapText="1"/>
    </xf>
    <xf numFmtId="0" fontId="73" fillId="0" borderId="27" xfId="19" applyFont="1" applyFill="1" applyBorder="1" applyAlignment="1">
      <alignment horizontal="center" vertical="center" wrapText="1"/>
    </xf>
    <xf numFmtId="0" fontId="29" fillId="0" borderId="62" xfId="19" applyFont="1" applyBorder="1" applyAlignment="1">
      <alignment vertical="center" wrapText="1"/>
    </xf>
    <xf numFmtId="0" fontId="29" fillId="0" borderId="28" xfId="19" applyFont="1" applyBorder="1" applyAlignment="1">
      <alignment vertical="center" wrapText="1"/>
    </xf>
    <xf numFmtId="0" fontId="29" fillId="0" borderId="27" xfId="19" applyFont="1" applyBorder="1" applyAlignment="1">
      <alignment vertical="center" wrapText="1"/>
    </xf>
    <xf numFmtId="0" fontId="75" fillId="0" borderId="28" xfId="19" applyFont="1" applyFill="1" applyBorder="1" applyAlignment="1">
      <alignment horizontal="center" vertical="center" wrapText="1"/>
    </xf>
    <xf numFmtId="0" fontId="65" fillId="0" borderId="62" xfId="19" applyFont="1" applyFill="1" applyBorder="1" applyAlignment="1">
      <alignment vertical="center" wrapText="1"/>
    </xf>
    <xf numFmtId="0" fontId="38" fillId="3" borderId="26" xfId="19" applyFont="1" applyFill="1" applyBorder="1" applyAlignment="1">
      <alignment horizontal="center" vertical="center" wrapText="1"/>
    </xf>
    <xf numFmtId="0" fontId="33" fillId="3" borderId="26" xfId="19" applyFont="1" applyFill="1" applyBorder="1" applyAlignment="1">
      <alignment horizontal="center" vertical="center" wrapText="1"/>
    </xf>
    <xf numFmtId="0" fontId="79" fillId="3" borderId="26" xfId="0" applyFont="1" applyFill="1" applyBorder="1" applyAlignment="1">
      <alignment horizontal="justify" vertical="top" wrapText="1"/>
    </xf>
    <xf numFmtId="0" fontId="73" fillId="3" borderId="27" xfId="19" applyFont="1" applyFill="1" applyBorder="1" applyAlignment="1">
      <alignment horizontal="center" vertical="center" wrapText="1"/>
    </xf>
    <xf numFmtId="0" fontId="79" fillId="0" borderId="62"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7" xfId="0" applyFont="1" applyBorder="1" applyAlignment="1">
      <alignment horizontal="center" vertical="center" wrapText="1"/>
    </xf>
    <xf numFmtId="43" fontId="39" fillId="3" borderId="26" xfId="18" applyFont="1" applyFill="1" applyBorder="1" applyAlignment="1">
      <alignment horizontal="center" vertical="center" wrapText="1"/>
    </xf>
    <xf numFmtId="41" fontId="39" fillId="3" borderId="26" xfId="19" applyNumberFormat="1" applyFont="1" applyFill="1" applyBorder="1" applyAlignment="1">
      <alignment horizontal="center" vertical="center" wrapText="1"/>
    </xf>
    <xf numFmtId="0" fontId="39" fillId="3" borderId="26" xfId="19" applyFont="1" applyFill="1" applyBorder="1" applyAlignment="1">
      <alignment horizontal="center" vertical="center" wrapText="1"/>
    </xf>
    <xf numFmtId="9" fontId="39" fillId="3" borderId="26" xfId="19" applyNumberFormat="1" applyFont="1" applyFill="1" applyBorder="1" applyAlignment="1">
      <alignment horizontal="center" vertical="center" wrapText="1"/>
    </xf>
    <xf numFmtId="43" fontId="39" fillId="3" borderId="26" xfId="18" applyNumberFormat="1" applyFont="1" applyFill="1" applyBorder="1" applyAlignment="1">
      <alignment horizontal="center" vertical="center" wrapText="1"/>
    </xf>
    <xf numFmtId="43" fontId="39" fillId="3" borderId="26" xfId="19" applyNumberFormat="1" applyFont="1" applyFill="1" applyBorder="1" applyAlignment="1">
      <alignment horizontal="center" vertical="center" wrapText="1"/>
    </xf>
    <xf numFmtId="0" fontId="35" fillId="3" borderId="26" xfId="19"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29" fillId="0" borderId="62" xfId="19" applyFont="1" applyBorder="1" applyAlignment="1">
      <alignment horizontal="center" wrapText="1"/>
    </xf>
    <xf numFmtId="0" fontId="29" fillId="0" borderId="28" xfId="19" applyFont="1" applyBorder="1" applyAlignment="1">
      <alignment horizontal="center" wrapText="1"/>
    </xf>
    <xf numFmtId="0" fontId="29" fillId="0" borderId="27" xfId="19" applyFont="1" applyBorder="1" applyAlignment="1">
      <alignment horizontal="center" wrapText="1"/>
    </xf>
    <xf numFmtId="0" fontId="79" fillId="2" borderId="62" xfId="0" applyFont="1" applyFill="1" applyBorder="1" applyAlignment="1">
      <alignment horizontal="center" vertical="center" wrapText="1"/>
    </xf>
    <xf numFmtId="0" fontId="79" fillId="2" borderId="27" xfId="0" applyFont="1" applyFill="1" applyBorder="1" applyAlignment="1">
      <alignment horizontal="center" vertical="center" wrapText="1"/>
    </xf>
    <xf numFmtId="0" fontId="73" fillId="2" borderId="62" xfId="0" applyFont="1" applyFill="1" applyBorder="1" applyAlignment="1">
      <alignment horizontal="center" vertical="top" wrapText="1"/>
    </xf>
    <xf numFmtId="0" fontId="73" fillId="2" borderId="27" xfId="0" applyFont="1" applyFill="1" applyBorder="1" applyAlignment="1">
      <alignment horizontal="center" vertical="top" wrapText="1"/>
    </xf>
    <xf numFmtId="0" fontId="41" fillId="0" borderId="62"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62" xfId="0" applyFont="1" applyBorder="1" applyAlignment="1">
      <alignment vertical="center" wrapText="1"/>
    </xf>
    <xf numFmtId="0" fontId="41" fillId="0" borderId="28" xfId="0" applyFont="1" applyBorder="1" applyAlignment="1">
      <alignment vertical="center" wrapText="1"/>
    </xf>
    <xf numFmtId="0" fontId="32" fillId="3" borderId="26" xfId="0" applyFont="1" applyFill="1" applyBorder="1" applyAlignment="1">
      <alignment horizontal="center" vertical="center" wrapText="1"/>
    </xf>
    <xf numFmtId="0" fontId="32" fillId="3" borderId="26" xfId="0" applyFont="1" applyFill="1" applyBorder="1" applyAlignment="1">
      <alignment vertical="center" wrapText="1"/>
    </xf>
    <xf numFmtId="0" fontId="29" fillId="0" borderId="62" xfId="19" applyFont="1" applyFill="1" applyBorder="1" applyAlignment="1">
      <alignment vertical="center" wrapText="1"/>
    </xf>
    <xf numFmtId="0" fontId="32" fillId="3" borderId="62" xfId="0" applyFont="1" applyFill="1" applyBorder="1" applyAlignment="1">
      <alignment horizontal="center" vertical="center" wrapText="1"/>
    </xf>
    <xf numFmtId="0" fontId="32" fillId="3" borderId="27" xfId="0" applyFont="1" applyFill="1" applyBorder="1" applyAlignment="1">
      <alignment horizontal="center" vertical="center" wrapText="1"/>
    </xf>
    <xf numFmtId="9" fontId="27" fillId="8" borderId="0" xfId="17" applyFont="1" applyFill="1" applyBorder="1" applyAlignment="1">
      <alignment horizontal="center" vertical="top"/>
    </xf>
    <xf numFmtId="9" fontId="70" fillId="19" borderId="26" xfId="17" applyFont="1" applyFill="1" applyBorder="1" applyAlignment="1" applyProtection="1">
      <alignment horizontal="center" vertical="center" wrapText="1"/>
      <protection locked="0"/>
    </xf>
    <xf numFmtId="9" fontId="28" fillId="21" borderId="26" xfId="17" applyFont="1" applyFill="1" applyBorder="1" applyAlignment="1" applyProtection="1">
      <alignment horizontal="center" vertical="center" wrapText="1"/>
      <protection locked="0"/>
    </xf>
    <xf numFmtId="9" fontId="33" fillId="0" borderId="26" xfId="17" applyFont="1" applyFill="1" applyBorder="1" applyAlignment="1">
      <alignment horizontal="center" vertical="center" wrapText="1"/>
    </xf>
    <xf numFmtId="9" fontId="33" fillId="10" borderId="26" xfId="17" applyFont="1" applyFill="1" applyBorder="1" applyAlignment="1">
      <alignment vertical="top" wrapText="1"/>
    </xf>
    <xf numFmtId="9" fontId="0" fillId="0" borderId="0" xfId="17" applyFont="1"/>
    <xf numFmtId="0" fontId="29" fillId="0" borderId="44" xfId="19" applyFont="1" applyBorder="1" applyAlignment="1">
      <alignment vertical="center" wrapText="1"/>
    </xf>
    <xf numFmtId="0" fontId="29" fillId="0" borderId="43" xfId="19" applyFont="1" applyBorder="1" applyAlignment="1">
      <alignment vertical="center" wrapText="1"/>
    </xf>
    <xf numFmtId="0" fontId="37" fillId="3" borderId="26" xfId="0" applyFont="1" applyFill="1" applyBorder="1" applyAlignment="1">
      <alignment horizontal="center" vertical="center" wrapText="1"/>
    </xf>
    <xf numFmtId="9" fontId="25" fillId="0" borderId="0" xfId="17" applyFont="1" applyFill="1" applyBorder="1" applyAlignment="1">
      <alignment vertical="top"/>
    </xf>
    <xf numFmtId="9" fontId="27" fillId="0" borderId="13" xfId="17" applyFont="1" applyFill="1" applyBorder="1" applyAlignment="1" applyProtection="1">
      <alignment vertical="top"/>
      <protection locked="0"/>
    </xf>
    <xf numFmtId="9" fontId="33" fillId="10" borderId="26" xfId="17" applyFont="1" applyFill="1" applyBorder="1" applyAlignment="1">
      <alignment horizontal="right" wrapText="1"/>
    </xf>
  </cellXfs>
  <cellStyles count="22">
    <cellStyle name="20% - Énfasis3" xfId="21" builtinId="38"/>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4" xfId="20"/>
    <cellStyle name="Porcentual" xfId="17" builtinId="5"/>
    <cellStyle name="Währung [0]_Hoja1" xfId="6"/>
    <cellStyle name="Währung_Hoja1" xfId="7"/>
  </cellStyles>
  <dxfs count="49">
    <dxf>
      <font>
        <color theme="0"/>
      </font>
      <fill>
        <patternFill>
          <bgColor rgb="FFFF0000"/>
        </patternFill>
      </fill>
    </dxf>
    <dxf>
      <font>
        <strike/>
        <color theme="1"/>
      </font>
      <fill>
        <patternFill>
          <bgColor rgb="FFFFFF00"/>
        </patternFill>
      </fill>
    </dxf>
    <dxf>
      <font>
        <strike/>
        <color theme="1"/>
      </font>
      <fill>
        <patternFill>
          <bgColor rgb="FFFFFF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2</c:v>
                </c:pt>
                <c:pt idx="6">
                  <c:v>0</c:v>
                </c:pt>
                <c:pt idx="7">
                  <c:v>0</c:v>
                </c:pt>
                <c:pt idx="8">
                  <c:v>0</c:v>
                </c:pt>
                <c:pt idx="9">
                  <c:v>0</c:v>
                </c:pt>
                <c:pt idx="10">
                  <c:v>0</c:v>
                </c:pt>
                <c:pt idx="11">
                  <c:v>0</c:v>
                </c:pt>
                <c:pt idx="12">
                  <c:v>4</c:v>
                </c:pt>
                <c:pt idx="13">
                  <c:v>48</c:v>
                </c:pt>
                <c:pt idx="14">
                  <c:v>0</c:v>
                </c:pt>
                <c:pt idx="15">
                  <c:v>0</c:v>
                </c:pt>
                <c:pt idx="16">
                  <c:v>0</c:v>
                </c:pt>
              </c:numCache>
            </c:numRef>
          </c:val>
        </c:ser>
        <c:shape val="box"/>
        <c:axId val="57738752"/>
        <c:axId val="57740672"/>
        <c:axId val="0"/>
      </c:bar3DChart>
      <c:catAx>
        <c:axId val="57738752"/>
        <c:scaling>
          <c:orientation val="minMax"/>
        </c:scaling>
        <c:axPos val="b"/>
        <c:majorTickMark val="none"/>
        <c:tickLblPos val="nextTo"/>
        <c:txPr>
          <a:bodyPr/>
          <a:lstStyle/>
          <a:p>
            <a:pPr>
              <a:defRPr lang="es-HN"/>
            </a:pPr>
            <a:endParaRPr lang="es-ES"/>
          </a:p>
        </c:txPr>
        <c:crossAx val="57740672"/>
        <c:crosses val="autoZero"/>
        <c:auto val="1"/>
        <c:lblAlgn val="ctr"/>
        <c:lblOffset val="100"/>
      </c:catAx>
      <c:valAx>
        <c:axId val="577406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5773875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21</c:v>
                </c:pt>
                <c:pt idx="1">
                  <c:v>40</c:v>
                </c:pt>
                <c:pt idx="2">
                  <c:v>20</c:v>
                </c:pt>
                <c:pt idx="3">
                  <c:v>0</c:v>
                </c:pt>
                <c:pt idx="4">
                  <c:v>24</c:v>
                </c:pt>
                <c:pt idx="5">
                  <c:v>3</c:v>
                </c:pt>
                <c:pt idx="6">
                  <c:v>15</c:v>
                </c:pt>
                <c:pt idx="7">
                  <c:v>0</c:v>
                </c:pt>
                <c:pt idx="8">
                  <c:v>0</c:v>
                </c:pt>
                <c:pt idx="9">
                  <c:v>1</c:v>
                </c:pt>
              </c:numCache>
            </c:numRef>
          </c:val>
        </c:ser>
        <c:shape val="box"/>
        <c:axId val="96394240"/>
        <c:axId val="105672704"/>
        <c:axId val="0"/>
      </c:bar3DChart>
      <c:catAx>
        <c:axId val="96394240"/>
        <c:scaling>
          <c:orientation val="minMax"/>
        </c:scaling>
        <c:axPos val="b"/>
        <c:majorTickMark val="none"/>
        <c:tickLblPos val="nextTo"/>
        <c:txPr>
          <a:bodyPr/>
          <a:lstStyle/>
          <a:p>
            <a:pPr>
              <a:defRPr lang="es-HN"/>
            </a:pPr>
            <a:endParaRPr lang="es-ES"/>
          </a:p>
        </c:txPr>
        <c:crossAx val="105672704"/>
        <c:crosses val="autoZero"/>
        <c:auto val="1"/>
        <c:lblAlgn val="ctr"/>
        <c:lblOffset val="100"/>
      </c:catAx>
      <c:valAx>
        <c:axId val="10567270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96394240"/>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6</c:v>
                </c:pt>
                <c:pt idx="4">
                  <c:v>0</c:v>
                </c:pt>
                <c:pt idx="5">
                  <c:v>0</c:v>
                </c:pt>
                <c:pt idx="6">
                  <c:v>12</c:v>
                </c:pt>
                <c:pt idx="7">
                  <c:v>0</c:v>
                </c:pt>
                <c:pt idx="8">
                  <c:v>11</c:v>
                </c:pt>
                <c:pt idx="9">
                  <c:v>2</c:v>
                </c:pt>
                <c:pt idx="10">
                  <c:v>0</c:v>
                </c:pt>
                <c:pt idx="11">
                  <c:v>0</c:v>
                </c:pt>
                <c:pt idx="12">
                  <c:v>0</c:v>
                </c:pt>
                <c:pt idx="13">
                  <c:v>10</c:v>
                </c:pt>
                <c:pt idx="14">
                  <c:v>0</c:v>
                </c:pt>
                <c:pt idx="15">
                  <c:v>0</c:v>
                </c:pt>
                <c:pt idx="16">
                  <c:v>0</c:v>
                </c:pt>
              </c:numCache>
            </c:numRef>
          </c:val>
        </c:ser>
        <c:shape val="box"/>
        <c:axId val="375265152"/>
        <c:axId val="395179136"/>
        <c:axId val="0"/>
      </c:bar3DChart>
      <c:catAx>
        <c:axId val="375265152"/>
        <c:scaling>
          <c:orientation val="minMax"/>
        </c:scaling>
        <c:axPos val="b"/>
        <c:majorTickMark val="none"/>
        <c:tickLblPos val="nextTo"/>
        <c:txPr>
          <a:bodyPr/>
          <a:lstStyle/>
          <a:p>
            <a:pPr>
              <a:defRPr lang="es-HN"/>
            </a:pPr>
            <a:endParaRPr lang="es-ES"/>
          </a:p>
        </c:txPr>
        <c:crossAx val="395179136"/>
        <c:crosses val="autoZero"/>
        <c:auto val="1"/>
        <c:lblAlgn val="ctr"/>
        <c:lblOffset val="100"/>
      </c:catAx>
      <c:valAx>
        <c:axId val="39517913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37526515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2324280</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8" dataDxfId="47">
  <autoFilter ref="B3:C13"/>
  <tableColumns count="2">
    <tableColumn id="1" name="Descripción" dataDxfId="46"/>
    <tableColumn id="2" name="Monto" dataDxfId="45"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4" dataDxfId="43">
  <autoFilter ref="B39:D57"/>
  <tableColumns count="3">
    <tableColumn id="1" name="Descripción" dataDxfId="42"/>
    <tableColumn id="2" name="Cantidad" dataDxfId="41" dataCellStyle="Millares"/>
    <tableColumn id="3" name="Montos" dataDxfId="40">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9" dataDxfId="38">
  <autoFilter ref="B68:D80"/>
  <tableColumns count="3">
    <tableColumn id="1" name="Descripción" dataDxfId="37"/>
    <tableColumn id="2" name="Cantidad" dataDxfId="36" dataCellStyle="Millares"/>
    <tableColumn id="3" name="Montos" dataDxfId="3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4">
  <autoFilter ref="B85:D103"/>
  <tableColumns count="3">
    <tableColumn id="1" name="Descripción " dataDxfId="33"/>
    <tableColumn id="2" name="Cantidad" dataDxfId="32" dataCellStyle="Millares"/>
    <tableColumn id="3" name="Montos" dataDxfId="3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0" tableBorderDxfId="29">
  <autoFilter ref="H3:I14"/>
  <tableColumns count="2">
    <tableColumn id="1" name="Dimensión" dataDxfId="28"/>
    <tableColumn id="2" name="Monto" dataDxfId="27"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6" tableBorderDxfId="25">
  <autoFilter ref="H17:I25"/>
  <tableColumns count="2">
    <tableColumn id="1" name="Dimensión" dataDxfId="24"/>
    <tableColumn id="2" name="Monto" dataDxfId="2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2" headerRowBorderDxfId="21" tableBorderDxfId="20">
  <autoFilter ref="E7:F11"/>
  <tableColumns count="2">
    <tableColumn id="1" name="Presupuesto" dataDxfId="19"/>
    <tableColumn id="2" name=" Monto " dataDxfId="18">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712"/>
      <c r="U2" s="712"/>
      <c r="V2" s="712"/>
      <c r="W2" s="712"/>
      <c r="X2" s="712"/>
      <c r="Y2" s="712"/>
      <c r="Z2" s="712"/>
      <c r="AA2" s="712"/>
      <c r="AB2" s="712"/>
      <c r="AC2" s="712" t="s">
        <v>25</v>
      </c>
      <c r="AD2" s="712"/>
      <c r="AE2" s="712"/>
      <c r="AF2" s="712"/>
      <c r="AG2" s="712"/>
      <c r="AH2" s="712"/>
      <c r="AI2" s="712"/>
      <c r="AJ2" s="712"/>
    </row>
    <row r="3" spans="2:36" ht="16.5" customHeight="1">
      <c r="B3" s="33" t="s">
        <v>7</v>
      </c>
      <c r="C3" s="33"/>
      <c r="D3" s="33"/>
      <c r="E3" s="33"/>
      <c r="F3" s="33"/>
      <c r="G3" s="33"/>
      <c r="H3" s="33"/>
      <c r="I3" s="33"/>
      <c r="J3" s="33"/>
      <c r="K3" s="33"/>
      <c r="L3" s="33"/>
      <c r="M3" s="33"/>
      <c r="N3" s="33"/>
      <c r="O3" s="33"/>
      <c r="P3" s="33"/>
      <c r="Q3" s="33"/>
      <c r="R3" s="33"/>
      <c r="S3" s="33"/>
      <c r="T3" s="712"/>
      <c r="U3" s="712"/>
      <c r="V3" s="712"/>
      <c r="W3" s="712"/>
      <c r="X3" s="712"/>
      <c r="Y3" s="712"/>
      <c r="Z3" s="712"/>
      <c r="AA3" s="712"/>
      <c r="AB3" s="712"/>
      <c r="AC3" s="712" t="s">
        <v>7</v>
      </c>
      <c r="AD3" s="712"/>
      <c r="AE3" s="712"/>
      <c r="AF3" s="712"/>
      <c r="AG3" s="712"/>
      <c r="AH3" s="712"/>
      <c r="AI3" s="712"/>
      <c r="AJ3" s="712"/>
    </row>
    <row r="4" spans="2:36" ht="12.75" customHeight="1">
      <c r="B4" s="33" t="s">
        <v>36</v>
      </c>
      <c r="C4" s="33"/>
      <c r="D4" s="33"/>
      <c r="E4" s="33"/>
      <c r="F4" s="33"/>
      <c r="G4" s="33"/>
      <c r="H4" s="33"/>
      <c r="I4" s="33"/>
      <c r="J4" s="33"/>
      <c r="K4" s="33"/>
      <c r="L4" s="33"/>
      <c r="M4" s="33"/>
      <c r="N4" s="33"/>
      <c r="O4" s="33"/>
      <c r="P4" s="33"/>
      <c r="Q4" s="33"/>
      <c r="R4" s="33"/>
      <c r="S4" s="33"/>
      <c r="T4" s="712"/>
      <c r="U4" s="712"/>
      <c r="V4" s="712"/>
      <c r="W4" s="712"/>
      <c r="X4" s="712"/>
      <c r="Y4" s="712"/>
      <c r="Z4" s="712"/>
      <c r="AA4" s="712"/>
      <c r="AB4" s="712"/>
      <c r="AC4" s="712" t="s">
        <v>36</v>
      </c>
      <c r="AD4" s="712"/>
      <c r="AE4" s="712"/>
      <c r="AF4" s="712"/>
      <c r="AG4" s="712"/>
      <c r="AH4" s="712"/>
      <c r="AI4" s="712"/>
      <c r="AJ4" s="712"/>
    </row>
    <row r="5" spans="2:36" ht="15.75">
      <c r="B5" s="2"/>
      <c r="C5" s="2"/>
      <c r="D5" s="2"/>
    </row>
    <row r="6" spans="2:36" ht="16.5" thickBot="1">
      <c r="B6" s="2"/>
      <c r="C6" s="2"/>
      <c r="D6" s="2"/>
    </row>
    <row r="7" spans="2:36" ht="75.75" customHeight="1">
      <c r="B7" s="709" t="s">
        <v>20</v>
      </c>
      <c r="C7" s="709" t="s">
        <v>38</v>
      </c>
      <c r="D7" s="709" t="s">
        <v>39</v>
      </c>
      <c r="E7" s="718" t="s">
        <v>40</v>
      </c>
      <c r="F7" s="709" t="s">
        <v>37</v>
      </c>
      <c r="G7" s="718" t="s">
        <v>9</v>
      </c>
      <c r="H7" s="707" t="s">
        <v>0</v>
      </c>
      <c r="I7" s="707" t="s">
        <v>8</v>
      </c>
      <c r="J7" s="707" t="s">
        <v>16</v>
      </c>
      <c r="K7" s="707"/>
      <c r="L7" s="707" t="s">
        <v>13</v>
      </c>
      <c r="M7" s="707"/>
      <c r="N7" s="707"/>
      <c r="O7" s="707"/>
      <c r="P7" s="707"/>
      <c r="Q7" s="707"/>
      <c r="R7" s="707"/>
      <c r="S7" s="707"/>
      <c r="T7" s="709" t="s">
        <v>14</v>
      </c>
      <c r="U7" s="707" t="s">
        <v>18</v>
      </c>
      <c r="V7" s="707" t="s">
        <v>26</v>
      </c>
      <c r="W7" s="707"/>
      <c r="X7" s="707" t="s">
        <v>15</v>
      </c>
      <c r="Y7" s="707" t="s">
        <v>17</v>
      </c>
      <c r="Z7" s="707"/>
      <c r="AA7" s="707" t="s">
        <v>22</v>
      </c>
      <c r="AB7" s="707" t="s">
        <v>32</v>
      </c>
      <c r="AC7" s="713" t="s">
        <v>31</v>
      </c>
      <c r="AD7" s="713"/>
      <c r="AE7" s="713"/>
      <c r="AF7" s="713"/>
      <c r="AG7" s="707" t="s">
        <v>28</v>
      </c>
      <c r="AH7" s="707" t="s">
        <v>29</v>
      </c>
      <c r="AI7" s="707" t="s">
        <v>1</v>
      </c>
      <c r="AJ7" s="707" t="s">
        <v>2</v>
      </c>
    </row>
    <row r="8" spans="2:36" ht="15.75" customHeight="1">
      <c r="B8" s="710"/>
      <c r="C8" s="710"/>
      <c r="D8" s="710"/>
      <c r="E8" s="719"/>
      <c r="F8" s="710"/>
      <c r="G8" s="719"/>
      <c r="H8" s="708"/>
      <c r="I8" s="708"/>
      <c r="J8" s="708" t="s">
        <v>33</v>
      </c>
      <c r="K8" s="708" t="s">
        <v>19</v>
      </c>
      <c r="L8" s="711" t="s">
        <v>3</v>
      </c>
      <c r="M8" s="711"/>
      <c r="N8" s="711" t="s">
        <v>4</v>
      </c>
      <c r="O8" s="711"/>
      <c r="P8" s="711" t="s">
        <v>5</v>
      </c>
      <c r="Q8" s="711"/>
      <c r="R8" s="711" t="s">
        <v>6</v>
      </c>
      <c r="S8" s="711"/>
      <c r="T8" s="710"/>
      <c r="U8" s="708"/>
      <c r="V8" s="708" t="s">
        <v>23</v>
      </c>
      <c r="W8" s="708" t="s">
        <v>21</v>
      </c>
      <c r="X8" s="708"/>
      <c r="Y8" s="708" t="s">
        <v>23</v>
      </c>
      <c r="Z8" s="708" t="s">
        <v>21</v>
      </c>
      <c r="AA8" s="708"/>
      <c r="AB8" s="708"/>
      <c r="AC8" s="14" t="s">
        <v>3</v>
      </c>
      <c r="AD8" s="14" t="s">
        <v>4</v>
      </c>
      <c r="AE8" s="14" t="s">
        <v>5</v>
      </c>
      <c r="AF8" s="14" t="s">
        <v>6</v>
      </c>
      <c r="AG8" s="708"/>
      <c r="AH8" s="708"/>
      <c r="AI8" s="708"/>
      <c r="AJ8" s="708"/>
    </row>
    <row r="9" spans="2:36" ht="78.75">
      <c r="B9" s="710"/>
      <c r="C9" s="710"/>
      <c r="D9" s="710"/>
      <c r="E9" s="719"/>
      <c r="F9" s="710"/>
      <c r="G9" s="719"/>
      <c r="H9" s="708"/>
      <c r="I9" s="708"/>
      <c r="J9" s="708"/>
      <c r="K9" s="708"/>
      <c r="L9" s="32" t="s">
        <v>11</v>
      </c>
      <c r="M9" s="32" t="s">
        <v>12</v>
      </c>
      <c r="N9" s="32" t="s">
        <v>11</v>
      </c>
      <c r="O9" s="32" t="s">
        <v>12</v>
      </c>
      <c r="P9" s="32" t="s">
        <v>11</v>
      </c>
      <c r="Q9" s="32" t="s">
        <v>12</v>
      </c>
      <c r="R9" s="32" t="s">
        <v>11</v>
      </c>
      <c r="S9" s="32" t="s">
        <v>12</v>
      </c>
      <c r="T9" s="710"/>
      <c r="U9" s="708"/>
      <c r="V9" s="708"/>
      <c r="W9" s="708"/>
      <c r="X9" s="708"/>
      <c r="Y9" s="708"/>
      <c r="Z9" s="708"/>
      <c r="AA9" s="708"/>
      <c r="AB9" s="708"/>
      <c r="AC9" s="14" t="s">
        <v>24</v>
      </c>
      <c r="AD9" s="14" t="s">
        <v>24</v>
      </c>
      <c r="AE9" s="14" t="s">
        <v>24</v>
      </c>
      <c r="AF9" s="14" t="s">
        <v>24</v>
      </c>
      <c r="AG9" s="708"/>
      <c r="AH9" s="708"/>
      <c r="AI9" s="708"/>
      <c r="AJ9" s="708"/>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716" t="s">
        <v>10</v>
      </c>
      <c r="K31" s="717"/>
      <c r="L31" s="714"/>
      <c r="M31" s="715"/>
      <c r="N31" s="714"/>
      <c r="O31" s="715"/>
      <c r="P31" s="714"/>
      <c r="Q31" s="715"/>
      <c r="R31" s="714"/>
      <c r="S31" s="71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17"/>
  <sheetViews>
    <sheetView showGridLines="0" topLeftCell="A4" zoomScale="80" zoomScaleNormal="80" zoomScaleSheetLayoutView="80" workbookViewId="0">
      <selection activeCell="I33" sqref="I33"/>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1456</v>
      </c>
      <c r="Q2" s="122" t="s">
        <v>1494</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row r="5" spans="1:555" ht="27" thickBot="1">
      <c r="C5" s="87" t="s">
        <v>389</v>
      </c>
      <c r="D5" s="198">
        <f>SUMIF(C:C,$C$10,D:D)</f>
        <v>23075925.07</v>
      </c>
    </row>
    <row r="6" spans="1:555">
      <c r="C6" s="107"/>
      <c r="D6" s="107"/>
      <c r="E6" s="107"/>
      <c r="F6" s="107"/>
      <c r="G6" s="78"/>
      <c r="H6" s="107"/>
      <c r="I6" s="107"/>
    </row>
    <row r="7" spans="1:555">
      <c r="C7" s="107"/>
      <c r="D7" s="107"/>
      <c r="E7" s="107"/>
      <c r="F7" s="107"/>
      <c r="G7" s="78"/>
      <c r="H7" s="107"/>
      <c r="I7" s="107"/>
    </row>
    <row r="8" spans="1:555">
      <c r="B8" s="606"/>
      <c r="C8" s="107"/>
      <c r="D8" s="107"/>
      <c r="E8" s="107"/>
      <c r="F8" s="107"/>
      <c r="G8" s="78"/>
      <c r="H8" s="107"/>
      <c r="I8" s="107"/>
    </row>
    <row r="9" spans="1:555" ht="15.75" thickBot="1">
      <c r="C9" s="107"/>
      <c r="D9" s="107"/>
      <c r="E9" s="107"/>
      <c r="F9" s="107"/>
      <c r="G9" s="78"/>
      <c r="H9" s="107"/>
      <c r="I9" s="107"/>
    </row>
    <row r="10" spans="1:555" ht="15.75" thickBot="1">
      <c r="C10" s="157" t="s">
        <v>53</v>
      </c>
      <c r="D10" s="365">
        <f>SUM(F17:F27)</f>
        <v>1836387.0699999998</v>
      </c>
      <c r="F10" s="70"/>
      <c r="G10" s="79"/>
      <c r="H10" s="70"/>
      <c r="I10" s="70"/>
    </row>
    <row r="11" spans="1:555">
      <c r="C11" s="70"/>
      <c r="D11" s="31"/>
      <c r="E11" s="93"/>
      <c r="F11" s="93"/>
      <c r="G11" s="93"/>
      <c r="H11" s="76"/>
      <c r="I11" s="76"/>
      <c r="J11" s="76"/>
      <c r="K11" s="112"/>
    </row>
    <row r="12" spans="1:555" ht="15.75">
      <c r="B12" s="93"/>
      <c r="C12" s="299" t="s">
        <v>392</v>
      </c>
      <c r="D12" s="361" t="s">
        <v>1517</v>
      </c>
      <c r="E12" s="93"/>
      <c r="F12" s="93"/>
      <c r="G12" s="93"/>
      <c r="H12" s="76"/>
      <c r="I12" s="76"/>
      <c r="J12" s="76"/>
      <c r="K12" s="112"/>
    </row>
    <row r="13" spans="1:555" ht="18.75">
      <c r="B13" s="93"/>
      <c r="C13" s="210"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Gestionar el espacio físico para docentes de Ciencias Económicas y aula audiovisual</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t="s">
        <v>1518</v>
      </c>
      <c r="D17" s="158">
        <v>90</v>
      </c>
      <c r="E17" s="115">
        <v>190</v>
      </c>
      <c r="F17" s="97">
        <f t="shared" ref="F17:F27" si="0">D17*E17</f>
        <v>17100</v>
      </c>
      <c r="G17" s="161" t="s">
        <v>129</v>
      </c>
      <c r="H17" s="142" t="s">
        <v>919</v>
      </c>
      <c r="I17" s="130" t="str">
        <f>VLOOKUP(H17,Presupuesto!$B$11:$C$565,2,0)</f>
        <v>CEMENTO CAL Y YESO</v>
      </c>
      <c r="J17" s="218" t="s">
        <v>1364</v>
      </c>
      <c r="K17" s="98" t="s">
        <v>396</v>
      </c>
      <c r="L17" s="98"/>
    </row>
    <row r="18" spans="3:12">
      <c r="C18" s="141" t="s">
        <v>1519</v>
      </c>
      <c r="D18" s="158">
        <v>140</v>
      </c>
      <c r="E18" s="123">
        <v>165</v>
      </c>
      <c r="F18" s="97">
        <f t="shared" si="0"/>
        <v>23100</v>
      </c>
      <c r="G18" s="161" t="s">
        <v>129</v>
      </c>
      <c r="H18" s="142" t="s">
        <v>897</v>
      </c>
      <c r="I18" s="130" t="str">
        <f>VLOOKUP(H18,Presupuesto!$B$11:$C$565,2,0)</f>
        <v>PRODUCTOS FERROSOS</v>
      </c>
      <c r="J18" s="98" t="str">
        <f>$J$17</f>
        <v>Gestión Administrativa y  financiera en apoyo al Desarrollo Académico</v>
      </c>
      <c r="K18" s="98" t="s">
        <v>412</v>
      </c>
      <c r="L18" s="98"/>
    </row>
    <row r="19" spans="3:12">
      <c r="C19" s="141" t="s">
        <v>1520</v>
      </c>
      <c r="D19" s="158">
        <v>1</v>
      </c>
      <c r="E19" s="123">
        <v>521785.72</v>
      </c>
      <c r="F19" s="97">
        <f t="shared" si="0"/>
        <v>521785.72</v>
      </c>
      <c r="G19" s="161" t="s">
        <v>1486</v>
      </c>
      <c r="H19" s="142" t="s">
        <v>977</v>
      </c>
      <c r="I19" s="130" t="str">
        <f>VLOOKUP(H19,Presupuesto!$B$11:$C$565,2,0)</f>
        <v>EDIFICIOS Y LOCALES</v>
      </c>
      <c r="J19" s="98" t="str">
        <f t="shared" ref="J19:J27" si="1">$J$17</f>
        <v>Gestión Administrativa y  financiera en apoyo al Desarrollo Académico</v>
      </c>
      <c r="K19" s="98" t="s">
        <v>412</v>
      </c>
      <c r="L19" s="98"/>
    </row>
    <row r="20" spans="3:12">
      <c r="C20" s="141" t="s">
        <v>1521</v>
      </c>
      <c r="D20" s="158">
        <v>1</v>
      </c>
      <c r="E20" s="123">
        <f>136335.62-40200</f>
        <v>96135.62</v>
      </c>
      <c r="F20" s="97">
        <f t="shared" si="0"/>
        <v>96135.62</v>
      </c>
      <c r="G20" s="161" t="s">
        <v>1486</v>
      </c>
      <c r="H20" s="142" t="s">
        <v>977</v>
      </c>
      <c r="I20" s="130" t="str">
        <f>VLOOKUP(H20,Presupuesto!$B$11:$C$565,2,0)</f>
        <v>EDIFICIOS Y LOCALES</v>
      </c>
      <c r="J20" s="98" t="str">
        <f t="shared" si="1"/>
        <v>Gestión Administrativa y  financiera en apoyo al Desarrollo Académico</v>
      </c>
      <c r="K20" s="98" t="s">
        <v>412</v>
      </c>
      <c r="L20" s="98"/>
    </row>
    <row r="21" spans="3:12">
      <c r="C21" s="141" t="s">
        <v>1522</v>
      </c>
      <c r="D21" s="158">
        <v>1</v>
      </c>
      <c r="E21" s="123">
        <v>128428.56</v>
      </c>
      <c r="F21" s="97">
        <f t="shared" si="0"/>
        <v>128428.56</v>
      </c>
      <c r="G21" s="161" t="s">
        <v>1486</v>
      </c>
      <c r="H21" s="142" t="s">
        <v>977</v>
      </c>
      <c r="I21" s="130" t="str">
        <f>VLOOKUP(H21,Presupuesto!$B$11:$C$565,2,0)</f>
        <v>EDIFICIOS Y LOCALES</v>
      </c>
      <c r="J21" s="98" t="str">
        <f t="shared" si="1"/>
        <v>Gestión Administrativa y  financiera en apoyo al Desarrollo Académico</v>
      </c>
      <c r="K21" s="98" t="s">
        <v>412</v>
      </c>
      <c r="L21" s="98"/>
    </row>
    <row r="22" spans="3:12">
      <c r="C22" s="141" t="s">
        <v>1523</v>
      </c>
      <c r="D22" s="158">
        <v>1</v>
      </c>
      <c r="E22" s="123">
        <v>367890.97</v>
      </c>
      <c r="F22" s="97">
        <f t="shared" si="0"/>
        <v>367890.97</v>
      </c>
      <c r="G22" s="161" t="s">
        <v>1486</v>
      </c>
      <c r="H22" s="142" t="s">
        <v>977</v>
      </c>
      <c r="I22" s="130" t="str">
        <f>VLOOKUP(H22,Presupuesto!$B$11:$C$565,2,0)</f>
        <v>EDIFICIOS Y LOCALES</v>
      </c>
      <c r="J22" s="98" t="str">
        <f t="shared" si="1"/>
        <v>Gestión Administrativa y  financiera en apoyo al Desarrollo Académico</v>
      </c>
      <c r="K22" s="98" t="s">
        <v>401</v>
      </c>
      <c r="L22" s="98"/>
    </row>
    <row r="23" spans="3:12">
      <c r="C23" s="141" t="s">
        <v>1524</v>
      </c>
      <c r="D23" s="158">
        <v>1</v>
      </c>
      <c r="E23" s="123">
        <v>156444.06</v>
      </c>
      <c r="F23" s="97">
        <f t="shared" si="0"/>
        <v>156444.06</v>
      </c>
      <c r="G23" s="161" t="s">
        <v>1486</v>
      </c>
      <c r="H23" s="142" t="s">
        <v>977</v>
      </c>
      <c r="I23" s="130" t="str">
        <f>VLOOKUP(H23,Presupuesto!$B$11:$C$565,2,0)</f>
        <v>EDIFICIOS Y LOCALES</v>
      </c>
      <c r="J23" s="98" t="str">
        <f t="shared" si="1"/>
        <v>Gestión Administrativa y  financiera en apoyo al Desarrollo Académico</v>
      </c>
      <c r="K23" s="98" t="s">
        <v>412</v>
      </c>
      <c r="L23" s="98"/>
    </row>
    <row r="24" spans="3:12">
      <c r="C24" s="141" t="s">
        <v>1525</v>
      </c>
      <c r="D24" s="158">
        <v>1</v>
      </c>
      <c r="E24" s="123">
        <v>136409.17000000001</v>
      </c>
      <c r="F24" s="97">
        <f t="shared" si="0"/>
        <v>136409.17000000001</v>
      </c>
      <c r="G24" s="161" t="s">
        <v>1486</v>
      </c>
      <c r="H24" s="142" t="s">
        <v>977</v>
      </c>
      <c r="I24" s="130" t="str">
        <f>VLOOKUP(H24,Presupuesto!$B$11:$C$565,2,0)</f>
        <v>EDIFICIOS Y LOCALES</v>
      </c>
      <c r="J24" s="98" t="str">
        <f t="shared" si="1"/>
        <v>Gestión Administrativa y  financiera en apoyo al Desarrollo Académico</v>
      </c>
      <c r="K24" s="98" t="s">
        <v>412</v>
      </c>
      <c r="L24" s="98"/>
    </row>
    <row r="25" spans="3:12">
      <c r="C25" s="141" t="s">
        <v>1526</v>
      </c>
      <c r="D25" s="158">
        <v>1</v>
      </c>
      <c r="E25" s="123">
        <v>138827.46</v>
      </c>
      <c r="F25" s="97">
        <f t="shared" si="0"/>
        <v>138827.46</v>
      </c>
      <c r="G25" s="161" t="s">
        <v>1486</v>
      </c>
      <c r="H25" s="142" t="s">
        <v>977</v>
      </c>
      <c r="I25" s="130" t="str">
        <f>VLOOKUP(H25,Presupuesto!$B$11:$C$565,2,0)</f>
        <v>EDIFICIOS Y LOCALES</v>
      </c>
      <c r="J25" s="98" t="str">
        <f t="shared" si="1"/>
        <v>Gestión Administrativa y  financiera en apoyo al Desarrollo Académico</v>
      </c>
      <c r="K25" s="98" t="s">
        <v>412</v>
      </c>
      <c r="L25" s="98"/>
    </row>
    <row r="26" spans="3:12">
      <c r="C26" s="141" t="s">
        <v>1527</v>
      </c>
      <c r="D26" s="158">
        <v>1</v>
      </c>
      <c r="E26" s="123">
        <v>190387.21</v>
      </c>
      <c r="F26" s="97">
        <f t="shared" si="0"/>
        <v>190387.21</v>
      </c>
      <c r="G26" s="161" t="s">
        <v>1486</v>
      </c>
      <c r="H26" s="142" t="s">
        <v>977</v>
      </c>
      <c r="I26" s="130" t="str">
        <f>VLOOKUP(H26,Presupuesto!$B$11:$C$565,2,0)</f>
        <v>EDIFICIOS Y LOCALES</v>
      </c>
      <c r="J26" s="98" t="str">
        <f t="shared" si="1"/>
        <v>Gestión Administrativa y  financiera en apoyo al Desarrollo Académico</v>
      </c>
      <c r="K26" s="98" t="s">
        <v>412</v>
      </c>
      <c r="L26" s="98"/>
    </row>
    <row r="27" spans="3:12">
      <c r="C27" s="143" t="s">
        <v>1528</v>
      </c>
      <c r="D27" s="158">
        <v>1</v>
      </c>
      <c r="E27" s="118">
        <v>59878.3</v>
      </c>
      <c r="F27" s="97">
        <f t="shared" si="0"/>
        <v>59878.3</v>
      </c>
      <c r="G27" s="161" t="s">
        <v>1486</v>
      </c>
      <c r="H27" s="142" t="s">
        <v>977</v>
      </c>
      <c r="I27" s="130" t="str">
        <f>VLOOKUP(H27,Presupuesto!$B$11:$C$565,2,0)</f>
        <v>EDIFICIOS Y LOCALES</v>
      </c>
      <c r="J27" s="98" t="str">
        <f t="shared" si="1"/>
        <v>Gestión Administrativa y  financiera en apoyo al Desarrollo Académico</v>
      </c>
      <c r="K27" s="98" t="s">
        <v>412</v>
      </c>
      <c r="L27" s="98"/>
    </row>
    <row r="28" spans="3:12">
      <c r="F28" s="90"/>
      <c r="G28" s="89"/>
      <c r="H28" s="90"/>
      <c r="I28" s="90"/>
    </row>
    <row r="29" spans="3:12" ht="15.75" thickBot="1"/>
    <row r="30" spans="3:12" ht="15.75" thickBot="1">
      <c r="C30" s="157" t="s">
        <v>53</v>
      </c>
      <c r="D30" s="365">
        <f>SUM(F37:F37)</f>
        <v>7971588</v>
      </c>
      <c r="F30" s="70"/>
      <c r="G30" s="79"/>
      <c r="H30" s="70"/>
      <c r="I30" s="70"/>
    </row>
    <row r="31" spans="3:12">
      <c r="C31" s="70"/>
      <c r="D31" s="31"/>
      <c r="E31" s="93"/>
      <c r="F31" s="93"/>
      <c r="G31" s="93"/>
      <c r="H31" s="76"/>
      <c r="I31" s="76"/>
      <c r="J31" s="76"/>
      <c r="K31" s="112"/>
    </row>
    <row r="32" spans="3:12" ht="15.75">
      <c r="C32" s="299" t="s">
        <v>392</v>
      </c>
      <c r="D32" s="361" t="s">
        <v>2214</v>
      </c>
      <c r="E32" s="93"/>
      <c r="F32" s="93"/>
      <c r="G32" s="93"/>
      <c r="H32" s="76"/>
      <c r="I32" s="76"/>
      <c r="J32" s="76"/>
      <c r="K32" s="112"/>
    </row>
    <row r="33" spans="3:12" ht="18.75">
      <c r="C33" s="210"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gestioón de la construccion de infraestructura de laboratorios de frutas, carnes, lacteos, y café.</v>
      </c>
      <c r="D33" s="31"/>
      <c r="E33" s="93"/>
      <c r="F33" s="93"/>
      <c r="G33" s="93"/>
      <c r="H33" s="76"/>
      <c r="I33" s="76"/>
      <c r="J33" s="76"/>
      <c r="K33" s="112"/>
    </row>
    <row r="34" spans="3:12">
      <c r="E34" s="93"/>
      <c r="F34" s="93"/>
      <c r="G34" s="93"/>
      <c r="H34" s="76"/>
      <c r="I34" s="76"/>
      <c r="J34" s="76"/>
      <c r="K34" s="112"/>
    </row>
    <row r="35" spans="3:12" ht="15.75" thickBot="1">
      <c r="F35" s="93"/>
      <c r="G35" s="76"/>
      <c r="H35" s="76"/>
      <c r="I35" s="76"/>
    </row>
    <row r="36" spans="3:12" ht="30.75" thickBot="1">
      <c r="C36" s="129" t="s">
        <v>44</v>
      </c>
      <c r="D36" s="134" t="s">
        <v>55</v>
      </c>
      <c r="E36" s="136" t="s">
        <v>57</v>
      </c>
      <c r="F36" s="135" t="s">
        <v>27</v>
      </c>
      <c r="G36" s="133" t="s">
        <v>131</v>
      </c>
      <c r="H36" s="136" t="s">
        <v>46</v>
      </c>
      <c r="I36" s="133" t="s">
        <v>132</v>
      </c>
      <c r="J36" s="133" t="s">
        <v>410</v>
      </c>
      <c r="K36" s="133" t="s">
        <v>411</v>
      </c>
      <c r="L36" s="133" t="s">
        <v>121</v>
      </c>
    </row>
    <row r="37" spans="3:12" ht="30">
      <c r="C37" s="656" t="s">
        <v>2272</v>
      </c>
      <c r="D37" s="654">
        <v>1</v>
      </c>
      <c r="E37" s="655">
        <f>7000000+971588</f>
        <v>7971588</v>
      </c>
      <c r="F37" s="97">
        <f t="shared" ref="F37" si="2">D37*E37</f>
        <v>7971588</v>
      </c>
      <c r="G37" s="626" t="s">
        <v>1486</v>
      </c>
      <c r="H37" s="622" t="s">
        <v>977</v>
      </c>
      <c r="I37" s="130" t="str">
        <f>VLOOKUP(H37,Presupuesto!$B$11:$C$565,2,0)</f>
        <v>EDIFICIOS Y LOCALES</v>
      </c>
      <c r="J37" s="609" t="str">
        <f t="shared" ref="J37" si="3">$J$17</f>
        <v>Gestión Administrativa y  financiera en apoyo al Desarrollo Académico</v>
      </c>
      <c r="K37" s="98" t="s">
        <v>394</v>
      </c>
      <c r="L37" s="98"/>
    </row>
    <row r="39" spans="3:12" ht="15.75" thickBot="1"/>
    <row r="40" spans="3:12" ht="15.75" thickBot="1">
      <c r="C40" s="157" t="s">
        <v>53</v>
      </c>
      <c r="D40" s="365">
        <f>SUM(F47:F67)</f>
        <v>1767950</v>
      </c>
      <c r="F40" s="70"/>
      <c r="G40" s="79"/>
      <c r="H40" s="70"/>
      <c r="I40" s="70"/>
    </row>
    <row r="41" spans="3:12">
      <c r="C41" s="70"/>
      <c r="D41" s="31"/>
      <c r="E41" s="93"/>
      <c r="F41" s="93"/>
      <c r="G41" s="93"/>
      <c r="H41" s="76"/>
      <c r="I41" s="76"/>
      <c r="J41" s="76"/>
      <c r="K41" s="112"/>
    </row>
    <row r="42" spans="3:12" ht="15.75">
      <c r="C42" s="299" t="s">
        <v>392</v>
      </c>
      <c r="D42" s="361" t="s">
        <v>2347</v>
      </c>
      <c r="E42" s="93"/>
      <c r="F42" s="93"/>
      <c r="G42" s="93"/>
      <c r="H42" s="76"/>
      <c r="I42" s="76"/>
      <c r="J42" s="76"/>
      <c r="K42" s="112"/>
    </row>
    <row r="43" spans="3:12" ht="18.75">
      <c r="C43" s="210"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Gestionar Culminación de la construcción el edificio de aulas N 1</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658" t="s">
        <v>2351</v>
      </c>
      <c r="D47" s="657"/>
      <c r="E47" s="659"/>
      <c r="F47" s="97">
        <f t="shared" ref="F47:F67" si="4">D47*E47</f>
        <v>0</v>
      </c>
      <c r="G47" s="161"/>
      <c r="H47" s="142"/>
      <c r="I47" s="130" t="e">
        <f>VLOOKUP(H47,Presupuesto!$B$11:$C$565,2,0)</f>
        <v>#N/A</v>
      </c>
      <c r="J47" s="218" t="s">
        <v>1441</v>
      </c>
      <c r="K47" s="98" t="s">
        <v>394</v>
      </c>
      <c r="L47" s="98"/>
    </row>
    <row r="48" spans="3:12">
      <c r="C48" s="644" t="s">
        <v>2352</v>
      </c>
      <c r="D48" s="645">
        <v>3</v>
      </c>
      <c r="E48" s="646">
        <v>4000</v>
      </c>
      <c r="F48" s="97">
        <f t="shared" si="4"/>
        <v>12000</v>
      </c>
      <c r="G48" s="626" t="s">
        <v>1486</v>
      </c>
      <c r="H48" s="622" t="s">
        <v>977</v>
      </c>
      <c r="I48" s="130" t="str">
        <f>VLOOKUP(H48,Presupuesto!$B$11:$C$565,2,0)</f>
        <v>EDIFICIOS Y LOCALES</v>
      </c>
      <c r="J48" s="609" t="str">
        <f t="shared" ref="J48:J67" si="5">$J$17</f>
        <v>Gestión Administrativa y  financiera en apoyo al Desarrollo Académico</v>
      </c>
      <c r="K48" s="98" t="s">
        <v>412</v>
      </c>
      <c r="L48" s="98"/>
    </row>
    <row r="49" spans="3:12">
      <c r="C49" s="644" t="s">
        <v>2353</v>
      </c>
      <c r="D49" s="645">
        <v>29.4</v>
      </c>
      <c r="E49" s="646">
        <v>2000</v>
      </c>
      <c r="F49" s="97">
        <f t="shared" si="4"/>
        <v>58800</v>
      </c>
      <c r="G49" s="626" t="s">
        <v>1486</v>
      </c>
      <c r="H49" s="622" t="s">
        <v>977</v>
      </c>
      <c r="I49" s="130" t="str">
        <f>VLOOKUP(H49,Presupuesto!$B$11:$C$565,2,0)</f>
        <v>EDIFICIOS Y LOCALES</v>
      </c>
      <c r="J49" s="609" t="str">
        <f t="shared" si="5"/>
        <v>Gestión Administrativa y  financiera en apoyo al Desarrollo Académico</v>
      </c>
      <c r="K49" s="98" t="s">
        <v>412</v>
      </c>
      <c r="L49" s="98"/>
    </row>
    <row r="50" spans="3:12">
      <c r="C50" s="644" t="s">
        <v>2354</v>
      </c>
      <c r="D50" s="645">
        <v>500</v>
      </c>
      <c r="E50" s="646">
        <v>300</v>
      </c>
      <c r="F50" s="97">
        <f t="shared" si="4"/>
        <v>150000</v>
      </c>
      <c r="G50" s="626" t="s">
        <v>1486</v>
      </c>
      <c r="H50" s="622" t="s">
        <v>977</v>
      </c>
      <c r="I50" s="130" t="str">
        <f>VLOOKUP(H50,Presupuesto!$B$11:$C$565,2,0)</f>
        <v>EDIFICIOS Y LOCALES</v>
      </c>
      <c r="J50" s="609" t="str">
        <f t="shared" si="5"/>
        <v>Gestión Administrativa y  financiera en apoyo al Desarrollo Académico</v>
      </c>
      <c r="K50" s="98" t="s">
        <v>412</v>
      </c>
      <c r="L50" s="98"/>
    </row>
    <row r="51" spans="3:12">
      <c r="C51" s="644" t="s">
        <v>2355</v>
      </c>
      <c r="D51" s="645">
        <v>45</v>
      </c>
      <c r="E51" s="646">
        <v>500</v>
      </c>
      <c r="F51" s="97">
        <f t="shared" si="4"/>
        <v>22500</v>
      </c>
      <c r="G51" s="626" t="s">
        <v>1486</v>
      </c>
      <c r="H51" s="622" t="s">
        <v>977</v>
      </c>
      <c r="I51" s="130" t="str">
        <f>VLOOKUP(H51,Presupuesto!$B$11:$C$565,2,0)</f>
        <v>EDIFICIOS Y LOCALES</v>
      </c>
      <c r="J51" s="609" t="str">
        <f t="shared" si="5"/>
        <v>Gestión Administrativa y  financiera en apoyo al Desarrollo Académico</v>
      </c>
      <c r="K51" s="98" t="s">
        <v>412</v>
      </c>
      <c r="L51" s="98"/>
    </row>
    <row r="52" spans="3:12">
      <c r="C52" s="644" t="s">
        <v>2356</v>
      </c>
      <c r="D52" s="645">
        <v>10</v>
      </c>
      <c r="E52" s="646">
        <v>500</v>
      </c>
      <c r="F52" s="97">
        <f t="shared" si="4"/>
        <v>5000</v>
      </c>
      <c r="G52" s="626" t="s">
        <v>1486</v>
      </c>
      <c r="H52" s="622" t="s">
        <v>977</v>
      </c>
      <c r="I52" s="130" t="str">
        <f>VLOOKUP(H52,Presupuesto!$B$11:$C$565,2,0)</f>
        <v>EDIFICIOS Y LOCALES</v>
      </c>
      <c r="J52" s="609" t="str">
        <f t="shared" si="5"/>
        <v>Gestión Administrativa y  financiera en apoyo al Desarrollo Académico</v>
      </c>
      <c r="K52" s="98" t="s">
        <v>401</v>
      </c>
      <c r="L52" s="98"/>
    </row>
    <row r="53" spans="3:12">
      <c r="C53" s="644" t="s">
        <v>2357</v>
      </c>
      <c r="D53" s="645">
        <v>6000</v>
      </c>
      <c r="E53" s="646">
        <v>25</v>
      </c>
      <c r="F53" s="97">
        <f t="shared" si="4"/>
        <v>150000</v>
      </c>
      <c r="G53" s="626" t="s">
        <v>1486</v>
      </c>
      <c r="H53" s="622" t="s">
        <v>977</v>
      </c>
      <c r="I53" s="130" t="str">
        <f>VLOOKUP(H53,Presupuesto!$B$11:$C$565,2,0)</f>
        <v>EDIFICIOS Y LOCALES</v>
      </c>
      <c r="J53" s="609" t="str">
        <f t="shared" si="5"/>
        <v>Gestión Administrativa y  financiera en apoyo al Desarrollo Académico</v>
      </c>
      <c r="K53" s="98" t="s">
        <v>412</v>
      </c>
      <c r="L53" s="98"/>
    </row>
    <row r="54" spans="3:12">
      <c r="C54" s="644" t="s">
        <v>2358</v>
      </c>
      <c r="D54" s="645">
        <v>6500</v>
      </c>
      <c r="E54" s="646">
        <v>60</v>
      </c>
      <c r="F54" s="97">
        <f t="shared" si="4"/>
        <v>390000</v>
      </c>
      <c r="G54" s="626" t="s">
        <v>1486</v>
      </c>
      <c r="H54" s="622" t="s">
        <v>977</v>
      </c>
      <c r="I54" s="130" t="str">
        <f>VLOOKUP(H54,Presupuesto!$B$11:$C$565,2,0)</f>
        <v>EDIFICIOS Y LOCALES</v>
      </c>
      <c r="J54" s="609" t="str">
        <f t="shared" si="5"/>
        <v>Gestión Administrativa y  financiera en apoyo al Desarrollo Académico</v>
      </c>
      <c r="K54" s="98" t="s">
        <v>412</v>
      </c>
      <c r="L54" s="98"/>
    </row>
    <row r="55" spans="3:12">
      <c r="C55" s="644" t="s">
        <v>2359</v>
      </c>
      <c r="D55" s="645">
        <v>400</v>
      </c>
      <c r="E55" s="646">
        <v>600</v>
      </c>
      <c r="F55" s="97">
        <f t="shared" si="4"/>
        <v>240000</v>
      </c>
      <c r="G55" s="626" t="s">
        <v>1486</v>
      </c>
      <c r="H55" s="622" t="s">
        <v>977</v>
      </c>
      <c r="I55" s="130" t="str">
        <f>VLOOKUP(H55,Presupuesto!$B$11:$C$565,2,0)</f>
        <v>EDIFICIOS Y LOCALES</v>
      </c>
      <c r="J55" s="609" t="str">
        <f t="shared" si="5"/>
        <v>Gestión Administrativa y  financiera en apoyo al Desarrollo Académico</v>
      </c>
      <c r="K55" s="98" t="s">
        <v>412</v>
      </c>
      <c r="L55" s="98"/>
    </row>
    <row r="56" spans="3:12">
      <c r="C56" s="644" t="s">
        <v>2360</v>
      </c>
      <c r="D56" s="645">
        <v>93</v>
      </c>
      <c r="E56" s="646">
        <v>100</v>
      </c>
      <c r="F56" s="97">
        <f t="shared" si="4"/>
        <v>9300</v>
      </c>
      <c r="G56" s="626" t="s">
        <v>1486</v>
      </c>
      <c r="H56" s="622" t="s">
        <v>977</v>
      </c>
      <c r="I56" s="130" t="str">
        <f>VLOOKUP(H56,Presupuesto!$B$11:$C$565,2,0)</f>
        <v>EDIFICIOS Y LOCALES</v>
      </c>
      <c r="J56" s="609" t="str">
        <f t="shared" si="5"/>
        <v>Gestión Administrativa y  financiera en apoyo al Desarrollo Académico</v>
      </c>
      <c r="K56" s="98" t="s">
        <v>412</v>
      </c>
      <c r="L56" s="98"/>
    </row>
    <row r="57" spans="3:12">
      <c r="C57" s="644" t="s">
        <v>2361</v>
      </c>
      <c r="D57" s="645">
        <v>35</v>
      </c>
      <c r="E57" s="646">
        <v>20</v>
      </c>
      <c r="F57" s="97">
        <f t="shared" si="4"/>
        <v>700</v>
      </c>
      <c r="G57" s="626" t="s">
        <v>1486</v>
      </c>
      <c r="H57" s="622" t="s">
        <v>977</v>
      </c>
      <c r="I57" s="130" t="str">
        <f>VLOOKUP(H57,Presupuesto!$B$11:$C$565,2,0)</f>
        <v>EDIFICIOS Y LOCALES</v>
      </c>
      <c r="J57" s="609" t="str">
        <f t="shared" si="5"/>
        <v>Gestión Administrativa y  financiera en apoyo al Desarrollo Académico</v>
      </c>
      <c r="K57" s="98" t="s">
        <v>412</v>
      </c>
      <c r="L57" s="98"/>
    </row>
    <row r="58" spans="3:12">
      <c r="C58" s="644" t="s">
        <v>2362</v>
      </c>
      <c r="D58" s="645">
        <v>100</v>
      </c>
      <c r="E58" s="646">
        <v>300</v>
      </c>
      <c r="F58" s="97">
        <f t="shared" si="4"/>
        <v>30000</v>
      </c>
      <c r="G58" s="626" t="s">
        <v>1486</v>
      </c>
      <c r="H58" s="622" t="s">
        <v>977</v>
      </c>
      <c r="I58" s="130" t="str">
        <f>VLOOKUP(H58,Presupuesto!$B$11:$C$565,2,0)</f>
        <v>EDIFICIOS Y LOCALES</v>
      </c>
      <c r="J58" s="609" t="str">
        <f t="shared" si="5"/>
        <v>Gestión Administrativa y  financiera en apoyo al Desarrollo Académico</v>
      </c>
      <c r="K58" s="98" t="s">
        <v>412</v>
      </c>
      <c r="L58" s="98"/>
    </row>
    <row r="59" spans="3:12">
      <c r="C59" s="644" t="s">
        <v>2363</v>
      </c>
      <c r="D59" s="645">
        <v>50</v>
      </c>
      <c r="E59" s="646">
        <v>450</v>
      </c>
      <c r="F59" s="97">
        <f t="shared" si="4"/>
        <v>22500</v>
      </c>
      <c r="G59" s="626" t="s">
        <v>1486</v>
      </c>
      <c r="H59" s="622" t="s">
        <v>977</v>
      </c>
      <c r="I59" s="130" t="str">
        <f>VLOOKUP(H59,Presupuesto!$B$11:$C$565,2,0)</f>
        <v>EDIFICIOS Y LOCALES</v>
      </c>
      <c r="J59" s="609" t="str">
        <f t="shared" si="5"/>
        <v>Gestión Administrativa y  financiera en apoyo al Desarrollo Académico</v>
      </c>
      <c r="K59" s="98" t="s">
        <v>412</v>
      </c>
      <c r="L59" s="98"/>
    </row>
    <row r="60" spans="3:12">
      <c r="C60" s="644" t="s">
        <v>2364</v>
      </c>
      <c r="D60" s="645">
        <v>30</v>
      </c>
      <c r="E60" s="646">
        <v>1500</v>
      </c>
      <c r="F60" s="97">
        <f t="shared" si="4"/>
        <v>45000</v>
      </c>
      <c r="G60" s="626" t="s">
        <v>1486</v>
      </c>
      <c r="H60" s="622" t="s">
        <v>977</v>
      </c>
      <c r="I60" s="130" t="str">
        <f>VLOOKUP(H60,Presupuesto!$B$11:$C$565,2,0)</f>
        <v>EDIFICIOS Y LOCALES</v>
      </c>
      <c r="J60" s="609" t="str">
        <f t="shared" si="5"/>
        <v>Gestión Administrativa y  financiera en apoyo al Desarrollo Académico</v>
      </c>
      <c r="K60" s="98" t="s">
        <v>412</v>
      </c>
      <c r="L60" s="98"/>
    </row>
    <row r="61" spans="3:12">
      <c r="C61" s="644" t="s">
        <v>2365</v>
      </c>
      <c r="D61" s="645">
        <v>20</v>
      </c>
      <c r="E61" s="646">
        <v>600</v>
      </c>
      <c r="F61" s="97">
        <f t="shared" si="4"/>
        <v>12000</v>
      </c>
      <c r="G61" s="626" t="s">
        <v>1486</v>
      </c>
      <c r="H61" s="622" t="s">
        <v>977</v>
      </c>
      <c r="I61" s="130" t="str">
        <f>VLOOKUP(H61,Presupuesto!$B$11:$C$565,2,0)</f>
        <v>EDIFICIOS Y LOCALES</v>
      </c>
      <c r="J61" s="609" t="str">
        <f t="shared" si="5"/>
        <v>Gestión Administrativa y  financiera en apoyo al Desarrollo Académico</v>
      </c>
      <c r="K61" s="98" t="s">
        <v>412</v>
      </c>
      <c r="L61" s="98"/>
    </row>
    <row r="62" spans="3:12">
      <c r="C62" s="644" t="s">
        <v>2366</v>
      </c>
      <c r="D62" s="645">
        <v>88</v>
      </c>
      <c r="E62" s="646">
        <v>350</v>
      </c>
      <c r="F62" s="97">
        <f t="shared" si="4"/>
        <v>30800</v>
      </c>
      <c r="G62" s="626" t="s">
        <v>1486</v>
      </c>
      <c r="H62" s="622" t="s">
        <v>977</v>
      </c>
      <c r="I62" s="130" t="str">
        <f>VLOOKUP(H62,Presupuesto!$B$11:$C$565,2,0)</f>
        <v>EDIFICIOS Y LOCALES</v>
      </c>
      <c r="J62" s="609" t="str">
        <f t="shared" si="5"/>
        <v>Gestión Administrativa y  financiera en apoyo al Desarrollo Académico</v>
      </c>
      <c r="K62" s="98" t="s">
        <v>412</v>
      </c>
      <c r="L62" s="98"/>
    </row>
    <row r="63" spans="3:12">
      <c r="C63" s="644" t="s">
        <v>2367</v>
      </c>
      <c r="D63" s="645">
        <v>50</v>
      </c>
      <c r="E63" s="646">
        <v>15</v>
      </c>
      <c r="F63" s="97">
        <f t="shared" si="4"/>
        <v>750</v>
      </c>
      <c r="G63" s="626" t="s">
        <v>1486</v>
      </c>
      <c r="H63" s="622" t="s">
        <v>977</v>
      </c>
      <c r="I63" s="130" t="str">
        <f>VLOOKUP(H63,Presupuesto!$B$11:$C$565,2,0)</f>
        <v>EDIFICIOS Y LOCALES</v>
      </c>
      <c r="J63" s="609" t="str">
        <f t="shared" si="5"/>
        <v>Gestión Administrativa y  financiera en apoyo al Desarrollo Académico</v>
      </c>
      <c r="K63" s="98" t="s">
        <v>403</v>
      </c>
      <c r="L63" s="98"/>
    </row>
    <row r="64" spans="3:12">
      <c r="C64" s="644" t="s">
        <v>2368</v>
      </c>
      <c r="D64" s="645">
        <v>1180</v>
      </c>
      <c r="E64" s="646">
        <v>20</v>
      </c>
      <c r="F64" s="97">
        <f t="shared" si="4"/>
        <v>23600</v>
      </c>
      <c r="G64" s="626" t="s">
        <v>1486</v>
      </c>
      <c r="H64" s="622" t="s">
        <v>977</v>
      </c>
      <c r="I64" s="130" t="str">
        <f>VLOOKUP(H64,Presupuesto!$B$11:$C$565,2,0)</f>
        <v>EDIFICIOS Y LOCALES</v>
      </c>
      <c r="J64" s="609" t="str">
        <f t="shared" si="5"/>
        <v>Gestión Administrativa y  financiera en apoyo al Desarrollo Académico</v>
      </c>
      <c r="K64" s="98" t="s">
        <v>412</v>
      </c>
      <c r="L64" s="98"/>
    </row>
    <row r="65" spans="3:12">
      <c r="C65" s="644" t="s">
        <v>2369</v>
      </c>
      <c r="D65" s="645">
        <v>10</v>
      </c>
      <c r="E65" s="646">
        <v>4500</v>
      </c>
      <c r="F65" s="97">
        <f t="shared" si="4"/>
        <v>45000</v>
      </c>
      <c r="G65" s="626" t="s">
        <v>1486</v>
      </c>
      <c r="H65" s="622" t="s">
        <v>977</v>
      </c>
      <c r="I65" s="130" t="str">
        <f>VLOOKUP(H65,Presupuesto!$B$11:$C$565,2,0)</f>
        <v>EDIFICIOS Y LOCALES</v>
      </c>
      <c r="J65" s="609" t="str">
        <f t="shared" si="5"/>
        <v>Gestión Administrativa y  financiera en apoyo al Desarrollo Académico</v>
      </c>
      <c r="K65" s="98" t="s">
        <v>412</v>
      </c>
      <c r="L65" s="98"/>
    </row>
    <row r="66" spans="3:12">
      <c r="C66" s="644" t="s">
        <v>2370</v>
      </c>
      <c r="D66" s="645">
        <v>1</v>
      </c>
      <c r="E66" s="646">
        <v>400000</v>
      </c>
      <c r="F66" s="97">
        <f t="shared" si="4"/>
        <v>400000</v>
      </c>
      <c r="G66" s="626" t="s">
        <v>1486</v>
      </c>
      <c r="H66" s="622" t="s">
        <v>977</v>
      </c>
      <c r="I66" s="130" t="str">
        <f>VLOOKUP(H66,Presupuesto!$B$11:$C$565,2,0)</f>
        <v>EDIFICIOS Y LOCALES</v>
      </c>
      <c r="J66" s="609" t="str">
        <f t="shared" si="5"/>
        <v>Gestión Administrativa y  financiera en apoyo al Desarrollo Académico</v>
      </c>
      <c r="K66" s="98" t="s">
        <v>412</v>
      </c>
      <c r="L66" s="98"/>
    </row>
    <row r="67" spans="3:12" ht="15.75" thickBot="1">
      <c r="C67" s="644" t="s">
        <v>2371</v>
      </c>
      <c r="D67" s="645">
        <v>1</v>
      </c>
      <c r="E67" s="646">
        <v>120000</v>
      </c>
      <c r="F67" s="105">
        <f t="shared" si="4"/>
        <v>120000</v>
      </c>
      <c r="G67" s="626" t="s">
        <v>1486</v>
      </c>
      <c r="H67" s="622" t="s">
        <v>977</v>
      </c>
      <c r="I67" s="132" t="str">
        <f>VLOOKUP(H67,Presupuesto!$B$11:$C$565,2,0)</f>
        <v>EDIFICIOS Y LOCALES</v>
      </c>
      <c r="J67" s="609" t="str">
        <f t="shared" si="5"/>
        <v>Gestión Administrativa y  financiera en apoyo al Desarrollo Académico</v>
      </c>
      <c r="K67" s="124" t="s">
        <v>394</v>
      </c>
      <c r="L67" s="106"/>
    </row>
    <row r="68" spans="3:12">
      <c r="F68" s="90"/>
      <c r="G68" s="89"/>
      <c r="H68" s="90"/>
      <c r="I68" s="90"/>
    </row>
    <row r="69" spans="3:12" ht="15.75" thickBot="1"/>
    <row r="70" spans="3:12" ht="15.75" thickBot="1">
      <c r="C70" s="157" t="s">
        <v>53</v>
      </c>
      <c r="D70" s="365">
        <f>SUM(F77:F77)</f>
        <v>6000000</v>
      </c>
      <c r="F70" s="70"/>
      <c r="G70" s="79"/>
      <c r="H70" s="70"/>
      <c r="I70" s="70"/>
    </row>
    <row r="71" spans="3:12">
      <c r="C71" s="70"/>
      <c r="D71" s="31"/>
      <c r="E71" s="93"/>
      <c r="F71" s="93"/>
      <c r="G71" s="93"/>
      <c r="H71" s="76"/>
      <c r="I71" s="76"/>
      <c r="J71" s="76"/>
      <c r="K71" s="112"/>
    </row>
    <row r="72" spans="3:12" ht="15.75">
      <c r="C72" s="299" t="s">
        <v>392</v>
      </c>
      <c r="D72" s="361" t="s">
        <v>2346</v>
      </c>
      <c r="E72" s="93"/>
      <c r="F72" s="93"/>
      <c r="G72" s="93"/>
      <c r="H72" s="76"/>
      <c r="I72" s="76"/>
      <c r="J72" s="76"/>
      <c r="K72" s="112"/>
    </row>
    <row r="73" spans="3:12" ht="18.75">
      <c r="C73" s="210"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 xml:space="preserve">Gestionar la Construccion del Segundo Edificio de Aulas </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ht="30">
      <c r="C77" s="656" t="s">
        <v>2372</v>
      </c>
      <c r="D77" s="625">
        <v>1</v>
      </c>
      <c r="E77" s="614">
        <v>6000000</v>
      </c>
      <c r="F77" s="608">
        <f>D77*E77</f>
        <v>6000000</v>
      </c>
      <c r="G77" s="626" t="s">
        <v>1486</v>
      </c>
      <c r="H77" s="622" t="s">
        <v>977</v>
      </c>
      <c r="I77" s="130" t="str">
        <f>VLOOKUP(H77,Presupuesto!$B$11:$C$565,2,0)</f>
        <v>EDIFICIOS Y LOCALES</v>
      </c>
      <c r="J77" s="609" t="str">
        <f t="shared" ref="J77" si="6">$J$17</f>
        <v>Gestión Administrativa y  financiera en apoyo al Desarrollo Académico</v>
      </c>
      <c r="K77" s="98" t="s">
        <v>394</v>
      </c>
      <c r="L77" s="98"/>
    </row>
    <row r="79" spans="3:12" ht="15.75" thickBot="1"/>
    <row r="80" spans="3:12" ht="15.75" thickBot="1">
      <c r="C80" s="157" t="s">
        <v>53</v>
      </c>
      <c r="D80" s="365">
        <f>SUM(F87:F87)</f>
        <v>5500000</v>
      </c>
      <c r="F80" s="70"/>
      <c r="G80" s="79"/>
      <c r="H80" s="70"/>
      <c r="I80" s="70"/>
    </row>
    <row r="81" spans="3:12">
      <c r="C81" s="70"/>
      <c r="D81" s="31"/>
      <c r="E81" s="93"/>
      <c r="F81" s="93"/>
      <c r="G81" s="93"/>
      <c r="H81" s="76"/>
      <c r="I81" s="76"/>
      <c r="J81" s="76"/>
      <c r="K81" s="112"/>
    </row>
    <row r="82" spans="3:12" ht="15.75">
      <c r="C82" s="299" t="s">
        <v>392</v>
      </c>
      <c r="D82" s="361" t="s">
        <v>2345</v>
      </c>
      <c r="E82" s="93"/>
      <c r="F82" s="93"/>
      <c r="G82" s="93"/>
      <c r="H82" s="76"/>
      <c r="I82" s="76"/>
      <c r="J82" s="76"/>
      <c r="K82" s="112"/>
    </row>
    <row r="83" spans="3:12" ht="18.75">
      <c r="C83" s="210"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Posgrado'!$E:$F,2,FALSE),IFERROR(VLOOKUP(D82,'17. Gestión TIC'!$E:$F,2,FALSE),IFERROR(VLOOKUP(D82,'16. Desa. del Sistema Educ.Sup.'!$E:$F,2,FALSE),IFERROR(VLOOKUP(D82,'9. Cultura de Inno. Insti...'!$E:$F,2,FALSE),VLOOKUP(D82,'7. Lo Esencial de la Reforma U.'!$E:$F,2,0)))))))))))))))))</f>
        <v>Gestionar la Construcción de un edificio que contenga las siguientes aéreas: Dirección, Administración, Secretaria, Registro, Tesorería, Personal; Sistema de Admisiones, VOAE, Vinculación, Consejo Local, Investigación, Área de Docentes, biblioteca, sección de baños, sala de juntas, gestión de la calidad educativa y clinica de atención a estudiantes.</v>
      </c>
      <c r="D83" s="31"/>
      <c r="E83" s="93"/>
      <c r="F83" s="93"/>
      <c r="G83" s="93"/>
      <c r="H83" s="76"/>
      <c r="I83" s="76"/>
      <c r="J83" s="76"/>
      <c r="K83" s="112"/>
    </row>
    <row r="84" spans="3:12">
      <c r="E84" s="93"/>
      <c r="F84" s="93"/>
      <c r="G84" s="93"/>
      <c r="H84" s="76"/>
      <c r="I84" s="76"/>
      <c r="J84" s="76"/>
      <c r="K84" s="112"/>
    </row>
    <row r="85" spans="3:12" ht="15.75" thickBot="1">
      <c r="F85" s="93"/>
      <c r="G85" s="76"/>
      <c r="H85" s="76"/>
      <c r="I85" s="76"/>
    </row>
    <row r="86" spans="3:12" ht="30.75" thickBot="1">
      <c r="C86" s="129" t="s">
        <v>44</v>
      </c>
      <c r="D86" s="134" t="s">
        <v>55</v>
      </c>
      <c r="E86" s="136" t="s">
        <v>57</v>
      </c>
      <c r="F86" s="135" t="s">
        <v>27</v>
      </c>
      <c r="G86" s="133" t="s">
        <v>131</v>
      </c>
      <c r="H86" s="136" t="s">
        <v>46</v>
      </c>
      <c r="I86" s="133" t="s">
        <v>132</v>
      </c>
      <c r="J86" s="133" t="s">
        <v>410</v>
      </c>
      <c r="K86" s="133" t="s">
        <v>411</v>
      </c>
      <c r="L86" s="133" t="s">
        <v>121</v>
      </c>
    </row>
    <row r="87" spans="3:12" ht="30">
      <c r="C87" s="656" t="s">
        <v>2373</v>
      </c>
      <c r="D87" s="625">
        <v>1</v>
      </c>
      <c r="E87" s="614">
        <v>5500000</v>
      </c>
      <c r="F87" s="608">
        <f>D87*E87</f>
        <v>5500000</v>
      </c>
      <c r="G87" s="626" t="s">
        <v>1486</v>
      </c>
      <c r="H87" s="622" t="s">
        <v>977</v>
      </c>
      <c r="I87" s="130" t="str">
        <f>VLOOKUP(H87,Presupuesto!$B$11:$C$565,2,0)</f>
        <v>EDIFICIOS Y LOCALES</v>
      </c>
      <c r="J87" s="609" t="str">
        <f t="shared" ref="J87" si="7">$J$17</f>
        <v>Gestión Administrativa y  financiera en apoyo al Desarrollo Académico</v>
      </c>
      <c r="K87" s="98" t="s">
        <v>394</v>
      </c>
      <c r="L87" s="98"/>
    </row>
    <row r="88" spans="3:12">
      <c r="F88" s="90"/>
      <c r="G88" s="89"/>
      <c r="H88" s="90"/>
      <c r="I88" s="90"/>
    </row>
    <row r="89" spans="3:12" ht="15.75" thickBot="1"/>
    <row r="90" spans="3:12" ht="15.75" thickBot="1">
      <c r="C90" s="157" t="s">
        <v>53</v>
      </c>
      <c r="D90" s="365">
        <f>SUM(F97:F117)</f>
        <v>0</v>
      </c>
      <c r="F90" s="70"/>
      <c r="G90" s="79"/>
      <c r="H90" s="70"/>
      <c r="I90" s="70"/>
    </row>
    <row r="91" spans="3:12">
      <c r="C91" s="70"/>
      <c r="D91" s="31"/>
      <c r="E91" s="93"/>
      <c r="F91" s="93"/>
      <c r="G91" s="93"/>
      <c r="H91" s="76"/>
      <c r="I91" s="76"/>
      <c r="J91" s="76"/>
      <c r="K91" s="112"/>
    </row>
    <row r="92" spans="3:12" ht="15.75">
      <c r="C92" s="299" t="s">
        <v>392</v>
      </c>
      <c r="D92" s="361"/>
      <c r="E92" s="93"/>
      <c r="F92" s="93"/>
      <c r="G92" s="93"/>
      <c r="H92" s="76"/>
      <c r="I92" s="76"/>
      <c r="J92" s="76"/>
      <c r="K92" s="112"/>
    </row>
    <row r="93" spans="3:12" ht="18.75">
      <c r="C93" s="210" t="e">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Posgrado'!$E:$F,2,FALSE),IFERROR(VLOOKUP(D92,'17. Gestión TIC'!$E:$F,2,FALSE),IFERROR(VLOOKUP(D92,'16. Desa. del Sistema Educ.Sup.'!$E:$F,2,FALSE),IFERROR(VLOOKUP(D92,'9. Cultura de Inno. Insti...'!$E:$F,2,FALSE),VLOOKUP(D92,'7. Lo Esencial de la Reforma U.'!$E:$F,2,0)))))))))))))))))</f>
        <v>#N/A</v>
      </c>
      <c r="D93" s="31"/>
      <c r="E93" s="93"/>
      <c r="F93" s="93"/>
      <c r="G93" s="93"/>
      <c r="H93" s="76"/>
      <c r="I93" s="76"/>
      <c r="J93" s="76"/>
      <c r="K93" s="112"/>
    </row>
    <row r="94" spans="3:12">
      <c r="E94" s="93"/>
      <c r="F94" s="93"/>
      <c r="G94" s="93"/>
      <c r="H94" s="76"/>
      <c r="I94" s="76"/>
      <c r="J94" s="76"/>
      <c r="K94" s="112"/>
    </row>
    <row r="95" spans="3:12" ht="15.75" thickBot="1">
      <c r="F95" s="93"/>
      <c r="G95" s="76"/>
      <c r="H95" s="76"/>
      <c r="I95" s="76"/>
    </row>
    <row r="96" spans="3:12" ht="30.75" thickBot="1">
      <c r="C96" s="129" t="s">
        <v>44</v>
      </c>
      <c r="D96" s="134" t="s">
        <v>55</v>
      </c>
      <c r="E96" s="136" t="s">
        <v>57</v>
      </c>
      <c r="F96" s="135" t="s">
        <v>27</v>
      </c>
      <c r="G96" s="133" t="s">
        <v>131</v>
      </c>
      <c r="H96" s="136" t="s">
        <v>46</v>
      </c>
      <c r="I96" s="133" t="s">
        <v>132</v>
      </c>
      <c r="J96" s="133" t="s">
        <v>410</v>
      </c>
      <c r="K96" s="133" t="s">
        <v>411</v>
      </c>
      <c r="L96" s="133" t="s">
        <v>121</v>
      </c>
    </row>
    <row r="97" spans="3:12">
      <c r="C97" s="141"/>
      <c r="D97" s="158"/>
      <c r="E97" s="115"/>
      <c r="F97" s="97">
        <f t="shared" ref="F97:F117" si="8">D97*E97</f>
        <v>0</v>
      </c>
      <c r="G97" s="161"/>
      <c r="H97" s="142"/>
      <c r="I97" s="130" t="e">
        <f>VLOOKUP(H97,Presupuesto!$B$11:$C$565,2,0)</f>
        <v>#N/A</v>
      </c>
      <c r="J97" s="218" t="s">
        <v>1441</v>
      </c>
      <c r="K97" s="98" t="s">
        <v>394</v>
      </c>
      <c r="L97" s="98"/>
    </row>
    <row r="98" spans="3:12">
      <c r="C98" s="141"/>
      <c r="D98" s="158"/>
      <c r="E98" s="123"/>
      <c r="F98" s="97">
        <f t="shared" si="8"/>
        <v>0</v>
      </c>
      <c r="G98" s="161"/>
      <c r="H98" s="142"/>
      <c r="I98" s="130" t="e">
        <f>VLOOKUP(H98,Presupuesto!$B$11:$C$565,2,0)</f>
        <v>#N/A</v>
      </c>
      <c r="J98" s="98" t="str">
        <f>$J$97</f>
        <v>Posgrado</v>
      </c>
      <c r="K98" s="98" t="s">
        <v>412</v>
      </c>
      <c r="L98" s="98"/>
    </row>
    <row r="99" spans="3:12">
      <c r="C99" s="141"/>
      <c r="D99" s="158"/>
      <c r="E99" s="123"/>
      <c r="F99" s="97">
        <f t="shared" si="8"/>
        <v>0</v>
      </c>
      <c r="G99" s="161"/>
      <c r="H99" s="142"/>
      <c r="I99" s="130" t="e">
        <f>VLOOKUP(H99,Presupuesto!$B$11:$C$565,2,0)</f>
        <v>#N/A</v>
      </c>
      <c r="J99" s="98" t="str">
        <f t="shared" ref="J99:J117" si="9">$J$97</f>
        <v>Posgrado</v>
      </c>
      <c r="K99" s="98" t="s">
        <v>412</v>
      </c>
      <c r="L99" s="98"/>
    </row>
    <row r="100" spans="3:12">
      <c r="C100" s="141"/>
      <c r="D100" s="158"/>
      <c r="E100" s="123"/>
      <c r="F100" s="97">
        <f t="shared" si="8"/>
        <v>0</v>
      </c>
      <c r="G100" s="161"/>
      <c r="H100" s="142"/>
      <c r="I100" s="130" t="e">
        <f>VLOOKUP(H100,Presupuesto!$B$11:$C$565,2,0)</f>
        <v>#N/A</v>
      </c>
      <c r="J100" s="98" t="str">
        <f t="shared" si="9"/>
        <v>Posgrado</v>
      </c>
      <c r="K100" s="98" t="s">
        <v>412</v>
      </c>
      <c r="L100" s="98"/>
    </row>
    <row r="101" spans="3:12">
      <c r="C101" s="141"/>
      <c r="D101" s="158"/>
      <c r="E101" s="123"/>
      <c r="F101" s="97">
        <f t="shared" si="8"/>
        <v>0</v>
      </c>
      <c r="G101" s="161"/>
      <c r="H101" s="142"/>
      <c r="I101" s="130" t="e">
        <f>VLOOKUP(H101,Presupuesto!$B$11:$C$565,2,0)</f>
        <v>#N/A</v>
      </c>
      <c r="J101" s="98" t="str">
        <f t="shared" si="9"/>
        <v>Posgrado</v>
      </c>
      <c r="K101" s="98" t="s">
        <v>412</v>
      </c>
      <c r="L101" s="98"/>
    </row>
    <row r="102" spans="3:12">
      <c r="C102" s="141"/>
      <c r="D102" s="158"/>
      <c r="E102" s="123"/>
      <c r="F102" s="97">
        <f t="shared" si="8"/>
        <v>0</v>
      </c>
      <c r="G102" s="161"/>
      <c r="H102" s="142"/>
      <c r="I102" s="130" t="e">
        <f>VLOOKUP(H102,Presupuesto!$B$11:$C$565,2,0)</f>
        <v>#N/A</v>
      </c>
      <c r="J102" s="98" t="str">
        <f t="shared" si="9"/>
        <v>Posgrado</v>
      </c>
      <c r="K102" s="98" t="s">
        <v>401</v>
      </c>
      <c r="L102" s="98"/>
    </row>
    <row r="103" spans="3:12">
      <c r="C103" s="141"/>
      <c r="D103" s="158"/>
      <c r="E103" s="123"/>
      <c r="F103" s="97">
        <f t="shared" si="8"/>
        <v>0</v>
      </c>
      <c r="G103" s="161"/>
      <c r="H103" s="142"/>
      <c r="I103" s="130" t="e">
        <f>VLOOKUP(H103,Presupuesto!$B$11:$C$565,2,0)</f>
        <v>#N/A</v>
      </c>
      <c r="J103" s="98" t="str">
        <f t="shared" si="9"/>
        <v>Posgrado</v>
      </c>
      <c r="K103" s="98" t="s">
        <v>412</v>
      </c>
      <c r="L103" s="98"/>
    </row>
    <row r="104" spans="3:12">
      <c r="C104" s="141"/>
      <c r="D104" s="158"/>
      <c r="E104" s="123"/>
      <c r="F104" s="97">
        <f t="shared" si="8"/>
        <v>0</v>
      </c>
      <c r="G104" s="161"/>
      <c r="H104" s="142"/>
      <c r="I104" s="130" t="e">
        <f>VLOOKUP(H104,Presupuesto!$B$11:$C$565,2,0)</f>
        <v>#N/A</v>
      </c>
      <c r="J104" s="98" t="str">
        <f t="shared" si="9"/>
        <v>Posgrado</v>
      </c>
      <c r="K104" s="98" t="s">
        <v>412</v>
      </c>
      <c r="L104" s="98"/>
    </row>
    <row r="105" spans="3:12">
      <c r="C105" s="141"/>
      <c r="D105" s="158"/>
      <c r="E105" s="123"/>
      <c r="F105" s="97">
        <f t="shared" si="8"/>
        <v>0</v>
      </c>
      <c r="G105" s="161"/>
      <c r="H105" s="142"/>
      <c r="I105" s="130" t="e">
        <f>VLOOKUP(H105,Presupuesto!$B$11:$C$565,2,0)</f>
        <v>#N/A</v>
      </c>
      <c r="J105" s="98" t="str">
        <f t="shared" si="9"/>
        <v>Posgrado</v>
      </c>
      <c r="K105" s="98" t="s">
        <v>412</v>
      </c>
      <c r="L105" s="98"/>
    </row>
    <row r="106" spans="3:12">
      <c r="C106" s="141"/>
      <c r="D106" s="158"/>
      <c r="E106" s="123"/>
      <c r="F106" s="97">
        <f t="shared" si="8"/>
        <v>0</v>
      </c>
      <c r="G106" s="161"/>
      <c r="H106" s="142"/>
      <c r="I106" s="130" t="e">
        <f>VLOOKUP(H106,Presupuesto!$B$11:$C$565,2,0)</f>
        <v>#N/A</v>
      </c>
      <c r="J106" s="98" t="str">
        <f t="shared" si="9"/>
        <v>Posgrado</v>
      </c>
      <c r="K106" s="98" t="s">
        <v>412</v>
      </c>
      <c r="L106" s="98"/>
    </row>
    <row r="107" spans="3:12">
      <c r="C107" s="143"/>
      <c r="D107" s="158"/>
      <c r="E107" s="118"/>
      <c r="F107" s="97">
        <f t="shared" si="8"/>
        <v>0</v>
      </c>
      <c r="G107" s="161"/>
      <c r="H107" s="144"/>
      <c r="I107" s="130" t="e">
        <f>VLOOKUP(H107,Presupuesto!$B$11:$C$565,2,0)</f>
        <v>#N/A</v>
      </c>
      <c r="J107" s="98" t="str">
        <f t="shared" si="9"/>
        <v>Posgrado</v>
      </c>
      <c r="K107" s="98" t="s">
        <v>412</v>
      </c>
      <c r="L107" s="98"/>
    </row>
    <row r="108" spans="3:12">
      <c r="C108" s="143"/>
      <c r="D108" s="158"/>
      <c r="E108" s="118"/>
      <c r="F108" s="97">
        <f t="shared" si="8"/>
        <v>0</v>
      </c>
      <c r="G108" s="161"/>
      <c r="H108" s="144"/>
      <c r="I108" s="130" t="e">
        <f>VLOOKUP(H108,Presupuesto!$B$11:$C$565,2,0)</f>
        <v>#N/A</v>
      </c>
      <c r="J108" s="98" t="str">
        <f t="shared" si="9"/>
        <v>Posgrado</v>
      </c>
      <c r="K108" s="98" t="s">
        <v>412</v>
      </c>
      <c r="L108" s="98"/>
    </row>
    <row r="109" spans="3:12">
      <c r="C109" s="143"/>
      <c r="D109" s="158"/>
      <c r="E109" s="118"/>
      <c r="F109" s="97">
        <f t="shared" si="8"/>
        <v>0</v>
      </c>
      <c r="G109" s="161"/>
      <c r="H109" s="144"/>
      <c r="I109" s="130" t="e">
        <f>VLOOKUP(H109,Presupuesto!$B$11:$C$565,2,0)</f>
        <v>#N/A</v>
      </c>
      <c r="J109" s="98" t="str">
        <f t="shared" si="9"/>
        <v>Posgrado</v>
      </c>
      <c r="K109" s="98" t="s">
        <v>412</v>
      </c>
      <c r="L109" s="98"/>
    </row>
    <row r="110" spans="3:12">
      <c r="C110" s="143"/>
      <c r="D110" s="158"/>
      <c r="E110" s="118"/>
      <c r="F110" s="97">
        <f t="shared" si="8"/>
        <v>0</v>
      </c>
      <c r="G110" s="161"/>
      <c r="H110" s="144"/>
      <c r="I110" s="130" t="e">
        <f>VLOOKUP(H110,Presupuesto!$B$11:$C$565,2,0)</f>
        <v>#N/A</v>
      </c>
      <c r="J110" s="98" t="str">
        <f t="shared" si="9"/>
        <v>Posgrado</v>
      </c>
      <c r="K110" s="98" t="s">
        <v>412</v>
      </c>
      <c r="L110" s="98"/>
    </row>
    <row r="111" spans="3:12">
      <c r="C111" s="143"/>
      <c r="D111" s="158"/>
      <c r="E111" s="118"/>
      <c r="F111" s="97">
        <f t="shared" si="8"/>
        <v>0</v>
      </c>
      <c r="G111" s="161"/>
      <c r="H111" s="144"/>
      <c r="I111" s="130" t="e">
        <f>VLOOKUP(H111,Presupuesto!$B$11:$C$565,2,0)</f>
        <v>#N/A</v>
      </c>
      <c r="J111" s="98" t="str">
        <f t="shared" si="9"/>
        <v>Posgrado</v>
      </c>
      <c r="K111" s="98" t="s">
        <v>412</v>
      </c>
      <c r="L111" s="98"/>
    </row>
    <row r="112" spans="3:12">
      <c r="C112" s="143"/>
      <c r="D112" s="158"/>
      <c r="E112" s="118"/>
      <c r="F112" s="97">
        <f t="shared" si="8"/>
        <v>0</v>
      </c>
      <c r="G112" s="161"/>
      <c r="H112" s="144"/>
      <c r="I112" s="130" t="e">
        <f>VLOOKUP(H112,Presupuesto!$B$11:$C$565,2,0)</f>
        <v>#N/A</v>
      </c>
      <c r="J112" s="98" t="str">
        <f t="shared" si="9"/>
        <v>Posgrado</v>
      </c>
      <c r="K112" s="98" t="s">
        <v>412</v>
      </c>
      <c r="L112" s="98"/>
    </row>
    <row r="113" spans="3:12">
      <c r="C113" s="145"/>
      <c r="D113" s="158"/>
      <c r="E113" s="118"/>
      <c r="F113" s="97">
        <f t="shared" si="8"/>
        <v>0</v>
      </c>
      <c r="G113" s="161"/>
      <c r="H113" s="146"/>
      <c r="I113" s="130" t="e">
        <f>VLOOKUP(H113,Presupuesto!$B$11:$C$565,2,0)</f>
        <v>#N/A</v>
      </c>
      <c r="J113" s="98" t="str">
        <f t="shared" si="9"/>
        <v>Posgrado</v>
      </c>
      <c r="K113" s="98" t="s">
        <v>403</v>
      </c>
      <c r="L113" s="98"/>
    </row>
    <row r="114" spans="3:12">
      <c r="C114" s="145"/>
      <c r="D114" s="158"/>
      <c r="E114" s="118"/>
      <c r="F114" s="97">
        <f t="shared" si="8"/>
        <v>0</v>
      </c>
      <c r="G114" s="161"/>
      <c r="H114" s="146"/>
      <c r="I114" s="130" t="e">
        <f>VLOOKUP(H114,Presupuesto!$B$11:$C$565,2,0)</f>
        <v>#N/A</v>
      </c>
      <c r="J114" s="98" t="str">
        <f t="shared" si="9"/>
        <v>Posgrado</v>
      </c>
      <c r="K114" s="98" t="s">
        <v>412</v>
      </c>
      <c r="L114" s="98"/>
    </row>
    <row r="115" spans="3:12">
      <c r="C115" s="145"/>
      <c r="D115" s="158"/>
      <c r="E115" s="118"/>
      <c r="F115" s="97">
        <f t="shared" si="8"/>
        <v>0</v>
      </c>
      <c r="G115" s="161"/>
      <c r="H115" s="146"/>
      <c r="I115" s="130" t="e">
        <f>VLOOKUP(H115,Presupuesto!$B$11:$C$565,2,0)</f>
        <v>#N/A</v>
      </c>
      <c r="J115" s="98" t="str">
        <f t="shared" si="9"/>
        <v>Posgrado</v>
      </c>
      <c r="K115" s="98" t="s">
        <v>412</v>
      </c>
      <c r="L115" s="98"/>
    </row>
    <row r="116" spans="3:12">
      <c r="C116" s="145"/>
      <c r="D116" s="158"/>
      <c r="E116" s="118"/>
      <c r="F116" s="97">
        <f t="shared" si="8"/>
        <v>0</v>
      </c>
      <c r="G116" s="161"/>
      <c r="H116" s="146"/>
      <c r="I116" s="130" t="e">
        <f>VLOOKUP(H116,Presupuesto!$B$11:$C$565,2,0)</f>
        <v>#N/A</v>
      </c>
      <c r="J116" s="98" t="str">
        <f t="shared" si="9"/>
        <v>Posgrado</v>
      </c>
      <c r="K116" s="98" t="s">
        <v>412</v>
      </c>
      <c r="L116" s="98"/>
    </row>
    <row r="117" spans="3:12" ht="15.75" thickBot="1">
      <c r="C117" s="147"/>
      <c r="D117" s="222"/>
      <c r="E117" s="103"/>
      <c r="F117" s="105">
        <f t="shared" si="8"/>
        <v>0</v>
      </c>
      <c r="G117" s="162"/>
      <c r="H117" s="148"/>
      <c r="I117" s="132" t="e">
        <f>VLOOKUP(H117,Presupuesto!$B$11:$C$565,2,0)</f>
        <v>#N/A</v>
      </c>
      <c r="J117" s="106" t="str">
        <f t="shared" si="9"/>
        <v>Posgrado</v>
      </c>
      <c r="K117" s="124" t="s">
        <v>394</v>
      </c>
      <c r="L117" s="106"/>
    </row>
  </sheetData>
  <dataValidations count="6">
    <dataValidation type="list" allowBlank="1" showInputMessage="1" showErrorMessage="1" errorTitle="¡Ingreso Inválido!" error="Seleccione una opción de la lista." promptTitle="Tipo de Presupuesto" prompt="Seleccione una opción de la lista." sqref="G97:G117 G17:G27 G37 G47:G67 G77 G87">
      <formula1>$R$2:$S$2</formula1>
    </dataValidation>
    <dataValidation type="list" allowBlank="1" showInputMessage="1" showErrorMessage="1" errorTitle="¡Ingreso Inválido!" error="Seleccione una opción de la lista" promptTitle="Mes Requerido" prompt="Seleccione el mes en el que requiere el recurso." sqref="K17:K27 K37 K47:K67 K77 K87 K97:K117">
      <formula1>$U$2:$AF$2</formula1>
    </dataValidation>
    <dataValidation type="list" allowBlank="1" showInputMessage="1" showErrorMessage="1" errorTitle="¡Ingreso Inválido!" error="Seleccione una opción de la lista." promptTitle="Proyecto" prompt="Seleccione una opción." sqref="L17:L27 L37 L47:L67 L77 L87 L97:L117">
      <formula1>$M$2:$O$2</formula1>
    </dataValidation>
    <dataValidation type="list" allowBlank="1" showInputMessage="1" showErrorMessage="1" errorTitle="¡Ingreso Inválido!" error="Verifique el valor ingresado." promptTitle="Ingrese el Objeto de Gasto" prompt="Ingrese el Objeto de Gasto" sqref="H97:H117 H17:H27 H37 H47:H67 H77 H87">
      <formula1>$A$1:$UI$1</formula1>
    </dataValidation>
    <dataValidation type="list" allowBlank="1" showInputMessage="1" showErrorMessage="1" errorTitle="¡Ingreso Inválido!" error="Seleccione una opción de la lista." promptTitle="Dimensión Estratégica" prompt="Seleccione una opción de la lista." sqref="J37 J18:J27 J98:J117 J48:J67 J77 J87">
      <formula1>$A$2:$P$2</formula1>
    </dataValidation>
    <dataValidation type="list" allowBlank="1" showInputMessage="1" showErrorMessage="1" errorTitle="¡Ingreso Inválido!" error="Seleccione una opción de la lista." promptTitle="Dimensión Estratégica" prompt="Seleccione una opción de la lista." sqref="J17 J97 J4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1456</v>
      </c>
      <c r="Q2" s="122" t="s">
        <v>1494</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5">
        <f>SUM(F17:F50)</f>
        <v>0</v>
      </c>
      <c r="G10" s="79"/>
      <c r="H10" s="70"/>
      <c r="I10" s="70"/>
    </row>
    <row r="11" spans="1:555">
      <c r="G11" s="79"/>
      <c r="H11" s="70"/>
      <c r="I11" s="70"/>
    </row>
    <row r="12" spans="1:555">
      <c r="F12" s="70"/>
      <c r="G12" s="79"/>
      <c r="H12" s="70"/>
      <c r="I12" s="70"/>
    </row>
    <row r="13" spans="1:555" ht="15.75">
      <c r="C13" s="299" t="s">
        <v>392</v>
      </c>
      <c r="D13" s="361"/>
      <c r="F13" s="70"/>
      <c r="G13" s="79"/>
      <c r="H13" s="70"/>
      <c r="I13" s="70"/>
    </row>
    <row r="14" spans="1:555" ht="18.75">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6"/>
      <c r="M15" s="227"/>
      <c r="N15" s="226"/>
      <c r="O15" s="226"/>
      <c r="P15" s="229" t="s">
        <v>469</v>
      </c>
      <c r="Q15" s="229" t="s">
        <v>470</v>
      </c>
    </row>
    <row r="16" spans="1:555" ht="30.75" thickBot="1">
      <c r="C16" s="129" t="s">
        <v>44</v>
      </c>
      <c r="D16" s="129" t="s">
        <v>55</v>
      </c>
      <c r="E16" s="136" t="s">
        <v>57</v>
      </c>
      <c r="F16" s="135" t="s">
        <v>27</v>
      </c>
      <c r="G16" s="133" t="s">
        <v>131</v>
      </c>
      <c r="H16" s="136" t="s">
        <v>46</v>
      </c>
      <c r="I16" s="133" t="s">
        <v>132</v>
      </c>
      <c r="J16" s="133" t="s">
        <v>410</v>
      </c>
      <c r="K16" s="133" t="s">
        <v>411</v>
      </c>
      <c r="L16" s="223" t="s">
        <v>21</v>
      </c>
      <c r="M16" s="223" t="s">
        <v>55</v>
      </c>
      <c r="N16" s="224" t="s">
        <v>467</v>
      </c>
      <c r="O16" s="225" t="s">
        <v>468</v>
      </c>
      <c r="P16" s="228">
        <v>0.7</v>
      </c>
      <c r="Q16" s="228">
        <v>0.3</v>
      </c>
    </row>
    <row r="17" spans="3:17">
      <c r="C17" s="141"/>
      <c r="D17" s="158"/>
      <c r="E17" s="123"/>
      <c r="F17" s="97">
        <f t="shared" ref="F17:F50" si="0">D17*E17</f>
        <v>0</v>
      </c>
      <c r="G17" s="161"/>
      <c r="H17" s="142"/>
      <c r="I17" s="130" t="e">
        <f>VLOOKUP(H17,Presupuesto!$B$11:$C$565,2,0)</f>
        <v>#N/A</v>
      </c>
      <c r="J17" s="218"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65">
        <f>SUM(F60:F93)</f>
        <v>0</v>
      </c>
      <c r="G53" s="79"/>
      <c r="H53" s="70"/>
      <c r="I53" s="70"/>
    </row>
    <row r="54" spans="3:17">
      <c r="G54" s="79"/>
      <c r="H54" s="70"/>
      <c r="I54" s="70"/>
    </row>
    <row r="55" spans="3:17">
      <c r="F55" s="70"/>
      <c r="G55" s="79"/>
      <c r="H55" s="70"/>
      <c r="I55" s="70"/>
    </row>
    <row r="56" spans="3:17" ht="15.75">
      <c r="C56" s="299" t="s">
        <v>392</v>
      </c>
      <c r="D56" s="361"/>
      <c r="F56" s="70"/>
      <c r="G56" s="79"/>
      <c r="H56" s="70"/>
      <c r="I56" s="70"/>
    </row>
    <row r="57" spans="3:17" ht="18.75">
      <c r="C57" s="210"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6"/>
      <c r="M58" s="227"/>
      <c r="N58" s="226"/>
      <c r="O58" s="226"/>
      <c r="P58" s="229" t="s">
        <v>469</v>
      </c>
      <c r="Q58" s="229" t="s">
        <v>470</v>
      </c>
    </row>
    <row r="59" spans="3:17" ht="30.75" thickBot="1">
      <c r="C59" s="129" t="s">
        <v>44</v>
      </c>
      <c r="D59" s="129" t="s">
        <v>55</v>
      </c>
      <c r="E59" s="136" t="s">
        <v>57</v>
      </c>
      <c r="F59" s="135" t="s">
        <v>27</v>
      </c>
      <c r="G59" s="133" t="s">
        <v>131</v>
      </c>
      <c r="H59" s="136" t="s">
        <v>46</v>
      </c>
      <c r="I59" s="133" t="s">
        <v>132</v>
      </c>
      <c r="J59" s="133" t="s">
        <v>410</v>
      </c>
      <c r="K59" s="133" t="s">
        <v>411</v>
      </c>
      <c r="L59" s="223" t="s">
        <v>21</v>
      </c>
      <c r="M59" s="223" t="s">
        <v>55</v>
      </c>
      <c r="N59" s="224" t="s">
        <v>467</v>
      </c>
      <c r="O59" s="225" t="s">
        <v>468</v>
      </c>
      <c r="P59" s="228">
        <v>0.7</v>
      </c>
      <c r="Q59" s="228">
        <v>0.3</v>
      </c>
    </row>
    <row r="60" spans="3:17">
      <c r="C60" s="141"/>
      <c r="D60" s="158"/>
      <c r="E60" s="123"/>
      <c r="F60" s="97">
        <f t="shared" ref="F60:F93" si="5">D60*E60</f>
        <v>0</v>
      </c>
      <c r="G60" s="161"/>
      <c r="H60" s="142"/>
      <c r="I60" s="130" t="e">
        <f>VLOOKUP(H60,Presupuesto!$B$11:$C$565,2,0)</f>
        <v>#N/A</v>
      </c>
      <c r="J60" s="218"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65">
        <f>SUM(F103:F136)</f>
        <v>0</v>
      </c>
      <c r="G96" s="79"/>
      <c r="H96" s="70"/>
      <c r="I96" s="70"/>
    </row>
    <row r="97" spans="3:17">
      <c r="G97" s="79"/>
      <c r="H97" s="70"/>
      <c r="I97" s="70"/>
    </row>
    <row r="98" spans="3:17">
      <c r="F98" s="70"/>
      <c r="G98" s="79"/>
      <c r="H98" s="70"/>
      <c r="I98" s="70"/>
    </row>
    <row r="99" spans="3:17" ht="15.75">
      <c r="C99" s="299" t="s">
        <v>392</v>
      </c>
      <c r="D99" s="361"/>
      <c r="F99" s="70"/>
      <c r="G99" s="79"/>
      <c r="H99" s="70"/>
      <c r="I99" s="70"/>
    </row>
    <row r="100" spans="3:17" ht="18.75">
      <c r="C100" s="21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6"/>
      <c r="M101" s="227"/>
      <c r="N101" s="226"/>
      <c r="O101" s="226"/>
      <c r="P101" s="229" t="s">
        <v>469</v>
      </c>
      <c r="Q101" s="229" t="s">
        <v>470</v>
      </c>
    </row>
    <row r="102" spans="3:17" ht="30.75" thickBot="1">
      <c r="C102" s="129" t="s">
        <v>44</v>
      </c>
      <c r="D102" s="129" t="s">
        <v>55</v>
      </c>
      <c r="E102" s="136" t="s">
        <v>57</v>
      </c>
      <c r="F102" s="135" t="s">
        <v>27</v>
      </c>
      <c r="G102" s="133" t="s">
        <v>131</v>
      </c>
      <c r="H102" s="136" t="s">
        <v>46</v>
      </c>
      <c r="I102" s="133" t="s">
        <v>132</v>
      </c>
      <c r="J102" s="133" t="s">
        <v>410</v>
      </c>
      <c r="K102" s="133" t="s">
        <v>411</v>
      </c>
      <c r="L102" s="223" t="s">
        <v>21</v>
      </c>
      <c r="M102" s="223" t="s">
        <v>55</v>
      </c>
      <c r="N102" s="224" t="s">
        <v>467</v>
      </c>
      <c r="O102" s="225" t="s">
        <v>468</v>
      </c>
      <c r="P102" s="228">
        <v>0.7</v>
      </c>
      <c r="Q102" s="228">
        <v>0.3</v>
      </c>
    </row>
    <row r="103" spans="3:17">
      <c r="C103" s="141"/>
      <c r="D103" s="158"/>
      <c r="E103" s="123"/>
      <c r="F103" s="97">
        <f t="shared" ref="F103:F136" si="10">D103*E103</f>
        <v>0</v>
      </c>
      <c r="G103" s="161"/>
      <c r="H103" s="142"/>
      <c r="I103" s="130" t="e">
        <f>VLOOKUP(H103,Presupuesto!$B$11:$C$565,2,0)</f>
        <v>#N/A</v>
      </c>
      <c r="J103" s="218"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65">
        <f>SUM(F146:F179)</f>
        <v>0</v>
      </c>
      <c r="G139" s="79"/>
      <c r="H139" s="70"/>
      <c r="I139" s="70"/>
    </row>
    <row r="140" spans="3:17">
      <c r="G140" s="79"/>
      <c r="H140" s="70"/>
      <c r="I140" s="70"/>
    </row>
    <row r="141" spans="3:17">
      <c r="F141" s="70"/>
      <c r="G141" s="79"/>
      <c r="H141" s="70"/>
      <c r="I141" s="70"/>
    </row>
    <row r="142" spans="3:17" ht="15.75">
      <c r="C142" s="299" t="s">
        <v>392</v>
      </c>
      <c r="D142" s="361"/>
      <c r="F142" s="70"/>
      <c r="G142" s="79"/>
      <c r="H142" s="70"/>
      <c r="I142" s="70"/>
    </row>
    <row r="143" spans="3:17" ht="18.75">
      <c r="C143" s="210"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6"/>
      <c r="M144" s="227"/>
      <c r="N144" s="226"/>
      <c r="O144" s="226"/>
      <c r="P144" s="229" t="s">
        <v>469</v>
      </c>
      <c r="Q144" s="229" t="s">
        <v>470</v>
      </c>
    </row>
    <row r="145" spans="3:17" ht="30.75" thickBot="1">
      <c r="C145" s="129" t="s">
        <v>44</v>
      </c>
      <c r="D145" s="129" t="s">
        <v>55</v>
      </c>
      <c r="E145" s="136" t="s">
        <v>57</v>
      </c>
      <c r="F145" s="135" t="s">
        <v>27</v>
      </c>
      <c r="G145" s="133" t="s">
        <v>131</v>
      </c>
      <c r="H145" s="136" t="s">
        <v>46</v>
      </c>
      <c r="I145" s="133" t="s">
        <v>132</v>
      </c>
      <c r="J145" s="133" t="s">
        <v>410</v>
      </c>
      <c r="K145" s="133" t="s">
        <v>411</v>
      </c>
      <c r="L145" s="223" t="s">
        <v>21</v>
      </c>
      <c r="M145" s="223" t="s">
        <v>55</v>
      </c>
      <c r="N145" s="224" t="s">
        <v>467</v>
      </c>
      <c r="O145" s="225" t="s">
        <v>468</v>
      </c>
      <c r="P145" s="228">
        <v>0.7</v>
      </c>
      <c r="Q145" s="228">
        <v>0.3</v>
      </c>
    </row>
    <row r="146" spans="3:17">
      <c r="C146" s="141"/>
      <c r="D146" s="158"/>
      <c r="E146" s="123"/>
      <c r="F146" s="97">
        <f t="shared" ref="F146:F179" si="15">D146*E146</f>
        <v>0</v>
      </c>
      <c r="G146" s="161"/>
      <c r="H146" s="142"/>
      <c r="I146" s="130" t="e">
        <f>VLOOKUP(H146,Presupuesto!$B$11:$C$565,2,0)</f>
        <v>#N/A</v>
      </c>
      <c r="J146" s="218"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80"/>
  <sheetViews>
    <sheetView zoomScale="40" zoomScaleNormal="40" workbookViewId="0">
      <pane ySplit="7" topLeftCell="A8" activePane="bottomLeft" state="frozen"/>
      <selection activeCell="M8" sqref="M8"/>
      <selection pane="bottomLeft" activeCell="D15" sqref="D15:D16"/>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2" style="86" bestFit="1" customWidth="1"/>
    <col min="17" max="17" width="16.28515625" style="86" bestFit="1" customWidth="1"/>
    <col min="18" max="18" width="32.42578125" style="86" customWidth="1"/>
    <col min="19" max="20" width="14.140625" style="86" customWidth="1"/>
    <col min="21" max="21" width="17" style="86" customWidth="1"/>
    <col min="22" max="16384" width="11.5703125" style="86"/>
  </cols>
  <sheetData>
    <row r="1" spans="1:21" ht="18" customHeight="1">
      <c r="B1" s="207"/>
      <c r="C1" s="207"/>
      <c r="D1" s="207"/>
      <c r="E1" s="240"/>
      <c r="G1" s="208" t="s">
        <v>1343</v>
      </c>
      <c r="H1" s="207"/>
      <c r="I1" s="207"/>
      <c r="J1" s="207"/>
      <c r="K1" s="207"/>
      <c r="L1" s="207"/>
      <c r="M1" s="207"/>
      <c r="N1" s="207"/>
      <c r="O1" s="207"/>
      <c r="P1" s="207"/>
      <c r="Q1" s="207"/>
      <c r="R1" s="207"/>
      <c r="S1" s="207"/>
      <c r="T1" s="207"/>
      <c r="U1" s="207"/>
    </row>
    <row r="2" spans="1:21" ht="18" customHeight="1">
      <c r="A2" s="306" t="s">
        <v>1342</v>
      </c>
      <c r="B2" s="207"/>
      <c r="C2" s="207"/>
      <c r="D2" s="207"/>
      <c r="E2" s="240"/>
      <c r="G2" s="208"/>
      <c r="H2" s="207"/>
      <c r="I2" s="207"/>
      <c r="J2" s="207"/>
      <c r="K2" s="207"/>
      <c r="L2" s="207"/>
      <c r="M2" s="207"/>
      <c r="N2" s="207"/>
      <c r="O2" s="207"/>
      <c r="P2" s="207"/>
      <c r="Q2" s="207"/>
      <c r="R2" s="207"/>
      <c r="S2" s="207"/>
      <c r="T2" s="207"/>
      <c r="U2" s="207"/>
    </row>
    <row r="3" spans="1:21" ht="18" customHeight="1">
      <c r="A3" s="306" t="s">
        <v>1344</v>
      </c>
      <c r="B3" s="207"/>
      <c r="C3" s="207"/>
      <c r="D3" s="207"/>
      <c r="E3" s="240"/>
      <c r="G3" s="208"/>
      <c r="H3" s="207"/>
      <c r="I3" s="207"/>
      <c r="J3" s="207"/>
      <c r="K3" s="207"/>
      <c r="L3" s="207"/>
      <c r="M3" s="207"/>
      <c r="N3" s="207"/>
      <c r="O3" s="207"/>
      <c r="P3" s="207"/>
      <c r="Q3" s="207"/>
      <c r="R3" s="207"/>
      <c r="S3" s="207"/>
      <c r="T3" s="207"/>
      <c r="U3" s="207"/>
    </row>
    <row r="4" spans="1:21" ht="18" customHeight="1">
      <c r="A4" s="306" t="s">
        <v>1373</v>
      </c>
      <c r="B4" s="207"/>
      <c r="C4" s="207"/>
      <c r="D4" s="207"/>
      <c r="E4" s="240"/>
      <c r="G4" s="208"/>
      <c r="H4" s="207"/>
      <c r="I4" s="207"/>
      <c r="J4" s="207"/>
      <c r="K4" s="207"/>
      <c r="L4" s="207"/>
      <c r="M4" s="207"/>
      <c r="N4" s="207"/>
      <c r="O4" s="207"/>
      <c r="P4" s="207"/>
      <c r="Q4" s="207"/>
      <c r="R4" s="207"/>
      <c r="S4" s="207"/>
      <c r="T4" s="207"/>
      <c r="U4" s="207"/>
    </row>
    <row r="5" spans="1:21" ht="14.45" customHeight="1">
      <c r="A5" s="732" t="s">
        <v>97</v>
      </c>
      <c r="B5" s="731" t="s">
        <v>111</v>
      </c>
      <c r="C5" s="734" t="s">
        <v>86</v>
      </c>
      <c r="D5" s="734" t="s">
        <v>87</v>
      </c>
      <c r="E5" s="734" t="s">
        <v>392</v>
      </c>
      <c r="F5" s="734" t="s">
        <v>88</v>
      </c>
      <c r="G5" s="737" t="s">
        <v>100</v>
      </c>
      <c r="H5" s="743"/>
      <c r="I5" s="743"/>
      <c r="J5" s="743"/>
      <c r="K5" s="743"/>
      <c r="L5" s="743"/>
      <c r="M5" s="743"/>
      <c r="N5" s="738"/>
      <c r="O5" s="739" t="s">
        <v>101</v>
      </c>
      <c r="P5" s="740"/>
      <c r="Q5" s="731" t="s">
        <v>102</v>
      </c>
      <c r="R5" s="731" t="s">
        <v>103</v>
      </c>
      <c r="S5" s="731" t="s">
        <v>110</v>
      </c>
      <c r="T5" s="731" t="s">
        <v>109</v>
      </c>
      <c r="U5" s="728" t="s">
        <v>89</v>
      </c>
    </row>
    <row r="6" spans="1:21" ht="14.45" customHeight="1">
      <c r="A6" s="732"/>
      <c r="B6" s="732"/>
      <c r="C6" s="735"/>
      <c r="D6" s="735"/>
      <c r="E6" s="735"/>
      <c r="F6" s="735"/>
      <c r="G6" s="737" t="s">
        <v>104</v>
      </c>
      <c r="H6" s="738"/>
      <c r="I6" s="737" t="s">
        <v>105</v>
      </c>
      <c r="J6" s="738"/>
      <c r="K6" s="737" t="s">
        <v>106</v>
      </c>
      <c r="L6" s="738"/>
      <c r="M6" s="737" t="s">
        <v>107</v>
      </c>
      <c r="N6" s="738"/>
      <c r="O6" s="741"/>
      <c r="P6" s="742"/>
      <c r="Q6" s="732"/>
      <c r="R6" s="732"/>
      <c r="S6" s="732"/>
      <c r="T6" s="732"/>
      <c r="U6" s="729"/>
    </row>
    <row r="7" spans="1:21" ht="25.5">
      <c r="A7" s="733"/>
      <c r="B7" s="733"/>
      <c r="C7" s="736"/>
      <c r="D7" s="736"/>
      <c r="E7" s="736"/>
      <c r="F7" s="736"/>
      <c r="G7" s="433" t="s">
        <v>108</v>
      </c>
      <c r="H7" s="433" t="s">
        <v>12</v>
      </c>
      <c r="I7" s="433" t="s">
        <v>108</v>
      </c>
      <c r="J7" s="433" t="s">
        <v>12</v>
      </c>
      <c r="K7" s="433" t="s">
        <v>108</v>
      </c>
      <c r="L7" s="433" t="s">
        <v>12</v>
      </c>
      <c r="M7" s="433" t="s">
        <v>108</v>
      </c>
      <c r="N7" s="433" t="s">
        <v>12</v>
      </c>
      <c r="O7" s="433" t="s">
        <v>108</v>
      </c>
      <c r="P7" s="433" t="s">
        <v>12</v>
      </c>
      <c r="Q7" s="733"/>
      <c r="R7" s="733"/>
      <c r="S7" s="733"/>
      <c r="T7" s="733"/>
      <c r="U7" s="730"/>
    </row>
    <row r="8" spans="1:21" ht="15.75">
      <c r="A8" s="434"/>
      <c r="B8" s="435"/>
      <c r="C8" s="436"/>
      <c r="D8" s="436"/>
      <c r="E8" s="437"/>
      <c r="F8" s="436"/>
      <c r="G8" s="438"/>
      <c r="H8" s="438"/>
      <c r="I8" s="438"/>
      <c r="J8" s="438"/>
      <c r="K8" s="438"/>
      <c r="L8" s="438"/>
      <c r="M8" s="438"/>
      <c r="N8" s="438"/>
      <c r="O8" s="438"/>
      <c r="P8" s="438"/>
      <c r="Q8" s="439"/>
      <c r="R8" s="439"/>
      <c r="S8" s="439"/>
      <c r="T8" s="439"/>
      <c r="U8" s="440"/>
    </row>
    <row r="9" spans="1:21" ht="90" customHeight="1">
      <c r="A9" s="749" t="s">
        <v>1374</v>
      </c>
      <c r="B9" s="795" t="s">
        <v>1375</v>
      </c>
      <c r="C9" s="797" t="s">
        <v>1507</v>
      </c>
      <c r="D9" s="491" t="s">
        <v>1506</v>
      </c>
      <c r="E9" s="71" t="s">
        <v>1529</v>
      </c>
      <c r="F9" s="493" t="s">
        <v>1530</v>
      </c>
      <c r="G9" s="203">
        <v>0.66666999999999998</v>
      </c>
      <c r="H9" s="204">
        <f>+G9*'5. ACTIVIDADES ESPECIALES'!D10</f>
        <v>10200.050999999999</v>
      </c>
      <c r="I9" s="203">
        <v>0.33333000000000002</v>
      </c>
      <c r="J9" s="204">
        <f>+I9*'5. ACTIVIDADES ESPECIALES'!D10</f>
        <v>5099.9490000000005</v>
      </c>
      <c r="K9" s="203"/>
      <c r="L9" s="204"/>
      <c r="M9" s="203"/>
      <c r="N9" s="204"/>
      <c r="O9" s="371">
        <f t="shared" ref="O9:P14" si="0">G9+I9+K9+M9</f>
        <v>1</v>
      </c>
      <c r="P9" s="371">
        <f t="shared" si="0"/>
        <v>15300</v>
      </c>
      <c r="Q9" s="71" t="s">
        <v>1714</v>
      </c>
      <c r="R9" s="492" t="s">
        <v>1531</v>
      </c>
      <c r="S9" s="71" t="s">
        <v>1532</v>
      </c>
      <c r="T9" s="71" t="s">
        <v>1533</v>
      </c>
      <c r="U9" s="71" t="s">
        <v>1534</v>
      </c>
    </row>
    <row r="10" spans="1:21" ht="111" thickBot="1">
      <c r="A10" s="750"/>
      <c r="B10" s="747"/>
      <c r="C10" s="796"/>
      <c r="D10" s="821"/>
      <c r="E10" s="71" t="s">
        <v>1535</v>
      </c>
      <c r="F10" s="493" t="s">
        <v>1536</v>
      </c>
      <c r="G10" s="203"/>
      <c r="H10" s="204"/>
      <c r="I10" s="203">
        <v>1</v>
      </c>
      <c r="J10" s="204">
        <f>+'5. ACTIVIDADES ESPECIALES'!D21*'1. Desarrollo e Innov. Curricu.'!I10</f>
        <v>7200</v>
      </c>
      <c r="K10" s="203"/>
      <c r="L10" s="204"/>
      <c r="M10" s="203"/>
      <c r="N10" s="204"/>
      <c r="O10" s="371">
        <f t="shared" si="0"/>
        <v>1</v>
      </c>
      <c r="P10" s="371">
        <f t="shared" si="0"/>
        <v>7200</v>
      </c>
      <c r="Q10" s="71" t="s">
        <v>1894</v>
      </c>
      <c r="R10" s="492" t="s">
        <v>1537</v>
      </c>
      <c r="S10" s="71" t="s">
        <v>1713</v>
      </c>
      <c r="T10" s="71" t="s">
        <v>1533</v>
      </c>
      <c r="U10" s="71" t="s">
        <v>1538</v>
      </c>
    </row>
    <row r="11" spans="1:21" ht="94.5">
      <c r="A11" s="750"/>
      <c r="B11" s="747"/>
      <c r="C11" s="796"/>
      <c r="D11" s="821"/>
      <c r="E11" s="71" t="s">
        <v>1711</v>
      </c>
      <c r="F11" s="493" t="s">
        <v>1710</v>
      </c>
      <c r="G11" s="203">
        <v>1</v>
      </c>
      <c r="H11" s="204">
        <f>+'5. ACTIVIDADES ESPECIALES'!D109</f>
        <v>7200</v>
      </c>
      <c r="I11" s="203"/>
      <c r="J11" s="204"/>
      <c r="K11" s="203"/>
      <c r="L11" s="204"/>
      <c r="M11" s="203"/>
      <c r="N11" s="204"/>
      <c r="O11" s="371">
        <f t="shared" si="0"/>
        <v>1</v>
      </c>
      <c r="P11" s="371">
        <f t="shared" si="0"/>
        <v>7200</v>
      </c>
      <c r="Q11" s="71" t="s">
        <v>1894</v>
      </c>
      <c r="R11" s="519" t="s">
        <v>1712</v>
      </c>
      <c r="S11" s="71" t="s">
        <v>1713</v>
      </c>
      <c r="T11" s="71" t="s">
        <v>1533</v>
      </c>
      <c r="U11" s="71" t="s">
        <v>1892</v>
      </c>
    </row>
    <row r="12" spans="1:21" ht="79.5" thickBot="1">
      <c r="A12" s="750"/>
      <c r="B12" s="747"/>
      <c r="C12" s="796"/>
      <c r="D12" s="821"/>
      <c r="E12" s="71" t="s">
        <v>1888</v>
      </c>
      <c r="F12" s="493" t="s">
        <v>1886</v>
      </c>
      <c r="G12" s="203">
        <v>1</v>
      </c>
      <c r="H12" s="204">
        <f>+'5. ACTIVIDADES ESPECIALES'!D252</f>
        <v>7200</v>
      </c>
      <c r="I12" s="203"/>
      <c r="J12" s="204"/>
      <c r="K12" s="203"/>
      <c r="L12" s="204"/>
      <c r="M12" s="203"/>
      <c r="N12" s="204"/>
      <c r="O12" s="371">
        <f t="shared" si="0"/>
        <v>1</v>
      </c>
      <c r="P12" s="371">
        <f t="shared" si="0"/>
        <v>7200</v>
      </c>
      <c r="Q12" s="71" t="s">
        <v>1714</v>
      </c>
      <c r="R12" s="541" t="s">
        <v>1890</v>
      </c>
      <c r="S12" s="71" t="s">
        <v>1532</v>
      </c>
      <c r="T12" s="71" t="s">
        <v>1533</v>
      </c>
      <c r="U12" s="71" t="s">
        <v>1891</v>
      </c>
    </row>
    <row r="13" spans="1:21" ht="94.5">
      <c r="A13" s="750"/>
      <c r="B13" s="747"/>
      <c r="C13" s="796"/>
      <c r="D13" s="821"/>
      <c r="E13" s="71" t="s">
        <v>1889</v>
      </c>
      <c r="F13" s="493" t="s">
        <v>1887</v>
      </c>
      <c r="G13" s="203"/>
      <c r="H13" s="204"/>
      <c r="I13" s="203">
        <v>1</v>
      </c>
      <c r="J13" s="204"/>
      <c r="K13" s="203"/>
      <c r="L13" s="204"/>
      <c r="M13" s="203"/>
      <c r="N13" s="204"/>
      <c r="O13" s="371">
        <f t="shared" si="0"/>
        <v>1</v>
      </c>
      <c r="P13" s="371">
        <f t="shared" si="0"/>
        <v>0</v>
      </c>
      <c r="Q13" s="71" t="s">
        <v>1894</v>
      </c>
      <c r="R13" s="519" t="s">
        <v>1712</v>
      </c>
      <c r="S13" s="71" t="s">
        <v>1713</v>
      </c>
      <c r="T13" s="71" t="s">
        <v>1533</v>
      </c>
      <c r="U13" s="71" t="s">
        <v>1893</v>
      </c>
    </row>
    <row r="14" spans="1:21" ht="94.5">
      <c r="A14" s="751"/>
      <c r="B14" s="747"/>
      <c r="C14" s="798"/>
      <c r="D14" s="319" t="s">
        <v>2063</v>
      </c>
      <c r="E14" s="71" t="s">
        <v>2058</v>
      </c>
      <c r="F14" s="489" t="s">
        <v>2057</v>
      </c>
      <c r="G14" s="203"/>
      <c r="H14" s="204"/>
      <c r="I14" s="203"/>
      <c r="J14" s="204"/>
      <c r="K14" s="203"/>
      <c r="L14" s="204"/>
      <c r="M14" s="203">
        <v>1</v>
      </c>
      <c r="N14" s="204">
        <f>+'5. ACTIVIDADES ESPECIALES'!D341</f>
        <v>22000</v>
      </c>
      <c r="O14" s="371">
        <f t="shared" si="0"/>
        <v>1</v>
      </c>
      <c r="P14" s="371">
        <f t="shared" si="0"/>
        <v>22000</v>
      </c>
      <c r="Q14" s="71" t="s">
        <v>1894</v>
      </c>
      <c r="R14" s="593" t="s">
        <v>2059</v>
      </c>
      <c r="S14" s="71" t="s">
        <v>2062</v>
      </c>
      <c r="T14" s="71" t="s">
        <v>2060</v>
      </c>
      <c r="U14" s="71" t="s">
        <v>2061</v>
      </c>
    </row>
    <row r="15" spans="1:21" ht="94.5">
      <c r="A15" s="785" t="s">
        <v>1376</v>
      </c>
      <c r="B15" s="785" t="s">
        <v>1375</v>
      </c>
      <c r="C15" s="799" t="s">
        <v>1679</v>
      </c>
      <c r="D15" s="801" t="s">
        <v>1680</v>
      </c>
      <c r="E15" s="71" t="s">
        <v>1681</v>
      </c>
      <c r="F15" s="512" t="s">
        <v>1682</v>
      </c>
      <c r="G15" s="71"/>
      <c r="H15" s="339"/>
      <c r="I15" s="203">
        <v>0.25</v>
      </c>
      <c r="J15" s="71"/>
      <c r="K15" s="203">
        <v>0.75</v>
      </c>
      <c r="L15" s="339"/>
      <c r="M15" s="71"/>
      <c r="N15" s="71"/>
      <c r="O15" s="371">
        <f t="shared" ref="O15:O16" si="1">G15+I15+K15+M15</f>
        <v>1</v>
      </c>
      <c r="P15" s="371">
        <f t="shared" ref="P15:P16" si="2">H15+J15+L15+N15</f>
        <v>0</v>
      </c>
      <c r="Q15" s="248" t="s">
        <v>1683</v>
      </c>
      <c r="R15" s="248" t="s">
        <v>1683</v>
      </c>
      <c r="S15" s="248" t="s">
        <v>1684</v>
      </c>
      <c r="T15" s="248" t="s">
        <v>1685</v>
      </c>
      <c r="U15" s="248" t="s">
        <v>1686</v>
      </c>
    </row>
    <row r="16" spans="1:21" ht="126.75" customHeight="1">
      <c r="A16" s="746"/>
      <c r="B16" s="746"/>
      <c r="C16" s="800"/>
      <c r="D16" s="802"/>
      <c r="E16" s="71" t="s">
        <v>1786</v>
      </c>
      <c r="F16" s="500" t="s">
        <v>1785</v>
      </c>
      <c r="G16" s="203">
        <v>0.33</v>
      </c>
      <c r="H16" s="339"/>
      <c r="I16" s="203">
        <v>0.33</v>
      </c>
      <c r="J16" s="71"/>
      <c r="K16" s="203">
        <v>0.34</v>
      </c>
      <c r="L16" s="339"/>
      <c r="M16" s="71"/>
      <c r="N16" s="71"/>
      <c r="O16" s="371">
        <f t="shared" si="1"/>
        <v>1</v>
      </c>
      <c r="P16" s="371">
        <f t="shared" si="2"/>
        <v>0</v>
      </c>
      <c r="Q16" s="71" t="s">
        <v>1790</v>
      </c>
      <c r="R16" s="516" t="s">
        <v>1787</v>
      </c>
      <c r="S16" s="71" t="s">
        <v>1788</v>
      </c>
      <c r="T16" s="71" t="s">
        <v>1763</v>
      </c>
      <c r="U16" s="71" t="s">
        <v>1789</v>
      </c>
    </row>
    <row r="17" spans="1:21" ht="15.6" customHeight="1">
      <c r="A17" s="292"/>
      <c r="B17" s="293"/>
      <c r="C17" s="292" t="s">
        <v>1351</v>
      </c>
      <c r="D17" s="293"/>
      <c r="E17" s="293"/>
      <c r="F17" s="294"/>
      <c r="G17" s="231">
        <f>SUM(G9:G16)</f>
        <v>2.9966699999999999</v>
      </c>
      <c r="H17" s="231">
        <f>SUM(H9:H16)</f>
        <v>24600.050999999999</v>
      </c>
      <c r="I17" s="231">
        <f>SUM(I9:I16)</f>
        <v>2.9133300000000002</v>
      </c>
      <c r="J17" s="231">
        <f>SUM(J9:J16)</f>
        <v>12299.949000000001</v>
      </c>
      <c r="K17" s="231">
        <f>SUM(K9:K16)</f>
        <v>1.0900000000000001</v>
      </c>
      <c r="L17" s="231">
        <f>SUM(L9:L16)</f>
        <v>0</v>
      </c>
      <c r="M17" s="231">
        <f>SUM(M9:M16)</f>
        <v>1</v>
      </c>
      <c r="N17" s="231">
        <f>SUM(N9:N16)</f>
        <v>22000</v>
      </c>
      <c r="O17" s="231">
        <f>SUM(O9:O16)</f>
        <v>8</v>
      </c>
      <c r="P17" s="231">
        <f>SUM(P9:P16)</f>
        <v>58900</v>
      </c>
      <c r="Q17" s="206"/>
      <c r="R17" s="206"/>
      <c r="S17" s="206"/>
      <c r="T17" s="206"/>
      <c r="U17" s="209"/>
    </row>
    <row r="18" spans="1:21">
      <c r="E18" s="86"/>
    </row>
    <row r="19" spans="1:21">
      <c r="E19" s="86"/>
    </row>
    <row r="20" spans="1:21">
      <c r="E20" s="86"/>
    </row>
    <row r="21" spans="1:21">
      <c r="E21" s="86"/>
    </row>
    <row r="22" spans="1:21">
      <c r="E22" s="86"/>
    </row>
    <row r="23" spans="1:21">
      <c r="E23" s="86"/>
    </row>
    <row r="24" spans="1:21">
      <c r="E24" s="86"/>
    </row>
    <row r="25" spans="1:21">
      <c r="E25" s="86"/>
    </row>
    <row r="26" spans="1:21">
      <c r="E26" s="86"/>
    </row>
    <row r="27" spans="1:21">
      <c r="E27" s="86"/>
    </row>
    <row r="28" spans="1:21">
      <c r="E28" s="86"/>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sheetData>
  <mergeCells count="24">
    <mergeCell ref="D15:D16"/>
    <mergeCell ref="C9:C14"/>
    <mergeCell ref="A9:A14"/>
    <mergeCell ref="B15:B16"/>
    <mergeCell ref="A15:A16"/>
    <mergeCell ref="C15:C16"/>
    <mergeCell ref="A5:A7"/>
    <mergeCell ref="B5:B7"/>
    <mergeCell ref="B9:B14"/>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10:E16">
    <cfRule type="duplicateValues" dxfId="0" priority="5"/>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46"/>
  <sheetViews>
    <sheetView showGridLines="0" zoomScale="40" zoomScaleNormal="40" workbookViewId="0">
      <pane ySplit="6" topLeftCell="A9" activePane="bottomLeft" state="frozen"/>
      <selection sqref="A1:V1"/>
      <selection pane="bottomLeft" activeCell="K14" sqref="K14"/>
    </sheetView>
  </sheetViews>
  <sheetFormatPr baseColWidth="10" defaultColWidth="12.5703125" defaultRowHeight="12"/>
  <cols>
    <col min="1" max="1" width="35.140625" style="258" customWidth="1"/>
    <col min="2" max="2" width="48.140625" style="251" customWidth="1"/>
    <col min="3" max="3" width="32.42578125" style="251" customWidth="1"/>
    <col min="4" max="4" width="32.7109375" style="251" customWidth="1"/>
    <col min="5" max="5" width="27.42578125" style="259" customWidth="1"/>
    <col min="6" max="6" width="36.42578125" style="251" customWidth="1"/>
    <col min="7" max="7" width="15.28515625" style="251" customWidth="1"/>
    <col min="8" max="8" width="15.85546875" style="251" customWidth="1"/>
    <col min="9" max="9" width="15.28515625" style="251" customWidth="1"/>
    <col min="10" max="10" width="15.42578125" style="251" customWidth="1"/>
    <col min="11" max="11" width="15.28515625" style="251" customWidth="1"/>
    <col min="12" max="12" width="14.85546875" style="251" customWidth="1"/>
    <col min="13" max="13" width="15.28515625" style="251" customWidth="1"/>
    <col min="14" max="14" width="17.5703125" style="251" customWidth="1"/>
    <col min="15" max="15" width="15.28515625" style="378" customWidth="1"/>
    <col min="16" max="16" width="16.28515625" style="378" bestFit="1" customWidth="1"/>
    <col min="17" max="17" width="12" style="251" bestFit="1" customWidth="1"/>
    <col min="18" max="20" width="14.28515625" style="251" customWidth="1"/>
    <col min="21" max="21" width="15.7109375" style="251" customWidth="1"/>
    <col min="22" max="16384" width="12.5703125" style="251"/>
  </cols>
  <sheetData>
    <row r="1" spans="1:21" s="244" customFormat="1" ht="18.75">
      <c r="B1" s="286"/>
      <c r="C1" s="286"/>
      <c r="D1" s="286"/>
      <c r="E1" s="286"/>
      <c r="F1" s="286"/>
      <c r="G1" s="286" t="s">
        <v>1380</v>
      </c>
      <c r="H1" s="286"/>
      <c r="I1" s="286"/>
      <c r="J1" s="286"/>
      <c r="K1" s="286"/>
      <c r="L1" s="286"/>
      <c r="M1" s="286"/>
      <c r="N1" s="286"/>
      <c r="O1" s="372"/>
      <c r="P1" s="372"/>
      <c r="Q1" s="286"/>
      <c r="R1" s="286"/>
      <c r="S1" s="286"/>
      <c r="T1" s="286"/>
      <c r="U1" s="286"/>
    </row>
    <row r="2" spans="1:21" s="244" customFormat="1" ht="18.75">
      <c r="A2" s="307" t="s">
        <v>1342</v>
      </c>
      <c r="B2" s="286"/>
      <c r="C2" s="286"/>
      <c r="D2" s="286"/>
      <c r="E2" s="286"/>
      <c r="F2" s="286"/>
      <c r="G2" s="286"/>
      <c r="H2" s="286"/>
      <c r="I2" s="286"/>
      <c r="J2" s="286"/>
      <c r="K2" s="286"/>
      <c r="L2" s="286"/>
      <c r="M2" s="286"/>
      <c r="N2" s="286"/>
      <c r="O2" s="372"/>
      <c r="P2" s="372"/>
      <c r="Q2" s="286"/>
      <c r="R2" s="286"/>
      <c r="S2" s="286"/>
      <c r="T2" s="286"/>
      <c r="U2" s="286"/>
    </row>
    <row r="3" spans="1:21" s="244" customFormat="1" ht="21" customHeight="1">
      <c r="A3" s="245" t="s">
        <v>1377</v>
      </c>
      <c r="B3" s="246"/>
      <c r="C3" s="246"/>
      <c r="D3" s="246"/>
      <c r="E3" s="247"/>
      <c r="F3" s="246"/>
      <c r="G3" s="246"/>
      <c r="H3" s="246"/>
      <c r="I3" s="246"/>
      <c r="J3" s="246"/>
      <c r="K3" s="246"/>
      <c r="L3" s="246"/>
      <c r="M3" s="246"/>
      <c r="N3" s="246"/>
      <c r="O3" s="373"/>
      <c r="P3" s="373"/>
      <c r="Q3" s="246"/>
      <c r="R3" s="246"/>
      <c r="S3" s="246"/>
      <c r="T3" s="246"/>
      <c r="U3" s="246"/>
    </row>
    <row r="4" spans="1:21" s="67" customFormat="1" ht="23.2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s="67" customFormat="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s="67" customFormat="1" ht="24" customHeight="1">
      <c r="A6" s="733"/>
      <c r="B6" s="733"/>
      <c r="C6" s="736"/>
      <c r="D6" s="736"/>
      <c r="E6" s="736"/>
      <c r="F6" s="736"/>
      <c r="G6" s="433" t="s">
        <v>108</v>
      </c>
      <c r="H6" s="433" t="s">
        <v>12</v>
      </c>
      <c r="I6" s="433" t="s">
        <v>108</v>
      </c>
      <c r="J6" s="433" t="s">
        <v>12</v>
      </c>
      <c r="K6" s="433" t="s">
        <v>108</v>
      </c>
      <c r="L6" s="433" t="s">
        <v>12</v>
      </c>
      <c r="M6" s="433" t="s">
        <v>108</v>
      </c>
      <c r="N6" s="433" t="s">
        <v>12</v>
      </c>
      <c r="O6" s="433" t="s">
        <v>108</v>
      </c>
      <c r="P6" s="433" t="s">
        <v>12</v>
      </c>
      <c r="Q6" s="733"/>
      <c r="R6" s="733"/>
      <c r="S6" s="733"/>
      <c r="T6" s="733"/>
      <c r="U6" s="730"/>
    </row>
    <row r="7" spans="1:21" s="67" customFormat="1" ht="15.75">
      <c r="A7" s="434"/>
      <c r="B7" s="435"/>
      <c r="C7" s="436"/>
      <c r="D7" s="436"/>
      <c r="E7" s="437"/>
      <c r="F7" s="436"/>
      <c r="G7" s="438"/>
      <c r="H7" s="438"/>
      <c r="I7" s="438"/>
      <c r="J7" s="438"/>
      <c r="K7" s="438"/>
      <c r="L7" s="438"/>
      <c r="M7" s="438"/>
      <c r="N7" s="438"/>
      <c r="O7" s="438"/>
      <c r="P7" s="438"/>
      <c r="Q7" s="439"/>
      <c r="R7" s="439"/>
      <c r="S7" s="439"/>
      <c r="T7" s="439"/>
      <c r="U7" s="440"/>
    </row>
    <row r="8" spans="1:21" ht="141.75" customHeight="1">
      <c r="A8" s="794" t="s">
        <v>1378</v>
      </c>
      <c r="B8" s="794" t="s">
        <v>1442</v>
      </c>
      <c r="C8" s="503" t="s">
        <v>1609</v>
      </c>
      <c r="D8" s="304" t="s">
        <v>1610</v>
      </c>
      <c r="E8" s="304" t="s">
        <v>1611</v>
      </c>
      <c r="F8" s="500" t="s">
        <v>1605</v>
      </c>
      <c r="G8" s="248"/>
      <c r="H8" s="248"/>
      <c r="I8" s="249"/>
      <c r="J8" s="250"/>
      <c r="K8" s="249">
        <v>1</v>
      </c>
      <c r="L8" s="230"/>
      <c r="M8" s="249"/>
      <c r="N8" s="230"/>
      <c r="O8" s="374">
        <f>G8+I8+K8+M8</f>
        <v>1</v>
      </c>
      <c r="P8" s="375">
        <f>H8+J8+L8+N8</f>
        <v>0</v>
      </c>
      <c r="Q8" s="248"/>
      <c r="R8" s="502" t="s">
        <v>1606</v>
      </c>
      <c r="S8" s="248" t="s">
        <v>1607</v>
      </c>
      <c r="T8" s="248" t="s">
        <v>1608</v>
      </c>
      <c r="U8" s="304" t="s">
        <v>1598</v>
      </c>
    </row>
    <row r="9" spans="1:21" ht="78.75">
      <c r="A9" s="753"/>
      <c r="B9" s="753"/>
      <c r="C9" s="808"/>
      <c r="D9" s="808"/>
      <c r="E9" s="304" t="s">
        <v>1613</v>
      </c>
      <c r="F9" s="304" t="s">
        <v>1612</v>
      </c>
      <c r="G9" s="248"/>
      <c r="H9" s="248"/>
      <c r="I9" s="249"/>
      <c r="J9" s="250"/>
      <c r="K9" s="249">
        <v>1</v>
      </c>
      <c r="L9" s="230"/>
      <c r="M9" s="249"/>
      <c r="N9" s="230"/>
      <c r="O9" s="374">
        <f t="shared" ref="O9:O28" si="0">G9+I9+K9+M9</f>
        <v>1</v>
      </c>
      <c r="P9" s="375">
        <f t="shared" ref="P9:P28" si="1">H9+J9+L9+N9</f>
        <v>0</v>
      </c>
      <c r="Q9" s="248"/>
      <c r="R9" s="505" t="s">
        <v>1614</v>
      </c>
      <c r="S9" s="248" t="s">
        <v>1607</v>
      </c>
      <c r="T9" s="248" t="s">
        <v>1615</v>
      </c>
      <c r="U9" s="304" t="s">
        <v>1598</v>
      </c>
    </row>
    <row r="10" spans="1:21" ht="144" customHeight="1">
      <c r="A10" s="753"/>
      <c r="B10" s="753"/>
      <c r="C10" s="808"/>
      <c r="D10" s="808"/>
      <c r="E10" s="304" t="s">
        <v>1617</v>
      </c>
      <c r="F10" s="500" t="s">
        <v>1616</v>
      </c>
      <c r="G10" s="248"/>
      <c r="H10" s="248"/>
      <c r="I10" s="249">
        <v>1</v>
      </c>
      <c r="J10" s="250"/>
      <c r="K10" s="248"/>
      <c r="L10" s="230"/>
      <c r="M10" s="249"/>
      <c r="N10" s="230"/>
      <c r="O10" s="374">
        <f t="shared" si="0"/>
        <v>1</v>
      </c>
      <c r="P10" s="375">
        <f t="shared" si="1"/>
        <v>0</v>
      </c>
      <c r="Q10" s="248"/>
      <c r="R10" s="248" t="s">
        <v>1618</v>
      </c>
      <c r="S10" s="248" t="s">
        <v>1619</v>
      </c>
      <c r="T10" s="248" t="s">
        <v>1615</v>
      </c>
      <c r="U10" s="304" t="s">
        <v>1598</v>
      </c>
    </row>
    <row r="11" spans="1:21" ht="110.25">
      <c r="A11" s="753"/>
      <c r="B11" s="753"/>
      <c r="C11" s="808"/>
      <c r="D11" s="808"/>
      <c r="E11" s="304" t="s">
        <v>1620</v>
      </c>
      <c r="F11" s="493" t="s">
        <v>1625</v>
      </c>
      <c r="G11" s="248"/>
      <c r="H11" s="248"/>
      <c r="I11" s="249">
        <v>1</v>
      </c>
      <c r="J11" s="250">
        <f>+'5. ACTIVIDADES ESPECIALES'!D75</f>
        <v>6500</v>
      </c>
      <c r="K11" s="248"/>
      <c r="L11" s="230"/>
      <c r="M11" s="249"/>
      <c r="N11" s="230"/>
      <c r="O11" s="374">
        <f t="shared" si="0"/>
        <v>1</v>
      </c>
      <c r="P11" s="375">
        <f t="shared" si="1"/>
        <v>6500</v>
      </c>
      <c r="Q11" s="248"/>
      <c r="R11" s="506" t="s">
        <v>1621</v>
      </c>
      <c r="S11" s="506" t="s">
        <v>1622</v>
      </c>
      <c r="T11" s="506" t="s">
        <v>1623</v>
      </c>
      <c r="U11" s="506" t="s">
        <v>1624</v>
      </c>
    </row>
    <row r="12" spans="1:21" ht="131.25" customHeight="1">
      <c r="A12" s="753"/>
      <c r="B12" s="753"/>
      <c r="C12" s="808"/>
      <c r="D12" s="808"/>
      <c r="E12" s="304" t="s">
        <v>1916</v>
      </c>
      <c r="F12" s="489" t="s">
        <v>1915</v>
      </c>
      <c r="G12" s="248"/>
      <c r="H12" s="248"/>
      <c r="I12" s="249">
        <v>1</v>
      </c>
      <c r="J12" s="250"/>
      <c r="K12" s="248"/>
      <c r="L12" s="230"/>
      <c r="M12" s="249"/>
      <c r="N12" s="230"/>
      <c r="O12" s="374">
        <f t="shared" si="0"/>
        <v>1</v>
      </c>
      <c r="P12" s="375">
        <f t="shared" si="1"/>
        <v>0</v>
      </c>
      <c r="Q12" s="248"/>
      <c r="R12" s="248" t="s">
        <v>1618</v>
      </c>
      <c r="S12" s="248" t="s">
        <v>1619</v>
      </c>
      <c r="T12" s="248" t="s">
        <v>1917</v>
      </c>
      <c r="U12" s="304" t="s">
        <v>1891</v>
      </c>
    </row>
    <row r="13" spans="1:21" ht="117.75" customHeight="1">
      <c r="A13" s="753"/>
      <c r="B13" s="754"/>
      <c r="C13" s="808"/>
      <c r="D13" s="808"/>
      <c r="E13" s="304" t="s">
        <v>1919</v>
      </c>
      <c r="F13" s="489" t="s">
        <v>1918</v>
      </c>
      <c r="G13" s="248"/>
      <c r="H13" s="248"/>
      <c r="I13" s="249">
        <v>1</v>
      </c>
      <c r="J13" s="250"/>
      <c r="K13" s="248"/>
      <c r="L13" s="230"/>
      <c r="M13" s="249"/>
      <c r="N13" s="230"/>
      <c r="O13" s="374">
        <f t="shared" si="0"/>
        <v>1</v>
      </c>
      <c r="P13" s="375">
        <f t="shared" si="1"/>
        <v>0</v>
      </c>
      <c r="Q13" s="248"/>
      <c r="R13" s="248" t="s">
        <v>1618</v>
      </c>
      <c r="S13" s="248" t="s">
        <v>1619</v>
      </c>
      <c r="T13" s="248" t="s">
        <v>1917</v>
      </c>
      <c r="U13" s="304"/>
    </row>
    <row r="14" spans="1:21" ht="173.25">
      <c r="A14" s="804"/>
      <c r="B14" s="705"/>
      <c r="C14" s="808"/>
      <c r="D14" s="808"/>
      <c r="E14" s="304" t="s">
        <v>1928</v>
      </c>
      <c r="F14" s="568" t="s">
        <v>1927</v>
      </c>
      <c r="G14" s="248"/>
      <c r="H14" s="248"/>
      <c r="I14" s="249">
        <v>1</v>
      </c>
      <c r="J14" s="250"/>
      <c r="K14" s="248"/>
      <c r="L14" s="230"/>
      <c r="M14" s="249"/>
      <c r="N14" s="230"/>
      <c r="O14" s="374">
        <f t="shared" si="0"/>
        <v>1</v>
      </c>
      <c r="P14" s="375"/>
      <c r="Q14" s="248"/>
      <c r="R14" s="505" t="s">
        <v>1930</v>
      </c>
      <c r="S14" s="248" t="s">
        <v>1607</v>
      </c>
      <c r="T14" s="248" t="s">
        <v>1929</v>
      </c>
      <c r="U14" s="304" t="s">
        <v>1891</v>
      </c>
    </row>
    <row r="15" spans="1:21" ht="110.25">
      <c r="A15" s="804"/>
      <c r="B15" s="705"/>
      <c r="C15" s="808"/>
      <c r="D15" s="808"/>
      <c r="E15" s="304" t="s">
        <v>1965</v>
      </c>
      <c r="F15" s="500" t="s">
        <v>1964</v>
      </c>
      <c r="G15" s="248"/>
      <c r="H15" s="248"/>
      <c r="I15" s="249">
        <v>0.5</v>
      </c>
      <c r="J15" s="250"/>
      <c r="K15" s="248"/>
      <c r="L15" s="230"/>
      <c r="M15" s="249">
        <v>0.5</v>
      </c>
      <c r="N15" s="230"/>
      <c r="O15" s="374">
        <f t="shared" si="0"/>
        <v>1</v>
      </c>
      <c r="P15" s="375"/>
      <c r="Q15" s="248"/>
      <c r="R15" s="578" t="s">
        <v>1966</v>
      </c>
      <c r="S15" s="248" t="s">
        <v>1607</v>
      </c>
      <c r="T15" s="248" t="s">
        <v>1967</v>
      </c>
      <c r="U15" s="304" t="s">
        <v>1968</v>
      </c>
    </row>
    <row r="16" spans="1:21" ht="113.25" customHeight="1">
      <c r="A16" s="804"/>
      <c r="B16" s="705"/>
      <c r="C16" s="808"/>
      <c r="D16" s="808"/>
      <c r="E16" s="304" t="s">
        <v>1970</v>
      </c>
      <c r="F16" s="500" t="s">
        <v>1969</v>
      </c>
      <c r="G16" s="248"/>
      <c r="H16" s="248"/>
      <c r="I16" s="249">
        <v>1</v>
      </c>
      <c r="J16" s="250"/>
      <c r="K16" s="248"/>
      <c r="L16" s="230"/>
      <c r="M16" s="249"/>
      <c r="N16" s="230"/>
      <c r="O16" s="374">
        <f t="shared" ref="O16:O20" si="2">G16+I16+K16+M16</f>
        <v>1</v>
      </c>
      <c r="P16" s="375">
        <f t="shared" ref="P16:P20" si="3">H16+J16+L16+N16</f>
        <v>0</v>
      </c>
      <c r="Q16" s="248"/>
      <c r="R16" s="248" t="s">
        <v>1618</v>
      </c>
      <c r="S16" s="248" t="s">
        <v>1619</v>
      </c>
      <c r="T16" s="248" t="s">
        <v>1971</v>
      </c>
      <c r="U16" s="304" t="s">
        <v>1968</v>
      </c>
    </row>
    <row r="17" spans="1:21" ht="94.5">
      <c r="A17" s="804"/>
      <c r="B17" s="705"/>
      <c r="C17" s="808"/>
      <c r="D17" s="808"/>
      <c r="E17" s="304" t="s">
        <v>1972</v>
      </c>
      <c r="F17" s="278" t="s">
        <v>1977</v>
      </c>
      <c r="G17" s="248"/>
      <c r="H17" s="248"/>
      <c r="I17" s="249">
        <v>1</v>
      </c>
      <c r="J17" s="250">
        <f>+'5. ACTIVIDADES ESPECIALES'!D281</f>
        <v>5800</v>
      </c>
      <c r="K17" s="248"/>
      <c r="L17" s="230"/>
      <c r="M17" s="249"/>
      <c r="N17" s="230"/>
      <c r="O17" s="374">
        <f t="shared" si="2"/>
        <v>1</v>
      </c>
      <c r="P17" s="375">
        <f t="shared" si="3"/>
        <v>5800</v>
      </c>
      <c r="Q17" s="252" t="s">
        <v>1978</v>
      </c>
      <c r="R17" s="579" t="s">
        <v>1973</v>
      </c>
      <c r="S17" s="252" t="s">
        <v>1979</v>
      </c>
      <c r="T17" s="252" t="s">
        <v>1980</v>
      </c>
      <c r="U17" s="580" t="s">
        <v>1981</v>
      </c>
    </row>
    <row r="18" spans="1:21" ht="113.25" customHeight="1">
      <c r="A18" s="804"/>
      <c r="B18" s="705"/>
      <c r="C18" s="808"/>
      <c r="D18" s="808"/>
      <c r="E18" s="304" t="s">
        <v>2152</v>
      </c>
      <c r="F18" s="500" t="s">
        <v>2151</v>
      </c>
      <c r="G18" s="248"/>
      <c r="H18" s="248"/>
      <c r="I18" s="249"/>
      <c r="J18" s="250"/>
      <c r="K18" s="248"/>
      <c r="L18" s="230"/>
      <c r="M18" s="249">
        <v>1</v>
      </c>
      <c r="N18" s="230">
        <f>+M18*'5. ACTIVIDADES ESPECIALES'!D445</f>
        <v>34075</v>
      </c>
      <c r="O18" s="374">
        <f t="shared" si="2"/>
        <v>1</v>
      </c>
      <c r="P18" s="375">
        <f t="shared" si="3"/>
        <v>34075</v>
      </c>
      <c r="Q18" s="579" t="s">
        <v>2150</v>
      </c>
      <c r="R18" s="579" t="s">
        <v>2155</v>
      </c>
      <c r="S18" s="579" t="s">
        <v>2147</v>
      </c>
      <c r="T18" s="579" t="s">
        <v>2153</v>
      </c>
      <c r="U18" s="580" t="s">
        <v>2154</v>
      </c>
    </row>
    <row r="19" spans="1:21" ht="103.5" customHeight="1">
      <c r="A19" s="804"/>
      <c r="B19" s="705"/>
      <c r="C19" s="808"/>
      <c r="D19" s="808"/>
      <c r="E19" s="304" t="s">
        <v>2164</v>
      </c>
      <c r="F19" s="500" t="s">
        <v>2163</v>
      </c>
      <c r="G19" s="248"/>
      <c r="H19" s="248"/>
      <c r="I19" s="249">
        <v>1</v>
      </c>
      <c r="J19" s="250"/>
      <c r="K19" s="248"/>
      <c r="L19" s="230"/>
      <c r="M19" s="249"/>
      <c r="N19" s="230"/>
      <c r="O19" s="374">
        <f t="shared" si="2"/>
        <v>1</v>
      </c>
      <c r="P19" s="375">
        <f t="shared" si="3"/>
        <v>0</v>
      </c>
      <c r="Q19" s="637"/>
      <c r="R19" s="637" t="s">
        <v>1618</v>
      </c>
      <c r="S19" s="637" t="s">
        <v>1619</v>
      </c>
      <c r="T19" s="637" t="s">
        <v>2165</v>
      </c>
      <c r="U19" s="636" t="s">
        <v>2166</v>
      </c>
    </row>
    <row r="20" spans="1:21" ht="87" customHeight="1">
      <c r="A20" s="804"/>
      <c r="B20" s="705"/>
      <c r="C20" s="808"/>
      <c r="D20" s="808"/>
      <c r="E20" s="304" t="s">
        <v>2295</v>
      </c>
      <c r="F20" s="662" t="s">
        <v>2290</v>
      </c>
      <c r="G20" s="638">
        <v>0.5</v>
      </c>
      <c r="H20" s="248"/>
      <c r="I20" s="249"/>
      <c r="J20" s="250"/>
      <c r="K20" s="638">
        <v>0.5</v>
      </c>
      <c r="L20" s="230"/>
      <c r="M20" s="249"/>
      <c r="N20" s="230"/>
      <c r="O20" s="374">
        <f t="shared" si="2"/>
        <v>1</v>
      </c>
      <c r="P20" s="375">
        <f t="shared" si="3"/>
        <v>0</v>
      </c>
      <c r="Q20" s="637" t="s">
        <v>2291</v>
      </c>
      <c r="R20" s="637" t="s">
        <v>1618</v>
      </c>
      <c r="S20" s="637" t="s">
        <v>2292</v>
      </c>
      <c r="T20" s="637" t="s">
        <v>2293</v>
      </c>
      <c r="U20" s="636" t="s">
        <v>2294</v>
      </c>
    </row>
    <row r="21" spans="1:21" ht="110.25">
      <c r="A21" s="804"/>
      <c r="B21" s="803" t="s">
        <v>1443</v>
      </c>
      <c r="C21" s="808"/>
      <c r="D21" s="808"/>
      <c r="E21" s="304" t="s">
        <v>2157</v>
      </c>
      <c r="F21" s="500" t="s">
        <v>2156</v>
      </c>
      <c r="G21" s="248"/>
      <c r="H21" s="248"/>
      <c r="I21" s="249"/>
      <c r="J21" s="250"/>
      <c r="K21" s="249">
        <v>1</v>
      </c>
      <c r="L21" s="230">
        <f>+K21*'1. TALLERES SEMINARIOS'!D109</f>
        <v>3600</v>
      </c>
      <c r="M21" s="249"/>
      <c r="N21" s="230"/>
      <c r="O21" s="374">
        <f t="shared" si="0"/>
        <v>1</v>
      </c>
      <c r="P21" s="375">
        <f t="shared" si="1"/>
        <v>3600</v>
      </c>
      <c r="Q21" s="637" t="s">
        <v>2158</v>
      </c>
      <c r="R21" s="637" t="s">
        <v>2159</v>
      </c>
      <c r="S21" s="637" t="s">
        <v>2160</v>
      </c>
      <c r="T21" s="637" t="s">
        <v>2161</v>
      </c>
      <c r="U21" s="304" t="s">
        <v>2162</v>
      </c>
    </row>
    <row r="22" spans="1:21" ht="110.25">
      <c r="A22" s="804"/>
      <c r="B22" s="804"/>
      <c r="C22" s="808"/>
      <c r="D22" s="808"/>
      <c r="E22" s="304" t="s">
        <v>2297</v>
      </c>
      <c r="F22" s="698" t="s">
        <v>2296</v>
      </c>
      <c r="G22" s="638">
        <v>0.5</v>
      </c>
      <c r="H22" s="248"/>
      <c r="I22" s="249"/>
      <c r="J22" s="250"/>
      <c r="K22" s="638">
        <v>0.5</v>
      </c>
      <c r="L22" s="230"/>
      <c r="M22" s="249"/>
      <c r="N22" s="230"/>
      <c r="O22" s="374">
        <f t="shared" si="0"/>
        <v>1</v>
      </c>
      <c r="P22" s="375">
        <f t="shared" si="1"/>
        <v>0</v>
      </c>
      <c r="Q22" s="637" t="s">
        <v>2158</v>
      </c>
      <c r="R22" s="637" t="s">
        <v>2159</v>
      </c>
      <c r="S22" s="637" t="s">
        <v>2298</v>
      </c>
      <c r="T22" s="637" t="s">
        <v>2161</v>
      </c>
      <c r="U22" s="636" t="s">
        <v>2294</v>
      </c>
    </row>
    <row r="23" spans="1:21" ht="83.25" customHeight="1">
      <c r="A23" s="804"/>
      <c r="B23" s="804"/>
      <c r="C23" s="808"/>
      <c r="D23" s="808"/>
      <c r="E23" s="304" t="s">
        <v>2300</v>
      </c>
      <c r="F23" s="506" t="s">
        <v>2299</v>
      </c>
      <c r="G23" s="248"/>
      <c r="H23" s="248"/>
      <c r="I23" s="249"/>
      <c r="J23" s="250"/>
      <c r="K23" s="638">
        <v>1</v>
      </c>
      <c r="L23" s="230"/>
      <c r="M23" s="249"/>
      <c r="N23" s="230"/>
      <c r="O23" s="374">
        <f t="shared" si="0"/>
        <v>1</v>
      </c>
      <c r="P23" s="375">
        <f t="shared" si="1"/>
        <v>0</v>
      </c>
      <c r="Q23" s="637" t="s">
        <v>2301</v>
      </c>
      <c r="R23" s="637" t="s">
        <v>2302</v>
      </c>
      <c r="S23" s="637" t="s">
        <v>2303</v>
      </c>
      <c r="T23" s="637" t="s">
        <v>2293</v>
      </c>
      <c r="U23" s="636" t="s">
        <v>2294</v>
      </c>
    </row>
    <row r="24" spans="1:21" ht="94.5">
      <c r="A24" s="804"/>
      <c r="B24" s="804"/>
      <c r="C24" s="808"/>
      <c r="D24" s="808"/>
      <c r="E24" s="304" t="s">
        <v>2308</v>
      </c>
      <c r="F24" s="699" t="s">
        <v>2304</v>
      </c>
      <c r="G24" s="248"/>
      <c r="H24" s="248"/>
      <c r="I24" s="638">
        <v>0.5</v>
      </c>
      <c r="J24" s="248"/>
      <c r="K24" s="248"/>
      <c r="L24" s="230"/>
      <c r="M24" s="638">
        <v>0.5</v>
      </c>
      <c r="N24" s="230"/>
      <c r="O24" s="374">
        <f t="shared" si="0"/>
        <v>1</v>
      </c>
      <c r="P24" s="375">
        <f t="shared" si="1"/>
        <v>0</v>
      </c>
      <c r="Q24" s="698" t="s">
        <v>2305</v>
      </c>
      <c r="R24" s="637" t="s">
        <v>2159</v>
      </c>
      <c r="S24" s="637" t="s">
        <v>2306</v>
      </c>
      <c r="T24" s="637" t="s">
        <v>2161</v>
      </c>
      <c r="U24" s="636" t="s">
        <v>2307</v>
      </c>
    </row>
    <row r="25" spans="1:21" ht="94.5">
      <c r="A25" s="804"/>
      <c r="B25" s="804"/>
      <c r="C25" s="808"/>
      <c r="D25" s="808"/>
      <c r="E25" s="304" t="s">
        <v>2310</v>
      </c>
      <c r="F25" s="340" t="s">
        <v>2309</v>
      </c>
      <c r="G25" s="248"/>
      <c r="H25" s="248"/>
      <c r="I25" s="248"/>
      <c r="J25" s="248"/>
      <c r="K25" s="638">
        <v>1</v>
      </c>
      <c r="L25" s="230"/>
      <c r="M25" s="248"/>
      <c r="N25" s="230"/>
      <c r="O25" s="374">
        <f t="shared" si="0"/>
        <v>1</v>
      </c>
      <c r="P25" s="375">
        <f t="shared" si="1"/>
        <v>0</v>
      </c>
      <c r="Q25" s="698" t="s">
        <v>2305</v>
      </c>
      <c r="R25" s="637" t="s">
        <v>2159</v>
      </c>
      <c r="S25" s="252" t="s">
        <v>2311</v>
      </c>
      <c r="T25" s="637" t="s">
        <v>2161</v>
      </c>
      <c r="U25" s="636" t="s">
        <v>2307</v>
      </c>
    </row>
    <row r="26" spans="1:21" ht="79.5" customHeight="1">
      <c r="A26" s="804"/>
      <c r="B26" s="755" t="s">
        <v>1484</v>
      </c>
      <c r="C26" s="756" t="s">
        <v>1649</v>
      </c>
      <c r="D26" s="808"/>
      <c r="E26" s="304" t="s">
        <v>1654</v>
      </c>
      <c r="F26" s="340" t="s">
        <v>1650</v>
      </c>
      <c r="G26" s="248"/>
      <c r="H26" s="248"/>
      <c r="I26" s="205"/>
      <c r="J26" s="248"/>
      <c r="K26" s="249">
        <v>1</v>
      </c>
      <c r="L26" s="230"/>
      <c r="M26" s="248"/>
      <c r="N26" s="230"/>
      <c r="O26" s="374">
        <f t="shared" si="0"/>
        <v>1</v>
      </c>
      <c r="P26" s="375">
        <f t="shared" si="1"/>
        <v>0</v>
      </c>
      <c r="Q26" s="248"/>
      <c r="R26" s="248" t="s">
        <v>1651</v>
      </c>
      <c r="S26" s="248" t="s">
        <v>1652</v>
      </c>
      <c r="T26" s="248" t="s">
        <v>1648</v>
      </c>
      <c r="U26" s="304" t="s">
        <v>1653</v>
      </c>
    </row>
    <row r="27" spans="1:21" ht="84" customHeight="1">
      <c r="A27" s="804"/>
      <c r="B27" s="755"/>
      <c r="C27" s="806"/>
      <c r="D27" s="808"/>
      <c r="E27" s="304" t="s">
        <v>1975</v>
      </c>
      <c r="F27" s="500" t="s">
        <v>1974</v>
      </c>
      <c r="G27" s="248"/>
      <c r="H27" s="248"/>
      <c r="I27" s="205"/>
      <c r="J27" s="248"/>
      <c r="K27" s="249">
        <v>1</v>
      </c>
      <c r="L27" s="230"/>
      <c r="M27" s="248"/>
      <c r="N27" s="230"/>
      <c r="O27" s="374">
        <f t="shared" si="0"/>
        <v>1</v>
      </c>
      <c r="P27" s="375">
        <f t="shared" si="1"/>
        <v>0</v>
      </c>
      <c r="Q27" s="248"/>
      <c r="R27" s="248" t="s">
        <v>1651</v>
      </c>
      <c r="S27" s="248" t="s">
        <v>1652</v>
      </c>
      <c r="T27" s="248" t="s">
        <v>1648</v>
      </c>
      <c r="U27" s="304" t="s">
        <v>1976</v>
      </c>
    </row>
    <row r="28" spans="1:21" ht="76.5" customHeight="1">
      <c r="A28" s="804"/>
      <c r="B28" s="755"/>
      <c r="C28" s="806"/>
      <c r="D28" s="808"/>
      <c r="E28" s="304" t="s">
        <v>2174</v>
      </c>
      <c r="F28" s="500" t="s">
        <v>2173</v>
      </c>
      <c r="G28" s="248"/>
      <c r="H28" s="248"/>
      <c r="I28" s="205">
        <v>0.5</v>
      </c>
      <c r="J28" s="249"/>
      <c r="K28" s="248"/>
      <c r="L28" s="230"/>
      <c r="M28" s="249">
        <v>0.5</v>
      </c>
      <c r="N28" s="230"/>
      <c r="O28" s="374">
        <f t="shared" si="0"/>
        <v>1</v>
      </c>
      <c r="P28" s="375">
        <f t="shared" si="1"/>
        <v>0</v>
      </c>
      <c r="Q28" s="248"/>
      <c r="R28" s="637" t="s">
        <v>1651</v>
      </c>
      <c r="S28" s="637" t="s">
        <v>1652</v>
      </c>
      <c r="T28" s="637" t="s">
        <v>1648</v>
      </c>
      <c r="U28" s="636" t="s">
        <v>2175</v>
      </c>
    </row>
    <row r="29" spans="1:21" ht="110.25">
      <c r="A29" s="805"/>
      <c r="B29" s="755"/>
      <c r="C29" s="757"/>
      <c r="D29" s="808"/>
      <c r="E29" s="304" t="s">
        <v>2313</v>
      </c>
      <c r="F29" s="340" t="s">
        <v>2312</v>
      </c>
      <c r="G29" s="248"/>
      <c r="H29" s="248"/>
      <c r="I29" s="205">
        <v>0.5</v>
      </c>
      <c r="J29" s="248"/>
      <c r="K29" s="248"/>
      <c r="L29" s="230"/>
      <c r="M29" s="638">
        <v>0.5</v>
      </c>
      <c r="N29" s="230"/>
      <c r="O29" s="374"/>
      <c r="P29" s="375"/>
      <c r="Q29" s="637" t="s">
        <v>2314</v>
      </c>
      <c r="R29" s="637" t="s">
        <v>1651</v>
      </c>
      <c r="S29" s="637" t="s">
        <v>1652</v>
      </c>
      <c r="T29" s="637" t="s">
        <v>1648</v>
      </c>
      <c r="U29" s="636" t="s">
        <v>2315</v>
      </c>
    </row>
    <row r="30" spans="1:21" ht="15.75">
      <c r="A30" s="289"/>
      <c r="B30" s="290"/>
      <c r="C30" s="289" t="s">
        <v>1379</v>
      </c>
      <c r="D30" s="290"/>
      <c r="E30" s="290"/>
      <c r="F30" s="291"/>
      <c r="G30" s="253">
        <f t="shared" ref="G30:P30" si="4">SUM(G8:G29)</f>
        <v>1</v>
      </c>
      <c r="H30" s="253">
        <f t="shared" si="4"/>
        <v>0</v>
      </c>
      <c r="I30" s="253">
        <f t="shared" si="4"/>
        <v>10</v>
      </c>
      <c r="J30" s="253">
        <f t="shared" si="4"/>
        <v>12300</v>
      </c>
      <c r="K30" s="253">
        <f t="shared" si="4"/>
        <v>8</v>
      </c>
      <c r="L30" s="253">
        <f t="shared" si="4"/>
        <v>3600</v>
      </c>
      <c r="M30" s="253">
        <f t="shared" si="4"/>
        <v>3</v>
      </c>
      <c r="N30" s="253">
        <f t="shared" si="4"/>
        <v>34075</v>
      </c>
      <c r="O30" s="253">
        <f t="shared" si="4"/>
        <v>21</v>
      </c>
      <c r="P30" s="253">
        <f t="shared" si="4"/>
        <v>49975</v>
      </c>
      <c r="Q30" s="254"/>
      <c r="R30" s="254"/>
      <c r="S30" s="254"/>
      <c r="T30" s="254"/>
      <c r="U30" s="254"/>
    </row>
    <row r="31" spans="1:21" ht="15.75">
      <c r="A31" s="255"/>
      <c r="B31" s="256"/>
      <c r="C31" s="256"/>
      <c r="D31" s="256"/>
      <c r="E31" s="257"/>
      <c r="F31" s="256"/>
      <c r="G31" s="256"/>
      <c r="H31" s="256"/>
      <c r="I31" s="256"/>
      <c r="J31" s="256"/>
      <c r="K31" s="256"/>
      <c r="L31" s="256"/>
      <c r="M31" s="256"/>
      <c r="N31" s="256"/>
      <c r="O31" s="377"/>
      <c r="P31" s="377"/>
      <c r="Q31" s="256"/>
      <c r="R31" s="256"/>
      <c r="S31" s="256"/>
      <c r="T31" s="256"/>
      <c r="U31" s="256"/>
    </row>
    <row r="32" spans="1:21" ht="15.75">
      <c r="A32" s="255"/>
      <c r="B32" s="256"/>
      <c r="C32" s="256"/>
      <c r="D32" s="256"/>
      <c r="E32" s="257"/>
      <c r="F32" s="256"/>
      <c r="G32" s="256"/>
      <c r="H32" s="256"/>
      <c r="I32" s="256"/>
      <c r="J32" s="256"/>
      <c r="K32" s="256"/>
      <c r="L32" s="256"/>
      <c r="M32" s="256"/>
      <c r="N32" s="256"/>
      <c r="O32" s="377"/>
      <c r="P32" s="377"/>
      <c r="Q32" s="256"/>
      <c r="R32" s="256"/>
      <c r="S32" s="256"/>
      <c r="T32" s="256"/>
      <c r="U32" s="256"/>
    </row>
    <row r="33" spans="1:21" ht="15.75">
      <c r="A33" s="255"/>
      <c r="B33" s="256"/>
      <c r="C33" s="256"/>
      <c r="D33" s="256"/>
      <c r="E33" s="257"/>
      <c r="F33" s="256"/>
      <c r="G33" s="256"/>
      <c r="H33" s="256"/>
      <c r="I33" s="256"/>
      <c r="J33" s="256"/>
      <c r="K33" s="256"/>
      <c r="L33" s="256"/>
      <c r="M33" s="256"/>
      <c r="N33" s="256"/>
      <c r="O33" s="377"/>
      <c r="P33" s="377"/>
      <c r="Q33" s="256"/>
      <c r="R33" s="256"/>
      <c r="S33" s="256"/>
      <c r="T33" s="256"/>
      <c r="U33" s="256"/>
    </row>
    <row r="34" spans="1:21" ht="15.75">
      <c r="A34" s="255"/>
      <c r="B34" s="256"/>
      <c r="C34" s="256"/>
      <c r="D34" s="256"/>
      <c r="E34" s="257"/>
      <c r="F34" s="256"/>
      <c r="G34" s="256"/>
      <c r="H34" s="256"/>
      <c r="I34" s="256"/>
      <c r="J34" s="256"/>
      <c r="K34" s="256"/>
      <c r="L34" s="256"/>
      <c r="M34" s="256"/>
      <c r="N34" s="256"/>
      <c r="O34" s="377"/>
      <c r="P34" s="377"/>
      <c r="Q34" s="256"/>
      <c r="R34" s="256"/>
      <c r="S34" s="256"/>
      <c r="T34" s="256"/>
      <c r="U34" s="256"/>
    </row>
    <row r="35" spans="1:21" ht="15.75">
      <c r="A35" s="255"/>
      <c r="B35" s="256"/>
      <c r="C35" s="256"/>
      <c r="D35" s="256"/>
      <c r="E35" s="257"/>
      <c r="F35" s="256"/>
      <c r="G35" s="256"/>
      <c r="H35" s="256"/>
      <c r="I35" s="256"/>
      <c r="J35" s="256"/>
      <c r="K35" s="256"/>
      <c r="L35" s="256"/>
      <c r="M35" s="256"/>
      <c r="N35" s="256"/>
      <c r="O35" s="377"/>
      <c r="P35" s="377"/>
      <c r="Q35" s="256"/>
      <c r="R35" s="256"/>
      <c r="S35" s="256"/>
      <c r="T35" s="256"/>
      <c r="U35" s="256"/>
    </row>
    <row r="36" spans="1:21" ht="15.75">
      <c r="A36" s="255"/>
      <c r="B36" s="256"/>
      <c r="C36" s="256"/>
      <c r="D36" s="256"/>
      <c r="E36" s="257"/>
      <c r="F36" s="256"/>
      <c r="G36" s="256"/>
      <c r="H36" s="256"/>
      <c r="I36" s="256"/>
      <c r="J36" s="256"/>
      <c r="K36" s="256"/>
      <c r="L36" s="256"/>
      <c r="M36" s="256"/>
      <c r="N36" s="256"/>
      <c r="O36" s="377"/>
      <c r="P36" s="377"/>
      <c r="Q36" s="256"/>
      <c r="R36" s="256"/>
      <c r="S36" s="256"/>
      <c r="T36" s="256"/>
      <c r="U36" s="256"/>
    </row>
    <row r="37" spans="1:21" ht="15.75">
      <c r="A37" s="255"/>
      <c r="B37" s="256"/>
      <c r="C37" s="256"/>
      <c r="D37" s="256"/>
      <c r="E37" s="257"/>
      <c r="F37" s="256"/>
      <c r="G37" s="256"/>
      <c r="H37" s="256"/>
      <c r="I37" s="256"/>
      <c r="J37" s="256"/>
      <c r="K37" s="256"/>
      <c r="L37" s="256"/>
      <c r="M37" s="256"/>
      <c r="N37" s="256"/>
      <c r="O37" s="377"/>
      <c r="P37" s="377"/>
      <c r="Q37" s="256"/>
      <c r="R37" s="256"/>
      <c r="S37" s="256"/>
      <c r="T37" s="256"/>
      <c r="U37" s="256"/>
    </row>
    <row r="38" spans="1:21" ht="15.75">
      <c r="A38" s="255"/>
      <c r="B38" s="256"/>
      <c r="C38" s="256"/>
      <c r="D38" s="256"/>
      <c r="E38" s="257"/>
      <c r="F38" s="256"/>
      <c r="G38" s="256"/>
      <c r="H38" s="256"/>
      <c r="I38" s="256"/>
      <c r="J38" s="256"/>
      <c r="K38" s="256"/>
      <c r="L38" s="256"/>
      <c r="M38" s="256"/>
      <c r="N38" s="256"/>
      <c r="O38" s="377"/>
      <c r="P38" s="377"/>
      <c r="Q38" s="256"/>
      <c r="R38" s="256"/>
      <c r="S38" s="256"/>
      <c r="T38" s="256"/>
      <c r="U38" s="256"/>
    </row>
    <row r="39" spans="1:21" ht="15.75">
      <c r="A39" s="255"/>
      <c r="B39" s="256"/>
      <c r="C39" s="256"/>
      <c r="D39" s="256"/>
      <c r="E39" s="257"/>
      <c r="F39" s="256"/>
      <c r="G39" s="256"/>
      <c r="H39" s="256"/>
      <c r="I39" s="256"/>
      <c r="J39" s="256"/>
      <c r="K39" s="256"/>
      <c r="L39" s="256"/>
      <c r="M39" s="256"/>
      <c r="N39" s="256"/>
      <c r="O39" s="377"/>
      <c r="P39" s="377"/>
      <c r="Q39" s="256"/>
      <c r="R39" s="256"/>
      <c r="S39" s="256"/>
      <c r="T39" s="256"/>
      <c r="U39" s="256"/>
    </row>
    <row r="40" spans="1:21" ht="15.75">
      <c r="A40" s="255"/>
      <c r="B40" s="256"/>
      <c r="C40" s="256"/>
      <c r="D40" s="256"/>
      <c r="E40" s="257"/>
      <c r="F40" s="256"/>
      <c r="G40" s="256"/>
      <c r="H40" s="256"/>
      <c r="I40" s="256"/>
      <c r="J40" s="256"/>
      <c r="K40" s="256"/>
      <c r="L40" s="256"/>
      <c r="M40" s="256"/>
      <c r="N40" s="256"/>
      <c r="O40" s="377"/>
      <c r="P40" s="377"/>
      <c r="Q40" s="256"/>
      <c r="R40" s="256"/>
      <c r="S40" s="256"/>
      <c r="T40" s="256"/>
      <c r="U40" s="256"/>
    </row>
    <row r="41" spans="1:21" ht="15.75">
      <c r="A41" s="255"/>
      <c r="B41" s="256"/>
      <c r="C41" s="256"/>
      <c r="D41" s="256"/>
      <c r="E41" s="257"/>
      <c r="F41" s="256"/>
      <c r="G41" s="256"/>
      <c r="H41" s="256"/>
      <c r="I41" s="256"/>
      <c r="J41" s="256"/>
      <c r="K41" s="256"/>
      <c r="L41" s="256"/>
      <c r="M41" s="256"/>
      <c r="N41" s="256"/>
      <c r="O41" s="377"/>
      <c r="P41" s="377"/>
      <c r="Q41" s="256"/>
      <c r="R41" s="256"/>
      <c r="S41" s="256"/>
      <c r="T41" s="256"/>
      <c r="U41" s="256"/>
    </row>
    <row r="42" spans="1:21" ht="15.75">
      <c r="A42" s="255"/>
      <c r="B42" s="256"/>
      <c r="C42" s="256"/>
      <c r="D42" s="256"/>
      <c r="E42" s="257"/>
      <c r="F42" s="256"/>
      <c r="G42" s="256"/>
      <c r="H42" s="256"/>
      <c r="I42" s="256"/>
      <c r="J42" s="256"/>
      <c r="K42" s="256"/>
      <c r="L42" s="256"/>
      <c r="M42" s="256"/>
      <c r="N42" s="256"/>
      <c r="O42" s="377"/>
      <c r="P42" s="377"/>
      <c r="Q42" s="256"/>
      <c r="R42" s="256"/>
      <c r="S42" s="256"/>
      <c r="T42" s="256"/>
      <c r="U42" s="256"/>
    </row>
    <row r="43" spans="1:21" ht="15.75">
      <c r="A43" s="255"/>
      <c r="B43" s="256"/>
      <c r="C43" s="256"/>
      <c r="D43" s="256"/>
      <c r="E43" s="257"/>
      <c r="F43" s="256"/>
      <c r="G43" s="256"/>
      <c r="H43" s="256"/>
      <c r="I43" s="256"/>
      <c r="J43" s="256"/>
      <c r="K43" s="256"/>
      <c r="L43" s="256"/>
      <c r="M43" s="256"/>
      <c r="N43" s="256"/>
      <c r="O43" s="377"/>
      <c r="P43" s="377"/>
      <c r="Q43" s="256"/>
      <c r="R43" s="256"/>
      <c r="S43" s="256"/>
      <c r="T43" s="256"/>
      <c r="U43" s="256"/>
    </row>
    <row r="44" spans="1:21" ht="15.75">
      <c r="A44" s="255"/>
      <c r="B44" s="256"/>
      <c r="C44" s="256"/>
      <c r="D44" s="256"/>
      <c r="E44" s="257"/>
      <c r="F44" s="256"/>
      <c r="G44" s="256"/>
      <c r="H44" s="256"/>
      <c r="I44" s="256"/>
      <c r="J44" s="256"/>
      <c r="K44" s="256"/>
      <c r="L44" s="256"/>
      <c r="M44" s="256"/>
      <c r="N44" s="256"/>
      <c r="O44" s="377"/>
      <c r="P44" s="377"/>
      <c r="Q44" s="256"/>
      <c r="R44" s="256"/>
      <c r="S44" s="256"/>
      <c r="T44" s="256"/>
      <c r="U44" s="256"/>
    </row>
    <row r="45" spans="1:21" ht="15.75">
      <c r="A45" s="255"/>
      <c r="B45" s="256"/>
      <c r="C45" s="256"/>
      <c r="D45" s="256"/>
      <c r="E45" s="257"/>
      <c r="F45" s="256"/>
      <c r="G45" s="256"/>
      <c r="H45" s="256"/>
      <c r="I45" s="256"/>
      <c r="J45" s="256"/>
      <c r="K45" s="256"/>
      <c r="L45" s="256"/>
      <c r="M45" s="256"/>
      <c r="N45" s="256"/>
      <c r="O45" s="377"/>
      <c r="P45" s="377"/>
      <c r="Q45" s="256"/>
      <c r="R45" s="256"/>
      <c r="S45" s="256"/>
      <c r="T45" s="256"/>
      <c r="U45" s="256"/>
    </row>
    <row r="46" spans="1:21" ht="15.75">
      <c r="A46" s="255"/>
      <c r="B46" s="256"/>
      <c r="C46" s="256"/>
      <c r="D46" s="256"/>
      <c r="E46" s="257"/>
      <c r="F46" s="256"/>
      <c r="G46" s="256"/>
      <c r="H46" s="256"/>
      <c r="I46" s="256"/>
      <c r="J46" s="256"/>
      <c r="K46" s="256"/>
      <c r="L46" s="256"/>
      <c r="M46" s="256"/>
      <c r="N46" s="256"/>
      <c r="O46" s="377"/>
      <c r="P46" s="377"/>
      <c r="Q46" s="256"/>
      <c r="R46" s="256"/>
      <c r="S46" s="256"/>
      <c r="T46" s="256"/>
      <c r="U46" s="256"/>
    </row>
    <row r="47" spans="1:21" ht="15.75">
      <c r="A47" s="255"/>
      <c r="B47" s="256"/>
      <c r="C47" s="256"/>
      <c r="D47" s="256"/>
      <c r="E47" s="257"/>
      <c r="F47" s="256"/>
      <c r="G47" s="256"/>
      <c r="H47" s="256"/>
      <c r="I47" s="256"/>
      <c r="J47" s="256"/>
      <c r="K47" s="256"/>
      <c r="L47" s="256"/>
      <c r="M47" s="256"/>
      <c r="N47" s="256"/>
      <c r="O47" s="377"/>
      <c r="P47" s="377"/>
      <c r="Q47" s="256"/>
      <c r="R47" s="256"/>
      <c r="S47" s="256"/>
      <c r="T47" s="256"/>
      <c r="U47" s="256"/>
    </row>
    <row r="48" spans="1:21" ht="15.75">
      <c r="A48" s="255"/>
      <c r="B48" s="256"/>
      <c r="C48" s="256"/>
      <c r="D48" s="256"/>
      <c r="E48" s="257"/>
      <c r="F48" s="256"/>
      <c r="G48" s="256"/>
      <c r="H48" s="256"/>
      <c r="I48" s="256"/>
      <c r="J48" s="256"/>
      <c r="K48" s="256"/>
      <c r="L48" s="256"/>
      <c r="M48" s="256"/>
      <c r="N48" s="256"/>
      <c r="O48" s="377"/>
      <c r="P48" s="377"/>
      <c r="Q48" s="256"/>
      <c r="R48" s="256"/>
      <c r="S48" s="256"/>
      <c r="T48" s="256"/>
      <c r="U48" s="256"/>
    </row>
    <row r="49" spans="1:21" ht="15.75">
      <c r="A49" s="255"/>
      <c r="B49" s="256"/>
      <c r="C49" s="256"/>
      <c r="D49" s="256"/>
      <c r="E49" s="257"/>
      <c r="F49" s="256"/>
      <c r="G49" s="256"/>
      <c r="H49" s="256"/>
      <c r="I49" s="256"/>
      <c r="J49" s="256"/>
      <c r="K49" s="256"/>
      <c r="L49" s="256"/>
      <c r="M49" s="256"/>
      <c r="N49" s="256"/>
      <c r="O49" s="377"/>
      <c r="P49" s="377"/>
      <c r="Q49" s="256"/>
      <c r="R49" s="256"/>
      <c r="S49" s="256"/>
      <c r="T49" s="256"/>
      <c r="U49" s="256"/>
    </row>
    <row r="50" spans="1:21" ht="15.75">
      <c r="A50" s="255"/>
      <c r="B50" s="256"/>
      <c r="C50" s="256"/>
      <c r="D50" s="256"/>
      <c r="E50" s="257"/>
      <c r="F50" s="256"/>
      <c r="G50" s="256"/>
      <c r="H50" s="256"/>
      <c r="I50" s="256"/>
      <c r="J50" s="256"/>
      <c r="K50" s="256"/>
      <c r="L50" s="256"/>
      <c r="M50" s="256"/>
      <c r="N50" s="256"/>
      <c r="O50" s="377"/>
      <c r="P50" s="377"/>
      <c r="Q50" s="256"/>
      <c r="R50" s="256"/>
      <c r="S50" s="256"/>
      <c r="T50" s="256"/>
      <c r="U50" s="256"/>
    </row>
    <row r="51" spans="1:21" ht="15.75">
      <c r="A51" s="255"/>
      <c r="B51" s="256"/>
      <c r="C51" s="256"/>
      <c r="D51" s="256"/>
      <c r="E51" s="257"/>
      <c r="F51" s="256"/>
      <c r="G51" s="256"/>
      <c r="H51" s="256"/>
      <c r="I51" s="256"/>
      <c r="J51" s="256"/>
      <c r="K51" s="256"/>
      <c r="L51" s="256"/>
      <c r="M51" s="256"/>
      <c r="N51" s="256"/>
      <c r="O51" s="377"/>
      <c r="P51" s="377"/>
      <c r="Q51" s="256"/>
      <c r="R51" s="256"/>
      <c r="S51" s="256"/>
      <c r="T51" s="256"/>
      <c r="U51" s="256"/>
    </row>
    <row r="52" spans="1:21" ht="15.75">
      <c r="A52" s="255"/>
      <c r="B52" s="256"/>
      <c r="C52" s="256"/>
      <c r="D52" s="256"/>
      <c r="E52" s="257"/>
      <c r="F52" s="256"/>
      <c r="G52" s="256"/>
      <c r="H52" s="256"/>
      <c r="I52" s="256"/>
      <c r="J52" s="256"/>
      <c r="K52" s="256"/>
      <c r="L52" s="256"/>
      <c r="M52" s="256"/>
      <c r="N52" s="256"/>
      <c r="O52" s="377"/>
      <c r="P52" s="377"/>
      <c r="Q52" s="256"/>
      <c r="R52" s="256"/>
      <c r="S52" s="256"/>
      <c r="T52" s="256"/>
      <c r="U52" s="256"/>
    </row>
    <row r="53" spans="1:21" ht="15.75">
      <c r="A53" s="255"/>
      <c r="B53" s="256"/>
      <c r="C53" s="256"/>
      <c r="D53" s="256"/>
      <c r="E53" s="257"/>
      <c r="F53" s="256"/>
      <c r="G53" s="256"/>
      <c r="H53" s="256"/>
      <c r="I53" s="256"/>
      <c r="J53" s="256"/>
      <c r="K53" s="256"/>
      <c r="L53" s="256"/>
      <c r="M53" s="256"/>
      <c r="N53" s="256"/>
      <c r="O53" s="377"/>
      <c r="P53" s="377"/>
      <c r="Q53" s="256"/>
      <c r="R53" s="256"/>
      <c r="S53" s="256"/>
      <c r="T53" s="256"/>
      <c r="U53" s="256"/>
    </row>
    <row r="54" spans="1:21" ht="15.75">
      <c r="A54" s="255"/>
      <c r="B54" s="256"/>
      <c r="C54" s="256"/>
      <c r="D54" s="256"/>
      <c r="E54" s="257"/>
      <c r="F54" s="256"/>
      <c r="G54" s="256"/>
      <c r="H54" s="256"/>
      <c r="I54" s="256"/>
      <c r="J54" s="256"/>
      <c r="K54" s="256"/>
      <c r="L54" s="256"/>
      <c r="M54" s="256"/>
      <c r="N54" s="256"/>
      <c r="O54" s="377"/>
      <c r="P54" s="377"/>
      <c r="Q54" s="256"/>
      <c r="R54" s="256"/>
      <c r="S54" s="256"/>
      <c r="T54" s="256"/>
      <c r="U54" s="256"/>
    </row>
    <row r="55" spans="1:21" ht="15.75">
      <c r="A55" s="255"/>
      <c r="B55" s="256"/>
      <c r="C55" s="256"/>
      <c r="D55" s="256"/>
      <c r="E55" s="257"/>
      <c r="F55" s="256"/>
      <c r="G55" s="256"/>
      <c r="H55" s="256"/>
      <c r="I55" s="256"/>
      <c r="J55" s="256"/>
      <c r="K55" s="256"/>
      <c r="L55" s="256"/>
      <c r="M55" s="256"/>
      <c r="N55" s="256"/>
      <c r="O55" s="377"/>
      <c r="P55" s="377"/>
      <c r="Q55" s="256"/>
      <c r="R55" s="256"/>
      <c r="S55" s="256"/>
      <c r="T55" s="256"/>
      <c r="U55" s="256"/>
    </row>
    <row r="56" spans="1:21" ht="15.75">
      <c r="A56" s="255"/>
      <c r="B56" s="256"/>
      <c r="C56" s="256"/>
      <c r="D56" s="256"/>
      <c r="E56" s="257"/>
      <c r="F56" s="256"/>
      <c r="G56" s="256"/>
      <c r="H56" s="256"/>
      <c r="I56" s="256"/>
      <c r="J56" s="256"/>
      <c r="K56" s="256"/>
      <c r="L56" s="256"/>
      <c r="M56" s="256"/>
      <c r="N56" s="256"/>
      <c r="O56" s="377"/>
      <c r="P56" s="377"/>
      <c r="Q56" s="256"/>
      <c r="R56" s="256"/>
      <c r="S56" s="256"/>
      <c r="T56" s="256"/>
      <c r="U56" s="256"/>
    </row>
    <row r="57" spans="1:21" ht="15.75">
      <c r="A57" s="255"/>
      <c r="B57" s="256"/>
      <c r="C57" s="256"/>
      <c r="D57" s="256"/>
      <c r="E57" s="257"/>
      <c r="F57" s="256"/>
      <c r="G57" s="256"/>
      <c r="H57" s="256"/>
      <c r="I57" s="256"/>
      <c r="J57" s="256"/>
      <c r="K57" s="256"/>
      <c r="L57" s="256"/>
      <c r="M57" s="256"/>
      <c r="N57" s="256"/>
      <c r="O57" s="377"/>
      <c r="P57" s="377"/>
      <c r="Q57" s="256"/>
      <c r="R57" s="256"/>
      <c r="S57" s="256"/>
      <c r="T57" s="256"/>
      <c r="U57" s="256"/>
    </row>
    <row r="58" spans="1:21" ht="15.75">
      <c r="A58" s="255"/>
      <c r="B58" s="256"/>
      <c r="C58" s="256"/>
      <c r="D58" s="256"/>
      <c r="E58" s="257"/>
      <c r="F58" s="256"/>
      <c r="G58" s="256"/>
      <c r="H58" s="256"/>
      <c r="I58" s="256"/>
      <c r="J58" s="256"/>
      <c r="K58" s="256"/>
      <c r="L58" s="256"/>
      <c r="M58" s="256"/>
      <c r="N58" s="256"/>
      <c r="O58" s="377"/>
      <c r="P58" s="377"/>
      <c r="Q58" s="256"/>
      <c r="R58" s="256"/>
      <c r="S58" s="256"/>
      <c r="T58" s="256"/>
      <c r="U58" s="256"/>
    </row>
    <row r="59" spans="1:21" ht="15.75">
      <c r="A59" s="255"/>
      <c r="B59" s="256"/>
      <c r="C59" s="256"/>
      <c r="D59" s="256"/>
      <c r="E59" s="257"/>
      <c r="F59" s="256"/>
      <c r="G59" s="256"/>
      <c r="H59" s="256"/>
      <c r="I59" s="256"/>
      <c r="J59" s="256"/>
      <c r="K59" s="256"/>
      <c r="L59" s="256"/>
      <c r="M59" s="256"/>
      <c r="N59" s="256"/>
      <c r="O59" s="377"/>
      <c r="P59" s="377"/>
      <c r="Q59" s="256"/>
      <c r="R59" s="256"/>
      <c r="S59" s="256"/>
      <c r="T59" s="256"/>
      <c r="U59" s="256"/>
    </row>
    <row r="60" spans="1:21" ht="15.75">
      <c r="A60" s="255"/>
      <c r="B60" s="256"/>
      <c r="C60" s="256"/>
      <c r="D60" s="256"/>
      <c r="E60" s="257"/>
      <c r="F60" s="256"/>
      <c r="G60" s="256"/>
      <c r="H60" s="256"/>
      <c r="I60" s="256"/>
      <c r="J60" s="256"/>
      <c r="K60" s="256"/>
      <c r="L60" s="256"/>
      <c r="M60" s="256"/>
      <c r="N60" s="256"/>
      <c r="O60" s="377"/>
      <c r="P60" s="377"/>
      <c r="Q60" s="256"/>
      <c r="R60" s="256"/>
      <c r="S60" s="256"/>
      <c r="T60" s="256"/>
      <c r="U60" s="256"/>
    </row>
    <row r="61" spans="1:21" ht="15.75">
      <c r="A61" s="255"/>
      <c r="B61" s="256"/>
      <c r="C61" s="256"/>
      <c r="D61" s="256"/>
      <c r="E61" s="257"/>
      <c r="F61" s="256"/>
      <c r="G61" s="256"/>
      <c r="H61" s="256"/>
      <c r="I61" s="256"/>
      <c r="J61" s="256"/>
      <c r="K61" s="256"/>
      <c r="L61" s="256"/>
      <c r="M61" s="256"/>
      <c r="N61" s="256"/>
      <c r="O61" s="377"/>
      <c r="P61" s="377"/>
      <c r="Q61" s="256"/>
      <c r="R61" s="256"/>
      <c r="S61" s="256"/>
      <c r="T61" s="256"/>
      <c r="U61" s="256"/>
    </row>
    <row r="62" spans="1:21" ht="15.75">
      <c r="A62" s="255"/>
      <c r="B62" s="256"/>
      <c r="C62" s="256"/>
      <c r="D62" s="256"/>
      <c r="E62" s="257"/>
      <c r="F62" s="256"/>
      <c r="G62" s="256"/>
      <c r="H62" s="256"/>
      <c r="I62" s="256"/>
      <c r="J62" s="256"/>
      <c r="K62" s="256"/>
      <c r="L62" s="256"/>
      <c r="M62" s="256"/>
      <c r="N62" s="256"/>
      <c r="O62" s="377"/>
      <c r="P62" s="377"/>
      <c r="Q62" s="256"/>
      <c r="R62" s="256"/>
      <c r="S62" s="256"/>
      <c r="T62" s="256"/>
      <c r="U62" s="256"/>
    </row>
    <row r="78" spans="1:5">
      <c r="A78" s="251"/>
      <c r="E78" s="251"/>
    </row>
    <row r="79" spans="1:5">
      <c r="A79" s="251"/>
      <c r="E79" s="251"/>
    </row>
    <row r="80" spans="1:5">
      <c r="A80" s="251"/>
      <c r="E80" s="251"/>
    </row>
    <row r="81" spans="1:5">
      <c r="A81" s="251"/>
      <c r="E81" s="251"/>
    </row>
    <row r="82" spans="1:5">
      <c r="A82" s="251"/>
      <c r="E82" s="251"/>
    </row>
    <row r="83" spans="1:5">
      <c r="A83" s="251"/>
      <c r="E83" s="251"/>
    </row>
    <row r="84" spans="1:5">
      <c r="A84" s="251"/>
      <c r="E84" s="251"/>
    </row>
    <row r="85" spans="1:5">
      <c r="A85" s="251"/>
      <c r="E85" s="251"/>
    </row>
    <row r="86" spans="1:5">
      <c r="A86" s="251"/>
      <c r="E86" s="251"/>
    </row>
    <row r="87" spans="1:5">
      <c r="A87" s="251"/>
      <c r="E87" s="251"/>
    </row>
    <row r="88" spans="1:5">
      <c r="A88" s="251"/>
      <c r="E88" s="251"/>
    </row>
    <row r="89" spans="1:5">
      <c r="A89" s="251"/>
      <c r="E89" s="251"/>
    </row>
    <row r="90" spans="1:5">
      <c r="A90" s="251"/>
      <c r="E90" s="251"/>
    </row>
    <row r="91" spans="1:5">
      <c r="A91" s="251"/>
      <c r="E91" s="251"/>
    </row>
    <row r="92" spans="1:5">
      <c r="A92" s="251"/>
      <c r="E92" s="251"/>
    </row>
    <row r="93" spans="1:5">
      <c r="A93" s="251"/>
      <c r="E93" s="251"/>
    </row>
    <row r="94" spans="1:5">
      <c r="A94" s="251"/>
      <c r="E94" s="251"/>
    </row>
    <row r="95" spans="1:5">
      <c r="A95" s="251"/>
      <c r="E95" s="251"/>
    </row>
    <row r="96" spans="1:5">
      <c r="A96" s="251"/>
      <c r="E96" s="251"/>
    </row>
    <row r="97" spans="1:5">
      <c r="A97" s="251"/>
      <c r="E97" s="251"/>
    </row>
    <row r="98" spans="1:5">
      <c r="A98" s="251"/>
      <c r="E98" s="251"/>
    </row>
    <row r="99" spans="1:5">
      <c r="A99" s="251"/>
      <c r="E99" s="251"/>
    </row>
    <row r="100" spans="1:5">
      <c r="A100" s="251"/>
      <c r="E100" s="251"/>
    </row>
    <row r="101" spans="1:5">
      <c r="A101" s="251"/>
      <c r="E101" s="251"/>
    </row>
    <row r="102" spans="1:5">
      <c r="A102" s="251"/>
      <c r="E102" s="251"/>
    </row>
    <row r="103" spans="1:5">
      <c r="A103" s="251"/>
      <c r="E103" s="251"/>
    </row>
    <row r="104" spans="1:5">
      <c r="A104" s="251"/>
      <c r="E104" s="251"/>
    </row>
    <row r="105" spans="1:5">
      <c r="A105" s="251"/>
      <c r="E105" s="251"/>
    </row>
    <row r="106" spans="1:5">
      <c r="A106" s="251"/>
      <c r="E106" s="251"/>
    </row>
    <row r="107" spans="1:5">
      <c r="A107" s="251"/>
      <c r="E107" s="251"/>
    </row>
    <row r="108" spans="1:5">
      <c r="A108" s="251"/>
      <c r="E108" s="251"/>
    </row>
    <row r="109" spans="1:5">
      <c r="A109" s="251"/>
      <c r="E109" s="251"/>
    </row>
    <row r="110" spans="1:5">
      <c r="A110" s="251"/>
      <c r="E110" s="251"/>
    </row>
    <row r="111" spans="1:5">
      <c r="A111" s="251"/>
      <c r="E111" s="251"/>
    </row>
    <row r="112" spans="1:5">
      <c r="A112" s="251"/>
      <c r="E112" s="251"/>
    </row>
    <row r="113" spans="1:5">
      <c r="A113" s="251"/>
      <c r="E113" s="251"/>
    </row>
    <row r="114" spans="1:5">
      <c r="A114" s="251"/>
      <c r="E114" s="251"/>
    </row>
    <row r="115" spans="1:5">
      <c r="A115" s="251"/>
      <c r="E115" s="251"/>
    </row>
    <row r="116" spans="1:5">
      <c r="A116" s="251"/>
      <c r="E116" s="251"/>
    </row>
    <row r="117" spans="1:5">
      <c r="A117" s="251"/>
      <c r="E117" s="251"/>
    </row>
    <row r="118" spans="1:5">
      <c r="A118" s="251"/>
      <c r="E118" s="251"/>
    </row>
    <row r="119" spans="1:5">
      <c r="A119" s="251"/>
      <c r="E119" s="251"/>
    </row>
    <row r="120" spans="1:5">
      <c r="A120" s="251"/>
      <c r="E120" s="251"/>
    </row>
    <row r="121" spans="1:5">
      <c r="A121" s="251"/>
      <c r="E121" s="251"/>
    </row>
    <row r="122" spans="1:5">
      <c r="A122" s="251"/>
      <c r="E122" s="251"/>
    </row>
    <row r="123" spans="1:5">
      <c r="A123" s="251"/>
      <c r="E123" s="251"/>
    </row>
    <row r="124" spans="1:5">
      <c r="A124" s="251"/>
      <c r="E124" s="251"/>
    </row>
    <row r="125" spans="1:5">
      <c r="A125" s="251"/>
      <c r="E125" s="251"/>
    </row>
    <row r="126" spans="1:5">
      <c r="A126" s="251"/>
      <c r="E126" s="251"/>
    </row>
    <row r="127" spans="1:5">
      <c r="A127" s="251"/>
      <c r="E127" s="251"/>
    </row>
    <row r="128" spans="1:5">
      <c r="A128" s="251"/>
      <c r="E128" s="251"/>
    </row>
    <row r="129" spans="1:5">
      <c r="A129" s="251"/>
      <c r="E129" s="251"/>
    </row>
    <row r="130" spans="1:5">
      <c r="A130" s="251"/>
      <c r="E130" s="251"/>
    </row>
    <row r="131" spans="1:5">
      <c r="A131" s="251"/>
      <c r="E131" s="251"/>
    </row>
    <row r="132" spans="1:5">
      <c r="A132" s="251"/>
      <c r="E132" s="251"/>
    </row>
    <row r="133" spans="1:5">
      <c r="A133" s="251"/>
      <c r="E133" s="251"/>
    </row>
    <row r="134" spans="1:5">
      <c r="A134" s="251"/>
      <c r="E134" s="251"/>
    </row>
    <row r="135" spans="1:5">
      <c r="A135" s="251"/>
      <c r="E135" s="251"/>
    </row>
    <row r="136" spans="1:5">
      <c r="A136" s="251"/>
      <c r="E136" s="251"/>
    </row>
    <row r="137" spans="1:5">
      <c r="A137" s="251"/>
      <c r="E137" s="251"/>
    </row>
    <row r="138" spans="1:5">
      <c r="A138" s="251"/>
      <c r="E138" s="251"/>
    </row>
    <row r="139" spans="1:5">
      <c r="A139" s="251"/>
      <c r="E139" s="251"/>
    </row>
    <row r="140" spans="1:5">
      <c r="A140" s="251"/>
      <c r="E140" s="251"/>
    </row>
    <row r="141" spans="1:5">
      <c r="A141" s="251"/>
      <c r="E141" s="251"/>
    </row>
    <row r="142" spans="1:5">
      <c r="A142" s="251"/>
      <c r="E142" s="251"/>
    </row>
    <row r="143" spans="1:5">
      <c r="A143" s="251"/>
      <c r="E143" s="251"/>
    </row>
    <row r="144" spans="1:5">
      <c r="A144" s="251"/>
      <c r="E144" s="251"/>
    </row>
    <row r="145" spans="1:5">
      <c r="A145" s="251"/>
      <c r="E145" s="251"/>
    </row>
    <row r="146" spans="1:5">
      <c r="A146" s="251"/>
      <c r="E146" s="251"/>
    </row>
  </sheetData>
  <mergeCells count="21">
    <mergeCell ref="C4:C6"/>
    <mergeCell ref="B8:B13"/>
    <mergeCell ref="B26:B29"/>
    <mergeCell ref="C26:C29"/>
    <mergeCell ref="A8:A1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54"/>
  <sheetViews>
    <sheetView showGridLines="0" zoomScale="40" zoomScaleNormal="40" workbookViewId="0">
      <pane ySplit="7" topLeftCell="A8" activePane="bottomLeft" state="frozen"/>
      <selection activeCell="A7" sqref="A7"/>
      <selection pane="bottomLeft" activeCell="G11" sqref="G11:P11"/>
    </sheetView>
  </sheetViews>
  <sheetFormatPr baseColWidth="10" defaultRowHeight="12.75"/>
  <cols>
    <col min="1" max="1" width="25.5703125" style="260" customWidth="1"/>
    <col min="2" max="2" width="38.5703125" style="260" customWidth="1"/>
    <col min="3" max="4" width="27.42578125" style="260" customWidth="1"/>
    <col min="5" max="5" width="27.42578125" style="259" customWidth="1"/>
    <col min="6" max="6" width="27.42578125" style="260" customWidth="1"/>
    <col min="7" max="7" width="15.28515625" style="260" customWidth="1"/>
    <col min="8" max="8" width="16" style="260" customWidth="1"/>
    <col min="9" max="9" width="15.28515625" style="260" customWidth="1"/>
    <col min="10" max="10" width="18.5703125" style="260" customWidth="1"/>
    <col min="11" max="11" width="15.28515625" style="260" customWidth="1"/>
    <col min="12" max="12" width="15.85546875" style="260" customWidth="1"/>
    <col min="13" max="13" width="15.28515625" style="260" customWidth="1"/>
    <col min="14" max="14" width="15" style="260" customWidth="1"/>
    <col min="15" max="15" width="15.28515625" style="260" customWidth="1"/>
    <col min="16" max="16" width="17" style="260" bestFit="1" customWidth="1"/>
    <col min="17" max="17" width="16.28515625" style="260" bestFit="1" customWidth="1"/>
    <col min="18" max="18" width="29.28515625" style="260" bestFit="1" customWidth="1"/>
    <col min="19" max="20" width="14.28515625" style="258" customWidth="1"/>
    <col min="21" max="21" width="17" style="260" customWidth="1"/>
    <col min="22" max="16384" width="11.42578125" style="260"/>
  </cols>
  <sheetData>
    <row r="1" spans="1:27" ht="18.75" customHeight="1">
      <c r="E1" s="286"/>
      <c r="G1" s="281" t="s">
        <v>91</v>
      </c>
      <c r="I1" s="281"/>
      <c r="J1" s="281"/>
      <c r="K1" s="281"/>
      <c r="L1" s="281"/>
      <c r="M1" s="281"/>
      <c r="N1" s="281"/>
      <c r="O1" s="281"/>
      <c r="P1" s="281"/>
      <c r="Q1" s="281"/>
      <c r="R1" s="281"/>
      <c r="S1" s="281"/>
      <c r="T1" s="281"/>
      <c r="U1" s="281"/>
      <c r="V1" s="281"/>
      <c r="W1" s="281"/>
      <c r="X1" s="281"/>
      <c r="Y1" s="281"/>
      <c r="Z1" s="281"/>
      <c r="AA1" s="281"/>
    </row>
    <row r="2" spans="1:27" ht="18.75">
      <c r="A2" s="266" t="s">
        <v>1348</v>
      </c>
      <c r="E2" s="286"/>
      <c r="G2" s="281"/>
      <c r="I2" s="281"/>
      <c r="J2" s="281"/>
      <c r="K2" s="281"/>
      <c r="L2" s="281"/>
      <c r="M2" s="281"/>
      <c r="N2" s="281"/>
      <c r="O2" s="281"/>
      <c r="P2" s="281"/>
      <c r="Q2" s="281"/>
      <c r="R2" s="281"/>
      <c r="S2" s="281"/>
      <c r="T2" s="281"/>
      <c r="U2" s="281"/>
      <c r="V2" s="281"/>
      <c r="W2" s="281"/>
      <c r="X2" s="281"/>
      <c r="Y2" s="281"/>
      <c r="Z2" s="281"/>
      <c r="AA2" s="281"/>
    </row>
    <row r="3" spans="1:27" ht="18.75">
      <c r="A3" s="312" t="s">
        <v>1452</v>
      </c>
      <c r="E3" s="286"/>
      <c r="G3" s="281"/>
      <c r="I3" s="281"/>
      <c r="J3" s="281"/>
      <c r="K3" s="281"/>
      <c r="L3" s="281"/>
      <c r="M3" s="281"/>
      <c r="N3" s="281"/>
      <c r="O3" s="281"/>
      <c r="P3" s="281"/>
      <c r="Q3" s="281"/>
      <c r="R3" s="281"/>
      <c r="S3" s="281"/>
      <c r="T3" s="281"/>
      <c r="U3" s="281"/>
      <c r="V3" s="281"/>
      <c r="W3" s="281"/>
      <c r="X3" s="281"/>
      <c r="Y3" s="281"/>
      <c r="Z3" s="281"/>
      <c r="AA3" s="281"/>
    </row>
    <row r="4" spans="1:27" ht="15">
      <c r="A4" s="364" t="s">
        <v>1453</v>
      </c>
      <c r="B4" s="266"/>
      <c r="C4" s="266"/>
      <c r="D4" s="266"/>
      <c r="E4" s="247"/>
      <c r="F4" s="266"/>
      <c r="G4" s="266"/>
      <c r="H4" s="266"/>
      <c r="I4" s="266"/>
      <c r="J4" s="266"/>
      <c r="K4" s="266"/>
      <c r="L4" s="266"/>
      <c r="M4" s="266"/>
      <c r="N4" s="266"/>
      <c r="O4" s="266"/>
      <c r="P4" s="266"/>
      <c r="Q4" s="266"/>
      <c r="R4" s="266"/>
      <c r="S4" s="266"/>
      <c r="T4" s="266"/>
      <c r="U4" s="266"/>
    </row>
    <row r="5" spans="1:27" s="66" customFormat="1" ht="23.25" customHeight="1">
      <c r="A5" s="732" t="s">
        <v>97</v>
      </c>
      <c r="B5" s="731" t="s">
        <v>111</v>
      </c>
      <c r="C5" s="734" t="s">
        <v>86</v>
      </c>
      <c r="D5" s="734" t="s">
        <v>87</v>
      </c>
      <c r="E5" s="734" t="s">
        <v>392</v>
      </c>
      <c r="F5" s="734" t="s">
        <v>88</v>
      </c>
      <c r="G5" s="737" t="s">
        <v>100</v>
      </c>
      <c r="H5" s="743"/>
      <c r="I5" s="743"/>
      <c r="J5" s="743"/>
      <c r="K5" s="743"/>
      <c r="L5" s="743"/>
      <c r="M5" s="743"/>
      <c r="N5" s="738"/>
      <c r="O5" s="739" t="s">
        <v>101</v>
      </c>
      <c r="P5" s="740"/>
      <c r="Q5" s="731" t="s">
        <v>102</v>
      </c>
      <c r="R5" s="731" t="s">
        <v>103</v>
      </c>
      <c r="S5" s="731" t="s">
        <v>110</v>
      </c>
      <c r="T5" s="731" t="s">
        <v>109</v>
      </c>
      <c r="U5" s="728" t="s">
        <v>89</v>
      </c>
    </row>
    <row r="6" spans="1:27" s="66" customFormat="1" ht="15" customHeight="1">
      <c r="A6" s="732"/>
      <c r="B6" s="732"/>
      <c r="C6" s="735"/>
      <c r="D6" s="735"/>
      <c r="E6" s="735"/>
      <c r="F6" s="735"/>
      <c r="G6" s="737" t="s">
        <v>104</v>
      </c>
      <c r="H6" s="738"/>
      <c r="I6" s="737" t="s">
        <v>105</v>
      </c>
      <c r="J6" s="738"/>
      <c r="K6" s="737" t="s">
        <v>106</v>
      </c>
      <c r="L6" s="738"/>
      <c r="M6" s="737" t="s">
        <v>107</v>
      </c>
      <c r="N6" s="738"/>
      <c r="O6" s="741"/>
      <c r="P6" s="742"/>
      <c r="Q6" s="732"/>
      <c r="R6" s="732"/>
      <c r="S6" s="732"/>
      <c r="T6" s="732"/>
      <c r="U6" s="729"/>
    </row>
    <row r="7" spans="1:27" s="66" customFormat="1" ht="24" customHeight="1">
      <c r="A7" s="733"/>
      <c r="B7" s="733"/>
      <c r="C7" s="736"/>
      <c r="D7" s="736"/>
      <c r="E7" s="736"/>
      <c r="F7" s="736"/>
      <c r="G7" s="433" t="s">
        <v>108</v>
      </c>
      <c r="H7" s="433" t="s">
        <v>12</v>
      </c>
      <c r="I7" s="433" t="s">
        <v>108</v>
      </c>
      <c r="J7" s="433" t="s">
        <v>12</v>
      </c>
      <c r="K7" s="433" t="s">
        <v>108</v>
      </c>
      <c r="L7" s="433" t="s">
        <v>12</v>
      </c>
      <c r="M7" s="433" t="s">
        <v>108</v>
      </c>
      <c r="N7" s="433" t="s">
        <v>12</v>
      </c>
      <c r="O7" s="433" t="s">
        <v>108</v>
      </c>
      <c r="P7" s="433" t="s">
        <v>12</v>
      </c>
      <c r="Q7" s="733"/>
      <c r="R7" s="733"/>
      <c r="S7" s="733"/>
      <c r="T7" s="733"/>
      <c r="U7" s="730"/>
    </row>
    <row r="8" spans="1:27" ht="15.75" customHeight="1">
      <c r="A8" s="434"/>
      <c r="B8" s="435"/>
      <c r="C8" s="436"/>
      <c r="D8" s="436"/>
      <c r="E8" s="437"/>
      <c r="F8" s="436"/>
      <c r="G8" s="438"/>
      <c r="H8" s="438"/>
      <c r="I8" s="438"/>
      <c r="J8" s="438"/>
      <c r="K8" s="438"/>
      <c r="L8" s="438"/>
      <c r="M8" s="438"/>
      <c r="N8" s="438"/>
      <c r="O8" s="438"/>
      <c r="P8" s="438"/>
      <c r="Q8" s="439"/>
      <c r="R8" s="439"/>
      <c r="S8" s="439"/>
      <c r="T8" s="439"/>
      <c r="U8" s="440"/>
    </row>
    <row r="9" spans="1:27" ht="89.25" customHeight="1">
      <c r="A9" s="807" t="s">
        <v>1446</v>
      </c>
      <c r="B9" s="803" t="s">
        <v>1444</v>
      </c>
      <c r="C9" s="486" t="s">
        <v>1500</v>
      </c>
      <c r="D9" s="248" t="s">
        <v>1501</v>
      </c>
      <c r="E9" s="304"/>
      <c r="F9" s="487" t="s">
        <v>1502</v>
      </c>
      <c r="G9" s="815"/>
      <c r="H9" s="816"/>
      <c r="I9" s="815"/>
      <c r="J9" s="817"/>
      <c r="K9" s="815"/>
      <c r="L9" s="817"/>
      <c r="M9" s="818"/>
      <c r="N9" s="817"/>
      <c r="O9" s="815">
        <f t="shared" ref="O9:O25" si="0">G9+I9+K9+M9</f>
        <v>0</v>
      </c>
      <c r="P9" s="819">
        <f t="shared" ref="P9:P25" si="1">H9+J9+L9+N9</f>
        <v>0</v>
      </c>
      <c r="Q9" s="817"/>
      <c r="R9" s="817"/>
      <c r="S9" s="248" t="s">
        <v>1503</v>
      </c>
      <c r="T9" s="248" t="s">
        <v>1504</v>
      </c>
      <c r="U9" s="248" t="s">
        <v>1505</v>
      </c>
    </row>
    <row r="10" spans="1:27" ht="110.25" customHeight="1">
      <c r="A10" s="803" t="s">
        <v>1445</v>
      </c>
      <c r="B10" s="752" t="s">
        <v>1447</v>
      </c>
      <c r="C10" s="808"/>
      <c r="D10" s="809"/>
      <c r="E10" s="493" t="s">
        <v>1718</v>
      </c>
      <c r="F10" s="521" t="s">
        <v>1717</v>
      </c>
      <c r="G10" s="248"/>
      <c r="H10" s="342"/>
      <c r="I10" s="344">
        <v>1</v>
      </c>
      <c r="J10" s="342"/>
      <c r="K10" s="342"/>
      <c r="L10" s="342"/>
      <c r="M10" s="342"/>
      <c r="N10" s="342"/>
      <c r="O10" s="379">
        <f t="shared" si="0"/>
        <v>1</v>
      </c>
      <c r="P10" s="380">
        <f t="shared" si="1"/>
        <v>0</v>
      </c>
      <c r="Q10" s="342" t="s">
        <v>1723</v>
      </c>
      <c r="R10" s="522" t="s">
        <v>1719</v>
      </c>
      <c r="S10" s="248" t="s">
        <v>1720</v>
      </c>
      <c r="T10" s="248" t="s">
        <v>1721</v>
      </c>
      <c r="U10" s="248" t="s">
        <v>1722</v>
      </c>
    </row>
    <row r="11" spans="1:27" ht="110.25">
      <c r="A11" s="804"/>
      <c r="B11" s="753"/>
      <c r="C11" s="808"/>
      <c r="D11" s="809"/>
      <c r="E11" s="304" t="s">
        <v>1731</v>
      </c>
      <c r="F11" s="493" t="s">
        <v>1730</v>
      </c>
      <c r="G11" s="809"/>
      <c r="H11" s="817"/>
      <c r="I11" s="817"/>
      <c r="J11" s="817"/>
      <c r="K11" s="817"/>
      <c r="L11" s="817"/>
      <c r="M11" s="817"/>
      <c r="N11" s="817"/>
      <c r="O11" s="820">
        <f t="shared" si="0"/>
        <v>0</v>
      </c>
      <c r="P11" s="819">
        <f t="shared" si="1"/>
        <v>0</v>
      </c>
      <c r="Q11" s="523" t="s">
        <v>1733</v>
      </c>
      <c r="R11" s="523" t="s">
        <v>1734</v>
      </c>
      <c r="S11" s="524" t="s">
        <v>1735</v>
      </c>
      <c r="T11" s="524" t="s">
        <v>1736</v>
      </c>
      <c r="U11" s="524" t="s">
        <v>1737</v>
      </c>
    </row>
    <row r="12" spans="1:27" ht="141.75">
      <c r="A12" s="804"/>
      <c r="B12" s="753"/>
      <c r="C12" s="808"/>
      <c r="D12" s="809"/>
      <c r="E12" s="304" t="s">
        <v>1744</v>
      </c>
      <c r="F12" s="500" t="s">
        <v>1732</v>
      </c>
      <c r="G12" s="248"/>
      <c r="H12" s="342"/>
      <c r="I12" s="344">
        <v>0.5</v>
      </c>
      <c r="J12" s="488">
        <f>+I12*'5. ACTIVIDADES ESPECIALES'!D120</f>
        <v>9500</v>
      </c>
      <c r="K12" s="342"/>
      <c r="L12" s="342"/>
      <c r="M12" s="344">
        <v>0.5</v>
      </c>
      <c r="N12" s="488">
        <f>+M12*'5. ACTIVIDADES ESPECIALES'!D120</f>
        <v>9500</v>
      </c>
      <c r="O12" s="379">
        <f t="shared" si="0"/>
        <v>1</v>
      </c>
      <c r="P12" s="380">
        <f t="shared" si="1"/>
        <v>19000</v>
      </c>
      <c r="Q12" s="523" t="s">
        <v>1738</v>
      </c>
      <c r="R12" s="505" t="s">
        <v>1739</v>
      </c>
      <c r="S12" s="524" t="s">
        <v>1740</v>
      </c>
      <c r="T12" s="524" t="s">
        <v>1745</v>
      </c>
      <c r="U12" s="524" t="s">
        <v>1741</v>
      </c>
    </row>
    <row r="13" spans="1:27" ht="99">
      <c r="A13" s="804"/>
      <c r="B13" s="753"/>
      <c r="C13" s="808"/>
      <c r="D13" s="809"/>
      <c r="E13" s="304" t="s">
        <v>1896</v>
      </c>
      <c r="F13" s="500" t="s">
        <v>1895</v>
      </c>
      <c r="G13" s="249">
        <v>0.2</v>
      </c>
      <c r="H13" s="342"/>
      <c r="I13" s="344">
        <v>0.3</v>
      </c>
      <c r="J13" s="342"/>
      <c r="K13" s="344">
        <v>0.3</v>
      </c>
      <c r="L13" s="342"/>
      <c r="M13" s="344">
        <v>0.2</v>
      </c>
      <c r="N13" s="342"/>
      <c r="O13" s="379">
        <f t="shared" si="0"/>
        <v>1</v>
      </c>
      <c r="P13" s="380">
        <f t="shared" si="1"/>
        <v>0</v>
      </c>
      <c r="Q13" s="342"/>
      <c r="R13" s="541" t="s">
        <v>1897</v>
      </c>
      <c r="S13" s="248" t="s">
        <v>1900</v>
      </c>
      <c r="T13" s="248" t="s">
        <v>1898</v>
      </c>
      <c r="U13" s="248" t="s">
        <v>1899</v>
      </c>
    </row>
    <row r="14" spans="1:27" ht="82.5">
      <c r="A14" s="804"/>
      <c r="B14" s="753"/>
      <c r="C14" s="808"/>
      <c r="D14" s="809"/>
      <c r="E14" s="304" t="s">
        <v>1906</v>
      </c>
      <c r="F14" s="565" t="s">
        <v>1905</v>
      </c>
      <c r="G14" s="248"/>
      <c r="H14" s="342"/>
      <c r="I14" s="344">
        <v>0.33</v>
      </c>
      <c r="J14" s="342"/>
      <c r="K14" s="344">
        <v>0.33</v>
      </c>
      <c r="L14" s="342"/>
      <c r="M14" s="344">
        <v>0.34</v>
      </c>
      <c r="N14" s="342"/>
      <c r="O14" s="379">
        <f t="shared" si="0"/>
        <v>1</v>
      </c>
      <c r="P14" s="380">
        <f t="shared" si="1"/>
        <v>0</v>
      </c>
      <c r="Q14" s="342"/>
      <c r="R14" s="541" t="s">
        <v>1907</v>
      </c>
      <c r="S14" s="248" t="s">
        <v>1908</v>
      </c>
      <c r="T14" s="248" t="s">
        <v>1909</v>
      </c>
      <c r="U14" s="248" t="s">
        <v>1899</v>
      </c>
    </row>
    <row r="15" spans="1:27" ht="63">
      <c r="A15" s="804"/>
      <c r="B15" s="754"/>
      <c r="C15" s="808"/>
      <c r="D15" s="809"/>
      <c r="E15" s="304" t="s">
        <v>1911</v>
      </c>
      <c r="F15" s="567" t="s">
        <v>1910</v>
      </c>
      <c r="G15" s="248"/>
      <c r="H15" s="342"/>
      <c r="I15" s="344">
        <v>0.33</v>
      </c>
      <c r="J15" s="342"/>
      <c r="K15" s="344">
        <v>0.33</v>
      </c>
      <c r="L15" s="342"/>
      <c r="M15" s="344">
        <v>0.34</v>
      </c>
      <c r="N15" s="342"/>
      <c r="O15" s="379">
        <f t="shared" si="0"/>
        <v>1</v>
      </c>
      <c r="P15" s="380">
        <f t="shared" si="1"/>
        <v>0</v>
      </c>
      <c r="Q15" s="342"/>
      <c r="R15" s="566" t="s">
        <v>1912</v>
      </c>
      <c r="S15" s="248" t="s">
        <v>1913</v>
      </c>
      <c r="T15" s="248" t="s">
        <v>1914</v>
      </c>
      <c r="U15" s="248" t="s">
        <v>1899</v>
      </c>
    </row>
    <row r="16" spans="1:27" ht="97.5" customHeight="1">
      <c r="A16" s="804"/>
      <c r="B16" s="517"/>
      <c r="C16" s="808"/>
      <c r="D16" s="809"/>
      <c r="E16" s="304" t="s">
        <v>1932</v>
      </c>
      <c r="F16" s="568" t="s">
        <v>1931</v>
      </c>
      <c r="G16" s="248"/>
      <c r="H16" s="342"/>
      <c r="I16" s="344"/>
      <c r="J16" s="342"/>
      <c r="K16" s="344">
        <v>1</v>
      </c>
      <c r="L16" s="490">
        <f>+'1. TALLERES SEMINARIOS'!D72</f>
        <v>3500</v>
      </c>
      <c r="M16" s="344"/>
      <c r="N16" s="342"/>
      <c r="O16" s="379">
        <f t="shared" ref="O16:O20" si="2">G16+I16+K16+M16</f>
        <v>1</v>
      </c>
      <c r="P16" s="380">
        <f t="shared" ref="P16:P20" si="3">H16+J16+L16+N16</f>
        <v>3500</v>
      </c>
      <c r="Q16" s="342"/>
      <c r="R16" s="527" t="s">
        <v>1933</v>
      </c>
      <c r="S16" s="248" t="s">
        <v>1908</v>
      </c>
      <c r="T16" s="248" t="s">
        <v>1934</v>
      </c>
      <c r="U16" s="248" t="s">
        <v>1935</v>
      </c>
    </row>
    <row r="17" spans="1:21" ht="73.5" customHeight="1">
      <c r="A17" s="804"/>
      <c r="B17" s="517"/>
      <c r="C17" s="808"/>
      <c r="D17" s="809"/>
      <c r="E17" s="304" t="s">
        <v>1961</v>
      </c>
      <c r="F17" s="500" t="s">
        <v>1960</v>
      </c>
      <c r="G17" s="248"/>
      <c r="H17" s="342"/>
      <c r="I17" s="344">
        <v>0.5</v>
      </c>
      <c r="J17" s="342"/>
      <c r="K17" s="344"/>
      <c r="L17" s="342"/>
      <c r="M17" s="344">
        <v>0.5</v>
      </c>
      <c r="N17" s="342"/>
      <c r="O17" s="379">
        <f t="shared" si="2"/>
        <v>1</v>
      </c>
      <c r="P17" s="380">
        <f t="shared" si="3"/>
        <v>0</v>
      </c>
      <c r="Q17" s="523" t="s">
        <v>1733</v>
      </c>
      <c r="R17" s="578" t="s">
        <v>1963</v>
      </c>
      <c r="S17" s="524" t="s">
        <v>1735</v>
      </c>
      <c r="T17" s="524" t="s">
        <v>1736</v>
      </c>
      <c r="U17" s="524" t="s">
        <v>1962</v>
      </c>
    </row>
    <row r="18" spans="1:21" ht="84" customHeight="1">
      <c r="A18" s="804"/>
      <c r="B18" s="517"/>
      <c r="C18" s="808"/>
      <c r="D18" s="809"/>
      <c r="E18" s="304" t="s">
        <v>2145</v>
      </c>
      <c r="F18" s="486" t="s">
        <v>2144</v>
      </c>
      <c r="G18" s="248"/>
      <c r="H18" s="342"/>
      <c r="I18" s="344"/>
      <c r="J18" s="342"/>
      <c r="K18" s="344">
        <v>1</v>
      </c>
      <c r="L18" s="342">
        <f>+K18*'5. ACTIVIDADES ESPECIALES'!D431</f>
        <v>33775</v>
      </c>
      <c r="M18" s="344"/>
      <c r="N18" s="342"/>
      <c r="O18" s="379">
        <f t="shared" si="2"/>
        <v>1</v>
      </c>
      <c r="P18" s="380">
        <f t="shared" si="3"/>
        <v>33775</v>
      </c>
      <c r="Q18" s="663" t="s">
        <v>2150</v>
      </c>
      <c r="R18" s="501" t="s">
        <v>2146</v>
      </c>
      <c r="S18" s="598" t="s">
        <v>2147</v>
      </c>
      <c r="T18" s="598" t="s">
        <v>2148</v>
      </c>
      <c r="U18" s="599" t="s">
        <v>2149</v>
      </c>
    </row>
    <row r="19" spans="1:21" ht="110.25">
      <c r="A19" s="804"/>
      <c r="B19" s="517"/>
      <c r="C19" s="808"/>
      <c r="D19" s="809"/>
      <c r="E19" s="304" t="s">
        <v>2168</v>
      </c>
      <c r="F19" s="500" t="s">
        <v>2167</v>
      </c>
      <c r="G19" s="248"/>
      <c r="H19" s="342"/>
      <c r="I19" s="344">
        <v>0.33</v>
      </c>
      <c r="J19" s="342"/>
      <c r="K19" s="344">
        <v>0.33</v>
      </c>
      <c r="L19" s="342"/>
      <c r="M19" s="344">
        <v>0.34</v>
      </c>
      <c r="N19" s="342"/>
      <c r="O19" s="379">
        <f t="shared" si="2"/>
        <v>1</v>
      </c>
      <c r="P19" s="380">
        <f t="shared" si="3"/>
        <v>0</v>
      </c>
      <c r="Q19" s="671"/>
      <c r="R19" s="527" t="s">
        <v>2169</v>
      </c>
      <c r="S19" s="248" t="s">
        <v>2170</v>
      </c>
      <c r="T19" s="248" t="s">
        <v>2171</v>
      </c>
      <c r="U19" s="248" t="s">
        <v>2172</v>
      </c>
    </row>
    <row r="20" spans="1:21" ht="110.25">
      <c r="A20" s="804"/>
      <c r="B20" s="517"/>
      <c r="C20" s="808"/>
      <c r="D20" s="809"/>
      <c r="E20" s="304" t="s">
        <v>2285</v>
      </c>
      <c r="F20" s="493" t="s">
        <v>2286</v>
      </c>
      <c r="G20" s="638">
        <v>0.33</v>
      </c>
      <c r="H20" s="342"/>
      <c r="I20" s="344">
        <v>0.33</v>
      </c>
      <c r="J20" s="342"/>
      <c r="K20" s="344"/>
      <c r="L20" s="342"/>
      <c r="M20" s="344">
        <v>0.34</v>
      </c>
      <c r="N20" s="342"/>
      <c r="O20" s="379">
        <f t="shared" si="2"/>
        <v>1</v>
      </c>
      <c r="P20" s="380">
        <f t="shared" si="3"/>
        <v>0</v>
      </c>
      <c r="Q20" s="342"/>
      <c r="R20" s="578" t="s">
        <v>2287</v>
      </c>
      <c r="S20" s="248" t="s">
        <v>2289</v>
      </c>
      <c r="T20" s="248" t="s">
        <v>2288</v>
      </c>
      <c r="U20" s="637" t="s">
        <v>2172</v>
      </c>
    </row>
    <row r="21" spans="1:21" ht="15.75" hidden="1" customHeight="1">
      <c r="A21" s="804"/>
      <c r="B21" s="803" t="s">
        <v>1448</v>
      </c>
      <c r="C21" s="304"/>
      <c r="D21" s="248"/>
      <c r="E21" s="304"/>
      <c r="F21" s="304"/>
      <c r="G21" s="249"/>
      <c r="H21" s="343"/>
      <c r="I21" s="344"/>
      <c r="J21" s="343"/>
      <c r="K21" s="344"/>
      <c r="L21" s="343"/>
      <c r="M21" s="344"/>
      <c r="N21" s="343"/>
      <c r="O21" s="379">
        <f t="shared" si="0"/>
        <v>0</v>
      </c>
      <c r="P21" s="381">
        <f t="shared" si="1"/>
        <v>0</v>
      </c>
      <c r="Q21" s="341"/>
      <c r="R21" s="341"/>
      <c r="S21" s="248"/>
      <c r="T21" s="248"/>
      <c r="U21" s="248"/>
    </row>
    <row r="22" spans="1:21" ht="15.75" hidden="1" customHeight="1">
      <c r="A22" s="804"/>
      <c r="B22" s="803" t="s">
        <v>1449</v>
      </c>
      <c r="C22" s="304"/>
      <c r="D22" s="248"/>
      <c r="E22" s="304"/>
      <c r="F22" s="304"/>
      <c r="G22" s="248"/>
      <c r="H22" s="343"/>
      <c r="I22" s="342"/>
      <c r="J22" s="342"/>
      <c r="K22" s="342"/>
      <c r="L22" s="342"/>
      <c r="M22" s="342"/>
      <c r="N22" s="342"/>
      <c r="O22" s="379">
        <f t="shared" si="0"/>
        <v>0</v>
      </c>
      <c r="P22" s="380">
        <f t="shared" si="1"/>
        <v>0</v>
      </c>
      <c r="Q22" s="248"/>
      <c r="R22" s="248"/>
      <c r="S22" s="248"/>
      <c r="T22" s="248"/>
      <c r="U22" s="248"/>
    </row>
    <row r="23" spans="1:21" ht="78.75">
      <c r="A23" s="804"/>
      <c r="B23" s="794" t="s">
        <v>1450</v>
      </c>
      <c r="C23" s="812" t="s">
        <v>1602</v>
      </c>
      <c r="D23" s="495" t="s">
        <v>1601</v>
      </c>
      <c r="E23" s="304" t="s">
        <v>1603</v>
      </c>
      <c r="F23" s="495" t="s">
        <v>1593</v>
      </c>
      <c r="G23" s="248"/>
      <c r="H23" s="343"/>
      <c r="I23" s="344">
        <v>1</v>
      </c>
      <c r="J23" s="342"/>
      <c r="K23" s="342"/>
      <c r="L23" s="342"/>
      <c r="M23" s="342"/>
      <c r="N23" s="342"/>
      <c r="O23" s="379">
        <f t="shared" si="0"/>
        <v>1</v>
      </c>
      <c r="P23" s="380">
        <f t="shared" si="1"/>
        <v>0</v>
      </c>
      <c r="Q23" s="248"/>
      <c r="R23" s="501" t="s">
        <v>1594</v>
      </c>
      <c r="S23" s="248" t="s">
        <v>1596</v>
      </c>
      <c r="T23" s="248" t="s">
        <v>1597</v>
      </c>
      <c r="U23" s="248" t="s">
        <v>1598</v>
      </c>
    </row>
    <row r="24" spans="1:21" ht="85.5">
      <c r="A24" s="804"/>
      <c r="B24" s="753"/>
      <c r="C24" s="813"/>
      <c r="D24" s="248" t="s">
        <v>1753</v>
      </c>
      <c r="E24" s="304" t="s">
        <v>1604</v>
      </c>
      <c r="F24" s="495" t="s">
        <v>1592</v>
      </c>
      <c r="G24" s="248"/>
      <c r="H24" s="343"/>
      <c r="I24" s="342"/>
      <c r="J24" s="342"/>
      <c r="K24" s="342"/>
      <c r="L24" s="342"/>
      <c r="M24" s="344">
        <v>1</v>
      </c>
      <c r="N24" s="342"/>
      <c r="O24" s="379">
        <f t="shared" si="0"/>
        <v>1</v>
      </c>
      <c r="P24" s="380">
        <f t="shared" si="1"/>
        <v>0</v>
      </c>
      <c r="Q24" s="248"/>
      <c r="R24" s="502" t="s">
        <v>1595</v>
      </c>
      <c r="S24" s="248" t="s">
        <v>1599</v>
      </c>
      <c r="T24" s="248" t="s">
        <v>1600</v>
      </c>
      <c r="U24" s="248" t="s">
        <v>1598</v>
      </c>
    </row>
    <row r="25" spans="1:21" ht="89.25">
      <c r="A25" s="804"/>
      <c r="B25" s="754"/>
      <c r="C25" s="814"/>
      <c r="D25" s="248" t="s">
        <v>1754</v>
      </c>
      <c r="E25" s="304" t="s">
        <v>1748</v>
      </c>
      <c r="F25" s="525" t="s">
        <v>1746</v>
      </c>
      <c r="G25" s="248"/>
      <c r="H25" s="343"/>
      <c r="I25" s="344">
        <v>1</v>
      </c>
      <c r="J25" s="488">
        <f>+'5. ACTIVIDADES ESPECIALES'!D132</f>
        <v>9600</v>
      </c>
      <c r="K25" s="342"/>
      <c r="L25" s="342"/>
      <c r="M25" s="342"/>
      <c r="N25" s="342"/>
      <c r="O25" s="379">
        <f t="shared" si="0"/>
        <v>1</v>
      </c>
      <c r="P25" s="380">
        <f t="shared" si="1"/>
        <v>9600</v>
      </c>
      <c r="Q25" s="248" t="s">
        <v>1752</v>
      </c>
      <c r="R25" s="526" t="s">
        <v>1747</v>
      </c>
      <c r="S25" s="248" t="s">
        <v>1749</v>
      </c>
      <c r="T25" s="248" t="s">
        <v>1750</v>
      </c>
      <c r="U25" s="248" t="s">
        <v>1751</v>
      </c>
    </row>
    <row r="26" spans="1:21" ht="96" customHeight="1">
      <c r="A26" s="752" t="s">
        <v>1446</v>
      </c>
      <c r="B26" s="794" t="s">
        <v>1451</v>
      </c>
      <c r="C26" s="494" t="s">
        <v>1557</v>
      </c>
      <c r="D26" s="495" t="s">
        <v>1558</v>
      </c>
      <c r="E26" s="304" t="s">
        <v>1548</v>
      </c>
      <c r="F26" s="495" t="s">
        <v>1544</v>
      </c>
      <c r="G26" s="249">
        <v>0.5</v>
      </c>
      <c r="H26" s="342">
        <f>+'5. ACTIVIDADES ESPECIALES'!D31*'3. Vinculación Univ. Sociedad'!G26</f>
        <v>500</v>
      </c>
      <c r="I26" s="344">
        <v>0.5</v>
      </c>
      <c r="J26" s="342">
        <f>+I26*'5. ACTIVIDADES ESPECIALES'!D31</f>
        <v>500</v>
      </c>
      <c r="K26" s="344"/>
      <c r="L26" s="342"/>
      <c r="M26" s="344"/>
      <c r="N26" s="342"/>
      <c r="O26" s="379">
        <f t="shared" ref="O26:O34" si="4">G26+I26+K26+M26</f>
        <v>1</v>
      </c>
      <c r="P26" s="380">
        <f t="shared" ref="P26:P31" si="5">H26+J26+L26+N26</f>
        <v>1000</v>
      </c>
      <c r="Q26" s="520" t="s">
        <v>1716</v>
      </c>
      <c r="R26" s="492" t="s">
        <v>1564</v>
      </c>
      <c r="S26" s="496" t="s">
        <v>1559</v>
      </c>
      <c r="T26" s="496" t="s">
        <v>1560</v>
      </c>
      <c r="U26" s="496" t="s">
        <v>1554</v>
      </c>
    </row>
    <row r="27" spans="1:21" ht="104.25" customHeight="1">
      <c r="A27" s="753"/>
      <c r="B27" s="753"/>
      <c r="C27" s="494" t="s">
        <v>1551</v>
      </c>
      <c r="D27" s="495" t="s">
        <v>1550</v>
      </c>
      <c r="E27" s="304" t="s">
        <v>1547</v>
      </c>
      <c r="F27" s="495" t="s">
        <v>1545</v>
      </c>
      <c r="G27" s="249"/>
      <c r="H27" s="342"/>
      <c r="I27" s="344">
        <v>0.33</v>
      </c>
      <c r="J27" s="342"/>
      <c r="K27" s="344">
        <v>0.33</v>
      </c>
      <c r="L27" s="342"/>
      <c r="M27" s="344">
        <v>0.34</v>
      </c>
      <c r="N27" s="342"/>
      <c r="O27" s="379">
        <f t="shared" si="4"/>
        <v>1</v>
      </c>
      <c r="P27" s="380">
        <f t="shared" si="5"/>
        <v>0</v>
      </c>
      <c r="Q27" s="520" t="s">
        <v>1715</v>
      </c>
      <c r="R27" s="492" t="s">
        <v>1565</v>
      </c>
      <c r="S27" s="496" t="s">
        <v>1555</v>
      </c>
      <c r="T27" s="496" t="s">
        <v>1553</v>
      </c>
      <c r="U27" s="496" t="s">
        <v>1554</v>
      </c>
    </row>
    <row r="28" spans="1:21" ht="76.5" customHeight="1">
      <c r="A28" s="753"/>
      <c r="B28" s="753"/>
      <c r="C28" s="494" t="s">
        <v>1556</v>
      </c>
      <c r="D28" s="495" t="s">
        <v>1550</v>
      </c>
      <c r="E28" s="304" t="s">
        <v>1549</v>
      </c>
      <c r="F28" s="495" t="s">
        <v>1546</v>
      </c>
      <c r="G28" s="249"/>
      <c r="H28" s="342"/>
      <c r="I28" s="344"/>
      <c r="J28" s="342"/>
      <c r="K28" s="344">
        <v>0.5</v>
      </c>
      <c r="L28" s="342"/>
      <c r="M28" s="344">
        <v>0.5</v>
      </c>
      <c r="N28" s="342"/>
      <c r="O28" s="379">
        <f t="shared" si="4"/>
        <v>1</v>
      </c>
      <c r="P28" s="380">
        <f t="shared" si="5"/>
        <v>0</v>
      </c>
      <c r="Q28" s="342"/>
      <c r="R28" s="492" t="s">
        <v>1566</v>
      </c>
      <c r="S28" s="496" t="s">
        <v>1552</v>
      </c>
      <c r="T28" s="496" t="s">
        <v>1553</v>
      </c>
      <c r="U28" s="496" t="s">
        <v>1554</v>
      </c>
    </row>
    <row r="29" spans="1:21" ht="94.5">
      <c r="A29" s="753"/>
      <c r="B29" s="753"/>
      <c r="C29" s="808"/>
      <c r="D29" s="809"/>
      <c r="E29" s="304" t="s">
        <v>1725</v>
      </c>
      <c r="F29" s="493" t="s">
        <v>1724</v>
      </c>
      <c r="G29" s="249">
        <v>0.33</v>
      </c>
      <c r="H29" s="342">
        <f>+'1. TALLERES SEMINARIOS'!D34*'3. Vinculación Univ. Sociedad'!G29</f>
        <v>990</v>
      </c>
      <c r="I29" s="249">
        <v>0.33</v>
      </c>
      <c r="J29" s="342">
        <f>+'1. TALLERES SEMINARIOS'!D34*I29</f>
        <v>990</v>
      </c>
      <c r="K29" s="344">
        <v>0.34</v>
      </c>
      <c r="L29" s="342">
        <f>+'1. TALLERES SEMINARIOS'!D34*K29</f>
        <v>1020.0000000000001</v>
      </c>
      <c r="M29" s="344"/>
      <c r="N29" s="342"/>
      <c r="O29" s="379">
        <f t="shared" si="4"/>
        <v>1</v>
      </c>
      <c r="P29" s="380">
        <f t="shared" si="5"/>
        <v>3000</v>
      </c>
      <c r="Q29" s="342"/>
      <c r="R29" s="505" t="s">
        <v>1726</v>
      </c>
      <c r="S29" s="248" t="s">
        <v>1729</v>
      </c>
      <c r="T29" s="248" t="s">
        <v>1727</v>
      </c>
      <c r="U29" s="248" t="s">
        <v>1728</v>
      </c>
    </row>
    <row r="30" spans="1:21" ht="87.75" customHeight="1">
      <c r="A30" s="753"/>
      <c r="B30" s="753"/>
      <c r="C30" s="810"/>
      <c r="D30" s="811"/>
      <c r="E30" s="304" t="s">
        <v>1767</v>
      </c>
      <c r="F30" s="529" t="s">
        <v>1766</v>
      </c>
      <c r="G30" s="249">
        <v>0.35</v>
      </c>
      <c r="H30" s="342"/>
      <c r="I30" s="344">
        <v>0.65</v>
      </c>
      <c r="J30" s="342"/>
      <c r="K30" s="344"/>
      <c r="L30" s="342"/>
      <c r="M30" s="344"/>
      <c r="N30" s="342"/>
      <c r="O30" s="379">
        <f t="shared" si="4"/>
        <v>1</v>
      </c>
      <c r="P30" s="380">
        <f t="shared" si="5"/>
        <v>0</v>
      </c>
      <c r="Q30" s="342"/>
      <c r="R30" s="528" t="s">
        <v>1768</v>
      </c>
      <c r="S30" s="248" t="s">
        <v>1770</v>
      </c>
      <c r="T30" s="248" t="s">
        <v>1769</v>
      </c>
      <c r="U30" s="248" t="s">
        <v>1751</v>
      </c>
    </row>
    <row r="31" spans="1:21" ht="61.5" customHeight="1">
      <c r="A31" s="753"/>
      <c r="B31" s="753"/>
      <c r="C31" s="808"/>
      <c r="D31" s="809"/>
      <c r="E31" s="304" t="s">
        <v>1772</v>
      </c>
      <c r="F31" s="530" t="s">
        <v>1771</v>
      </c>
      <c r="G31" s="249"/>
      <c r="H31" s="342"/>
      <c r="I31" s="344"/>
      <c r="J31" s="342"/>
      <c r="K31" s="344">
        <v>0.35</v>
      </c>
      <c r="L31" s="490">
        <f>+K31*'1. TALLERES SEMINARIOS'!D46</f>
        <v>420</v>
      </c>
      <c r="M31" s="344">
        <v>0.65</v>
      </c>
      <c r="N31" s="490">
        <f>+M31*'1. TALLERES SEMINARIOS'!D46</f>
        <v>780</v>
      </c>
      <c r="O31" s="379">
        <f t="shared" si="4"/>
        <v>1</v>
      </c>
      <c r="P31" s="380">
        <f t="shared" si="5"/>
        <v>1200</v>
      </c>
      <c r="Q31" s="342"/>
      <c r="R31" s="531" t="s">
        <v>1773</v>
      </c>
      <c r="S31" s="248" t="s">
        <v>1774</v>
      </c>
      <c r="T31" s="248" t="s">
        <v>1769</v>
      </c>
      <c r="U31" s="248" t="s">
        <v>1751</v>
      </c>
    </row>
    <row r="32" spans="1:21" ht="60" customHeight="1">
      <c r="A32" s="753"/>
      <c r="B32" s="753"/>
      <c r="C32" s="808"/>
      <c r="D32" s="809"/>
      <c r="E32" s="304" t="s">
        <v>1776</v>
      </c>
      <c r="F32" s="532" t="s">
        <v>1775</v>
      </c>
      <c r="G32" s="249">
        <v>0.25</v>
      </c>
      <c r="H32" s="342"/>
      <c r="I32" s="344">
        <v>0.25</v>
      </c>
      <c r="J32" s="342"/>
      <c r="K32" s="344">
        <v>0.25</v>
      </c>
      <c r="L32" s="342"/>
      <c r="M32" s="344">
        <v>0.25</v>
      </c>
      <c r="N32" s="342"/>
      <c r="O32" s="379">
        <f t="shared" ref="O32" si="6">G32+I32+K32+M32</f>
        <v>1</v>
      </c>
      <c r="P32" s="380">
        <f t="shared" ref="P32:P34" si="7">H32+J32+L32+N32</f>
        <v>0</v>
      </c>
      <c r="Q32" s="342"/>
      <c r="R32" s="533" t="s">
        <v>1777</v>
      </c>
      <c r="S32" s="496" t="s">
        <v>1778</v>
      </c>
      <c r="T32" s="496" t="s">
        <v>1779</v>
      </c>
      <c r="U32" s="496" t="s">
        <v>1751</v>
      </c>
    </row>
    <row r="33" spans="1:21" ht="67.5" customHeight="1">
      <c r="A33" s="753"/>
      <c r="B33" s="753"/>
      <c r="C33" s="808"/>
      <c r="D33" s="809"/>
      <c r="E33" s="304" t="s">
        <v>1780</v>
      </c>
      <c r="F33" s="534" t="s">
        <v>1783</v>
      </c>
      <c r="G33" s="249"/>
      <c r="H33" s="342"/>
      <c r="I33" s="344"/>
      <c r="J33" s="342"/>
      <c r="K33" s="344"/>
      <c r="L33" s="490"/>
      <c r="M33" s="344">
        <v>1</v>
      </c>
      <c r="N33" s="490"/>
      <c r="O33" s="379">
        <f t="shared" si="4"/>
        <v>1</v>
      </c>
      <c r="P33" s="380">
        <f t="shared" si="7"/>
        <v>0</v>
      </c>
      <c r="Q33" s="342"/>
      <c r="R33" s="528" t="s">
        <v>1781</v>
      </c>
      <c r="S33" s="248" t="s">
        <v>1782</v>
      </c>
      <c r="T33" s="248" t="s">
        <v>1784</v>
      </c>
      <c r="U33" s="248" t="s">
        <v>1751</v>
      </c>
    </row>
    <row r="34" spans="1:21" ht="63" customHeight="1">
      <c r="A34" s="753"/>
      <c r="B34" s="754"/>
      <c r="C34" s="808"/>
      <c r="D34" s="809"/>
      <c r="E34" s="304" t="s">
        <v>1956</v>
      </c>
      <c r="F34" s="489" t="s">
        <v>1955</v>
      </c>
      <c r="G34" s="249">
        <v>0.5</v>
      </c>
      <c r="H34" s="342"/>
      <c r="I34" s="344"/>
      <c r="J34" s="342"/>
      <c r="K34" s="344"/>
      <c r="L34" s="490"/>
      <c r="M34" s="344">
        <v>0.5</v>
      </c>
      <c r="N34" s="490"/>
      <c r="O34" s="379">
        <f t="shared" si="4"/>
        <v>1</v>
      </c>
      <c r="P34" s="380">
        <f t="shared" si="7"/>
        <v>0</v>
      </c>
      <c r="Q34" s="342"/>
      <c r="R34" s="501" t="s">
        <v>1957</v>
      </c>
      <c r="S34" s="248" t="s">
        <v>1959</v>
      </c>
      <c r="T34" s="248" t="s">
        <v>1750</v>
      </c>
      <c r="U34" s="248" t="s">
        <v>1958</v>
      </c>
    </row>
    <row r="35" spans="1:21" s="258" customFormat="1" ht="15.75">
      <c r="A35" s="289"/>
      <c r="B35" s="290"/>
      <c r="C35" s="289" t="s">
        <v>98</v>
      </c>
      <c r="D35" s="290"/>
      <c r="E35" s="290"/>
      <c r="F35" s="291"/>
      <c r="G35" s="261">
        <f>SUM(G8:G34)</f>
        <v>2.46</v>
      </c>
      <c r="H35" s="261">
        <f>SUM(H8:H34)</f>
        <v>1490</v>
      </c>
      <c r="I35" s="261">
        <f>SUM(I8:I34)</f>
        <v>7.6800000000000006</v>
      </c>
      <c r="J35" s="261">
        <f>SUM(J8:J34)</f>
        <v>20590</v>
      </c>
      <c r="K35" s="261">
        <f>SUM(K8:K34)</f>
        <v>5.0599999999999996</v>
      </c>
      <c r="L35" s="261">
        <f>SUM(L8:L34)</f>
        <v>38715</v>
      </c>
      <c r="M35" s="261">
        <f>SUM(M8:M34)</f>
        <v>6.8000000000000007</v>
      </c>
      <c r="N35" s="261">
        <f>SUM(N8:N34)</f>
        <v>10280</v>
      </c>
      <c r="O35" s="261">
        <f>SUM(O8:O34)</f>
        <v>22</v>
      </c>
      <c r="P35" s="261">
        <f>SUM(P8:P34)</f>
        <v>71075</v>
      </c>
      <c r="Q35" s="262"/>
      <c r="R35" s="262"/>
      <c r="S35" s="262"/>
      <c r="T35" s="262"/>
      <c r="U35" s="262"/>
    </row>
    <row r="36" spans="1:21" ht="15.75">
      <c r="A36" s="258"/>
      <c r="B36" s="258"/>
      <c r="C36" s="258"/>
      <c r="D36" s="258"/>
      <c r="E36" s="257"/>
      <c r="F36" s="258"/>
      <c r="G36" s="258"/>
      <c r="S36" s="263"/>
      <c r="T36" s="263"/>
      <c r="U36" s="264"/>
    </row>
    <row r="37" spans="1:21" ht="15.75">
      <c r="E37" s="257"/>
      <c r="S37" s="263"/>
      <c r="T37" s="263"/>
    </row>
    <row r="38" spans="1:21" ht="15.75">
      <c r="E38" s="257"/>
      <c r="S38" s="263"/>
      <c r="T38" s="263"/>
    </row>
    <row r="39" spans="1:21" ht="15.75">
      <c r="E39" s="257"/>
      <c r="S39" s="263"/>
      <c r="T39" s="263"/>
    </row>
    <row r="40" spans="1:21" ht="15.75">
      <c r="E40" s="257"/>
      <c r="S40" s="263"/>
      <c r="T40" s="263"/>
    </row>
    <row r="41" spans="1:21" ht="15.75">
      <c r="E41" s="257"/>
      <c r="S41" s="263"/>
      <c r="T41" s="263"/>
    </row>
    <row r="42" spans="1:21" ht="15.75">
      <c r="E42" s="257"/>
      <c r="S42" s="263"/>
      <c r="T42" s="263"/>
    </row>
    <row r="43" spans="1:21" ht="15.75">
      <c r="E43" s="257"/>
      <c r="S43" s="263"/>
      <c r="T43" s="263"/>
    </row>
    <row r="44" spans="1:21" ht="15.75">
      <c r="E44" s="257"/>
      <c r="S44" s="263"/>
      <c r="T44" s="263"/>
    </row>
    <row r="45" spans="1:21" ht="15.75">
      <c r="E45" s="257"/>
      <c r="S45" s="263"/>
      <c r="T45" s="263"/>
    </row>
    <row r="46" spans="1:21" ht="15.75">
      <c r="E46" s="257"/>
      <c r="S46" s="263"/>
      <c r="T46" s="263"/>
    </row>
    <row r="47" spans="1:21" ht="15.75">
      <c r="E47" s="257"/>
      <c r="S47" s="265"/>
      <c r="T47" s="265"/>
    </row>
    <row r="48" spans="1:21" ht="15.75">
      <c r="E48" s="257"/>
      <c r="S48" s="263"/>
      <c r="T48" s="263"/>
    </row>
    <row r="49" spans="5:20" ht="15.75">
      <c r="E49" s="257"/>
      <c r="S49" s="263"/>
      <c r="T49" s="263"/>
    </row>
    <row r="50" spans="5:20" ht="15.75">
      <c r="E50" s="257"/>
      <c r="S50" s="263"/>
      <c r="T50" s="263"/>
    </row>
    <row r="51" spans="5:20" ht="15.75">
      <c r="E51" s="257"/>
      <c r="S51" s="263"/>
      <c r="T51" s="263"/>
    </row>
    <row r="52" spans="5:20" ht="15.75">
      <c r="E52" s="257"/>
      <c r="S52" s="263"/>
      <c r="T52" s="263"/>
    </row>
    <row r="53" spans="5:20" ht="15.75">
      <c r="E53" s="257"/>
      <c r="S53" s="263"/>
      <c r="T53" s="263"/>
    </row>
    <row r="54" spans="5:20" ht="15.75">
      <c r="E54" s="257"/>
      <c r="S54" s="263"/>
      <c r="T54" s="263"/>
    </row>
    <row r="55" spans="5:20" ht="15.75">
      <c r="E55" s="257"/>
      <c r="S55" s="263"/>
      <c r="T55" s="263"/>
    </row>
    <row r="56" spans="5:20" ht="15.75">
      <c r="E56" s="257"/>
      <c r="S56" s="263"/>
      <c r="T56" s="263"/>
    </row>
    <row r="57" spans="5:20" ht="15.75">
      <c r="E57" s="257"/>
      <c r="S57" s="263"/>
      <c r="T57" s="263"/>
    </row>
    <row r="58" spans="5:20" ht="15.75">
      <c r="E58" s="257"/>
      <c r="S58" s="263"/>
      <c r="T58" s="263"/>
    </row>
    <row r="59" spans="5:20" ht="15.75">
      <c r="E59" s="257"/>
      <c r="S59" s="265"/>
      <c r="T59" s="265"/>
    </row>
    <row r="60" spans="5:20" ht="15.75">
      <c r="E60" s="257"/>
      <c r="S60" s="263"/>
      <c r="T60" s="263"/>
    </row>
    <row r="61" spans="5:20" ht="15.75">
      <c r="E61" s="257"/>
      <c r="S61" s="263"/>
      <c r="T61" s="263"/>
    </row>
    <row r="62" spans="5:20" ht="15.75">
      <c r="E62" s="257"/>
      <c r="S62" s="263"/>
      <c r="T62" s="263"/>
    </row>
    <row r="63" spans="5:20" ht="15.75">
      <c r="E63" s="257"/>
      <c r="S63" s="263"/>
      <c r="T63" s="263"/>
    </row>
    <row r="64" spans="5:20" ht="15.75">
      <c r="E64" s="257"/>
      <c r="S64" s="263"/>
      <c r="T64" s="263"/>
    </row>
    <row r="65" spans="5:20" ht="15.75">
      <c r="E65" s="257"/>
      <c r="S65" s="263"/>
      <c r="T65" s="263"/>
    </row>
    <row r="66" spans="5:20" ht="15.75">
      <c r="E66" s="257"/>
      <c r="S66" s="263"/>
      <c r="T66" s="263"/>
    </row>
    <row r="67" spans="5:20" ht="15.75">
      <c r="E67" s="257"/>
      <c r="S67" s="263"/>
      <c r="T67" s="263"/>
    </row>
    <row r="68" spans="5:20" ht="15.75">
      <c r="E68" s="257"/>
      <c r="S68" s="265"/>
      <c r="T68" s="265"/>
    </row>
    <row r="69" spans="5:20" ht="15.75">
      <c r="E69" s="257"/>
      <c r="S69" s="263"/>
      <c r="T69" s="263"/>
    </row>
    <row r="70" spans="5:20" ht="15.75">
      <c r="E70" s="257"/>
      <c r="S70" s="263"/>
      <c r="T70" s="263"/>
    </row>
    <row r="71" spans="5:20">
      <c r="S71" s="263"/>
      <c r="T71" s="263"/>
    </row>
    <row r="72" spans="5:20">
      <c r="S72" s="263"/>
      <c r="T72" s="263"/>
    </row>
    <row r="73" spans="5:20">
      <c r="S73" s="263"/>
      <c r="T73" s="263"/>
    </row>
    <row r="74" spans="5:20">
      <c r="S74" s="263"/>
      <c r="T74" s="263"/>
    </row>
    <row r="75" spans="5:20">
      <c r="S75" s="263"/>
      <c r="T75" s="263"/>
    </row>
    <row r="76" spans="5:20" ht="15.75">
      <c r="S76" s="265"/>
      <c r="T76" s="265"/>
    </row>
    <row r="77" spans="5:20">
      <c r="S77" s="263"/>
      <c r="T77" s="263"/>
    </row>
    <row r="78" spans="5:20">
      <c r="S78" s="263"/>
      <c r="T78" s="263"/>
    </row>
    <row r="79" spans="5:20">
      <c r="S79" s="263"/>
      <c r="T79" s="263"/>
    </row>
    <row r="80" spans="5:20">
      <c r="S80" s="263"/>
      <c r="T80" s="263"/>
    </row>
    <row r="81" spans="5:20">
      <c r="S81" s="263"/>
      <c r="T81" s="263"/>
    </row>
    <row r="82" spans="5:20">
      <c r="S82" s="263"/>
      <c r="T82" s="263"/>
    </row>
    <row r="86" spans="5:20">
      <c r="E86" s="251"/>
      <c r="S86" s="260"/>
      <c r="T86" s="260"/>
    </row>
    <row r="87" spans="5:20">
      <c r="E87" s="251"/>
      <c r="S87" s="260"/>
      <c r="T87" s="260"/>
    </row>
    <row r="88" spans="5:20">
      <c r="E88" s="251"/>
      <c r="S88" s="260"/>
      <c r="T88" s="260"/>
    </row>
    <row r="89" spans="5:20">
      <c r="E89" s="251"/>
      <c r="S89" s="260"/>
      <c r="T89" s="260"/>
    </row>
    <row r="90" spans="5:20">
      <c r="E90" s="251"/>
      <c r="S90" s="260"/>
      <c r="T90" s="260"/>
    </row>
    <row r="91" spans="5:20">
      <c r="E91" s="251"/>
      <c r="S91" s="260"/>
      <c r="T91" s="260"/>
    </row>
    <row r="92" spans="5:20">
      <c r="E92" s="251"/>
      <c r="S92" s="260"/>
      <c r="T92" s="260"/>
    </row>
    <row r="93" spans="5:20">
      <c r="E93" s="251"/>
      <c r="S93" s="260"/>
      <c r="T93" s="260"/>
    </row>
    <row r="94" spans="5:20">
      <c r="E94" s="251"/>
      <c r="S94" s="260"/>
      <c r="T94" s="260"/>
    </row>
    <row r="95" spans="5:20">
      <c r="E95" s="251"/>
      <c r="S95" s="260"/>
      <c r="T95" s="260"/>
    </row>
    <row r="96" spans="5:20">
      <c r="E96" s="251"/>
      <c r="S96" s="260"/>
      <c r="T96" s="260"/>
    </row>
    <row r="97" spans="5:20">
      <c r="E97" s="251"/>
      <c r="S97" s="260"/>
      <c r="T97" s="260"/>
    </row>
    <row r="98" spans="5:20">
      <c r="E98" s="251"/>
      <c r="S98" s="260"/>
      <c r="T98" s="260"/>
    </row>
    <row r="99" spans="5:20">
      <c r="E99" s="251"/>
      <c r="S99" s="260"/>
      <c r="T99" s="260"/>
    </row>
    <row r="100" spans="5:20">
      <c r="E100" s="251"/>
      <c r="S100" s="260"/>
      <c r="T100" s="260"/>
    </row>
    <row r="101" spans="5:20">
      <c r="E101" s="251"/>
      <c r="S101" s="260"/>
      <c r="T101" s="260"/>
    </row>
    <row r="102" spans="5:20">
      <c r="E102" s="251"/>
      <c r="S102" s="260"/>
      <c r="T102" s="260"/>
    </row>
    <row r="103" spans="5:20">
      <c r="E103" s="251"/>
      <c r="S103" s="260"/>
      <c r="T103" s="260"/>
    </row>
    <row r="104" spans="5:20">
      <c r="E104" s="251"/>
      <c r="S104" s="260"/>
      <c r="T104" s="260"/>
    </row>
    <row r="105" spans="5:20">
      <c r="E105" s="251"/>
      <c r="S105" s="260"/>
      <c r="T105" s="260"/>
    </row>
    <row r="106" spans="5:20">
      <c r="E106" s="251"/>
      <c r="S106" s="260"/>
      <c r="T106" s="260"/>
    </row>
    <row r="107" spans="5:20">
      <c r="E107" s="251"/>
      <c r="S107" s="260"/>
      <c r="T107" s="260"/>
    </row>
    <row r="108" spans="5:20">
      <c r="E108" s="251"/>
      <c r="S108" s="260"/>
      <c r="T108" s="260"/>
    </row>
    <row r="109" spans="5:20">
      <c r="E109" s="251"/>
      <c r="S109" s="260"/>
      <c r="T109" s="260"/>
    </row>
    <row r="110" spans="5:20">
      <c r="E110" s="251"/>
      <c r="S110" s="260"/>
      <c r="T110" s="260"/>
    </row>
    <row r="111" spans="5:20">
      <c r="E111" s="251"/>
      <c r="S111" s="260"/>
      <c r="T111" s="260"/>
    </row>
    <row r="112" spans="5:20">
      <c r="E112" s="251"/>
      <c r="S112" s="260"/>
      <c r="T112" s="260"/>
    </row>
    <row r="113" spans="5:20">
      <c r="E113" s="251"/>
      <c r="S113" s="260"/>
      <c r="T113" s="260"/>
    </row>
    <row r="114" spans="5:20">
      <c r="E114" s="251"/>
      <c r="S114" s="260"/>
      <c r="T114" s="260"/>
    </row>
    <row r="115" spans="5:20">
      <c r="E115" s="251"/>
    </row>
    <row r="116" spans="5:20">
      <c r="E116" s="251"/>
    </row>
    <row r="117" spans="5:20">
      <c r="E117" s="251"/>
    </row>
    <row r="118" spans="5:20">
      <c r="E118" s="251"/>
    </row>
    <row r="119" spans="5:20">
      <c r="E119" s="251"/>
    </row>
    <row r="120" spans="5:20">
      <c r="E120" s="251"/>
    </row>
    <row r="121" spans="5:20">
      <c r="E121" s="251"/>
    </row>
    <row r="122" spans="5:20">
      <c r="E122" s="251"/>
    </row>
    <row r="123" spans="5:20">
      <c r="E123" s="251"/>
    </row>
    <row r="124" spans="5:20">
      <c r="E124" s="251"/>
    </row>
    <row r="125" spans="5:20">
      <c r="E125" s="251"/>
    </row>
    <row r="126" spans="5:20">
      <c r="E126" s="251"/>
    </row>
    <row r="127" spans="5:20">
      <c r="E127" s="251"/>
    </row>
    <row r="128" spans="5:20">
      <c r="E128" s="251"/>
    </row>
    <row r="129" spans="5:5">
      <c r="E129" s="251"/>
    </row>
    <row r="130" spans="5:5">
      <c r="E130" s="251"/>
    </row>
    <row r="131" spans="5:5">
      <c r="E131" s="251"/>
    </row>
    <row r="132" spans="5:5">
      <c r="E132" s="251"/>
    </row>
    <row r="133" spans="5:5">
      <c r="E133" s="251"/>
    </row>
    <row r="134" spans="5:5">
      <c r="E134" s="251"/>
    </row>
    <row r="135" spans="5:5">
      <c r="E135" s="251"/>
    </row>
    <row r="136" spans="5:5">
      <c r="E136" s="251"/>
    </row>
    <row r="137" spans="5:5">
      <c r="E137" s="251"/>
    </row>
    <row r="138" spans="5:5">
      <c r="E138" s="251"/>
    </row>
    <row r="139" spans="5:5">
      <c r="E139" s="251"/>
    </row>
    <row r="140" spans="5:5">
      <c r="E140" s="251"/>
    </row>
    <row r="141" spans="5:5">
      <c r="E141" s="251"/>
    </row>
    <row r="142" spans="5:5">
      <c r="E142" s="251"/>
    </row>
    <row r="143" spans="5:5">
      <c r="E143" s="251"/>
    </row>
    <row r="144" spans="5:5">
      <c r="E144" s="251"/>
    </row>
    <row r="145" spans="5:5">
      <c r="E145" s="251"/>
    </row>
    <row r="146" spans="5:5">
      <c r="E146" s="251"/>
    </row>
    <row r="147" spans="5:5">
      <c r="E147" s="251"/>
    </row>
    <row r="148" spans="5:5">
      <c r="E148" s="251"/>
    </row>
    <row r="149" spans="5:5">
      <c r="E149" s="251"/>
    </row>
    <row r="150" spans="5:5">
      <c r="E150" s="251"/>
    </row>
    <row r="151" spans="5:5">
      <c r="E151" s="251"/>
    </row>
    <row r="152" spans="5:5">
      <c r="E152" s="251"/>
    </row>
    <row r="153" spans="5:5">
      <c r="E153" s="251"/>
    </row>
    <row r="154" spans="5:5">
      <c r="E154" s="251"/>
    </row>
  </sheetData>
  <mergeCells count="22">
    <mergeCell ref="K6:L6"/>
    <mergeCell ref="M6:N6"/>
    <mergeCell ref="U5:U7"/>
    <mergeCell ref="O5:P6"/>
    <mergeCell ref="T5:T7"/>
    <mergeCell ref="B5:B7"/>
    <mergeCell ref="Q5:Q7"/>
    <mergeCell ref="R5:R7"/>
    <mergeCell ref="F5:F7"/>
    <mergeCell ref="E5:E7"/>
    <mergeCell ref="G5:N5"/>
    <mergeCell ref="S5:S7"/>
    <mergeCell ref="C5:C7"/>
    <mergeCell ref="D5:D7"/>
    <mergeCell ref="G6:H6"/>
    <mergeCell ref="I6:J6"/>
    <mergeCell ref="B10:B15"/>
    <mergeCell ref="B23:B25"/>
    <mergeCell ref="C23:C25"/>
    <mergeCell ref="A5:A7"/>
    <mergeCell ref="A26:A34"/>
    <mergeCell ref="B26:B3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dimension ref="A1:U45"/>
  <sheetViews>
    <sheetView zoomScale="70" zoomScaleNormal="70" workbookViewId="0">
      <pane ySplit="6" topLeftCell="A7" activePane="bottomLeft" state="frozen"/>
      <selection activeCell="O6" sqref="O6"/>
      <selection pane="bottomLeft" activeCell="A4" sqref="A4:A6"/>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1.42578125" bestFit="1" customWidth="1"/>
    <col min="18" max="20" width="14.140625" customWidth="1"/>
    <col min="21" max="21" width="17" customWidth="1"/>
  </cols>
  <sheetData>
    <row r="1" spans="1:21" ht="18.75">
      <c r="B1" s="281"/>
      <c r="C1" s="281"/>
      <c r="D1" s="281"/>
      <c r="E1" s="281"/>
      <c r="F1" s="281"/>
      <c r="G1" s="281" t="s">
        <v>477</v>
      </c>
      <c r="I1" s="281"/>
      <c r="J1" s="281"/>
      <c r="K1" s="281"/>
      <c r="L1" s="281"/>
      <c r="M1" s="281"/>
      <c r="N1" s="281"/>
      <c r="O1" s="281"/>
      <c r="P1" s="281"/>
      <c r="Q1" s="281"/>
      <c r="R1" s="281"/>
      <c r="S1" s="281"/>
      <c r="T1" s="281"/>
      <c r="U1" s="281"/>
    </row>
    <row r="2" spans="1:21" ht="18.75">
      <c r="A2" s="313" t="s">
        <v>1347</v>
      </c>
      <c r="B2" s="281"/>
      <c r="C2" s="281"/>
      <c r="D2" s="281"/>
      <c r="E2" s="281"/>
      <c r="F2" s="281"/>
      <c r="G2" s="281"/>
      <c r="I2" s="281"/>
      <c r="J2" s="281"/>
      <c r="K2" s="281"/>
      <c r="L2" s="281"/>
      <c r="M2" s="281"/>
      <c r="N2" s="281"/>
      <c r="O2" s="281"/>
      <c r="P2" s="281"/>
      <c r="Q2" s="281"/>
      <c r="R2" s="281"/>
      <c r="S2" s="281"/>
      <c r="T2" s="281"/>
      <c r="U2" s="281"/>
    </row>
    <row r="3" spans="1:21">
      <c r="A3" s="758" t="s">
        <v>1349</v>
      </c>
      <c r="B3" s="758"/>
      <c r="C3" s="758"/>
      <c r="D3" s="758"/>
      <c r="E3" s="758"/>
      <c r="F3" s="758"/>
      <c r="G3" s="758"/>
      <c r="H3" s="758"/>
      <c r="I3" s="758"/>
      <c r="J3" s="758"/>
      <c r="K3" s="758"/>
      <c r="L3" s="758"/>
      <c r="M3" s="758"/>
      <c r="N3" s="758"/>
      <c r="O3" s="758"/>
      <c r="P3" s="758"/>
      <c r="Q3" s="758"/>
      <c r="R3" s="758"/>
      <c r="S3" s="758"/>
      <c r="T3" s="758"/>
      <c r="U3" s="758"/>
    </row>
    <row r="4" spans="1:21" ht="1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ht="25.5">
      <c r="A6" s="733"/>
      <c r="B6" s="733"/>
      <c r="C6" s="736"/>
      <c r="D6" s="736"/>
      <c r="E6" s="736"/>
      <c r="F6" s="736"/>
      <c r="G6" s="433" t="s">
        <v>108</v>
      </c>
      <c r="H6" s="433" t="s">
        <v>12</v>
      </c>
      <c r="I6" s="433" t="s">
        <v>108</v>
      </c>
      <c r="J6" s="433" t="s">
        <v>12</v>
      </c>
      <c r="K6" s="433" t="s">
        <v>108</v>
      </c>
      <c r="L6" s="433" t="s">
        <v>12</v>
      </c>
      <c r="M6" s="433" t="s">
        <v>108</v>
      </c>
      <c r="N6" s="433" t="s">
        <v>12</v>
      </c>
      <c r="O6" s="433" t="s">
        <v>108</v>
      </c>
      <c r="P6" s="433" t="s">
        <v>12</v>
      </c>
      <c r="Q6" s="733"/>
      <c r="R6" s="733"/>
      <c r="S6" s="733"/>
      <c r="T6" s="733"/>
      <c r="U6" s="730"/>
    </row>
    <row r="7" spans="1:21" s="359" customFormat="1" ht="15.75">
      <c r="A7" s="434"/>
      <c r="B7" s="435"/>
      <c r="C7" s="436"/>
      <c r="D7" s="436"/>
      <c r="E7" s="437"/>
      <c r="F7" s="436"/>
      <c r="G7" s="438"/>
      <c r="H7" s="438"/>
      <c r="I7" s="438"/>
      <c r="J7" s="438"/>
      <c r="K7" s="438"/>
      <c r="L7" s="438"/>
      <c r="M7" s="438"/>
      <c r="N7" s="438"/>
      <c r="O7" s="438"/>
      <c r="P7" s="438"/>
      <c r="Q7" s="439"/>
      <c r="R7" s="439"/>
      <c r="S7" s="439"/>
      <c r="T7" s="439"/>
      <c r="U7" s="440"/>
    </row>
    <row r="8" spans="1:21" ht="204.75" customHeight="1">
      <c r="A8" s="794" t="s">
        <v>1381</v>
      </c>
      <c r="B8" s="804"/>
      <c r="C8" s="822"/>
      <c r="D8" s="320" t="s">
        <v>1688</v>
      </c>
      <c r="E8" s="358" t="s">
        <v>1949</v>
      </c>
      <c r="F8" s="568" t="s">
        <v>1948</v>
      </c>
      <c r="G8" s="249">
        <v>1</v>
      </c>
      <c r="H8" s="230">
        <f>+'1. TALLERES SEMINARIOS'!D85</f>
        <v>7000</v>
      </c>
      <c r="I8" s="249"/>
      <c r="J8" s="230"/>
      <c r="K8" s="249"/>
      <c r="L8" s="230"/>
      <c r="M8" s="249"/>
      <c r="N8" s="230"/>
      <c r="O8" s="374">
        <f t="shared" ref="O8:O9" si="0">G8+I8+K8+M8</f>
        <v>1</v>
      </c>
      <c r="P8" s="375">
        <f t="shared" ref="P8:P9" si="1">H8+J8+L8+N8</f>
        <v>7000</v>
      </c>
      <c r="Q8" s="248" t="s">
        <v>1953</v>
      </c>
      <c r="R8" s="516" t="s">
        <v>1950</v>
      </c>
      <c r="S8" s="248" t="s">
        <v>1954</v>
      </c>
      <c r="T8" s="248" t="s">
        <v>1951</v>
      </c>
      <c r="U8" s="248" t="s">
        <v>1952</v>
      </c>
    </row>
    <row r="9" spans="1:21" ht="157.5">
      <c r="A9" s="753"/>
      <c r="B9" s="804"/>
      <c r="C9" s="822"/>
      <c r="D9" s="822"/>
      <c r="E9" s="358" t="s">
        <v>2065</v>
      </c>
      <c r="F9" s="489" t="s">
        <v>2064</v>
      </c>
      <c r="G9" s="594">
        <v>0.25</v>
      </c>
      <c r="H9" s="230">
        <f>+G9*'5. ACTIVIDADES ESPECIALES'!D351</f>
        <v>5425</v>
      </c>
      <c r="I9" s="594">
        <v>0.25</v>
      </c>
      <c r="J9" s="230">
        <f>+I9*'5. ACTIVIDADES ESPECIALES'!D351</f>
        <v>5425</v>
      </c>
      <c r="K9" s="594">
        <v>0.25</v>
      </c>
      <c r="L9" s="230">
        <f>+K9*'5. ACTIVIDADES ESPECIALES'!D351</f>
        <v>5425</v>
      </c>
      <c r="M9" s="594">
        <v>0.25</v>
      </c>
      <c r="N9" s="230">
        <f>+M9*'5. ACTIVIDADES ESPECIALES'!D351</f>
        <v>5425</v>
      </c>
      <c r="O9" s="374">
        <f t="shared" si="0"/>
        <v>1</v>
      </c>
      <c r="P9" s="375">
        <f t="shared" si="1"/>
        <v>21700</v>
      </c>
      <c r="Q9" s="248" t="s">
        <v>2068</v>
      </c>
      <c r="R9" s="248" t="s">
        <v>2069</v>
      </c>
      <c r="S9" s="248" t="s">
        <v>2066</v>
      </c>
      <c r="T9" s="248" t="s">
        <v>2067</v>
      </c>
      <c r="U9" s="248" t="s">
        <v>2061</v>
      </c>
    </row>
    <row r="10" spans="1:21" ht="15.75">
      <c r="A10" s="289"/>
      <c r="B10" s="290"/>
      <c r="C10" s="289" t="s">
        <v>1382</v>
      </c>
      <c r="D10" s="290"/>
      <c r="E10" s="290"/>
      <c r="F10" s="291"/>
      <c r="G10" s="261">
        <f>SUM(G8:G9)</f>
        <v>1.25</v>
      </c>
      <c r="H10" s="270">
        <f>SUM(H8:H9)</f>
        <v>12425</v>
      </c>
      <c r="I10" s="261">
        <f>SUM(I8:I9)</f>
        <v>0.25</v>
      </c>
      <c r="J10" s="270">
        <f>SUM(J8:J9)</f>
        <v>5425</v>
      </c>
      <c r="K10" s="261">
        <f>SUM(K8:K9)</f>
        <v>0.25</v>
      </c>
      <c r="L10" s="270">
        <f>SUM(L8:L9)</f>
        <v>5425</v>
      </c>
      <c r="M10" s="261">
        <f>SUM(M8:M9)</f>
        <v>0.25</v>
      </c>
      <c r="N10" s="270">
        <f>SUM(N8:N9)</f>
        <v>5425</v>
      </c>
      <c r="O10" s="270">
        <f>SUM(O8:O9)</f>
        <v>2</v>
      </c>
      <c r="P10" s="270">
        <f>SUM(P8:P9)</f>
        <v>28700</v>
      </c>
      <c r="Q10" s="262"/>
      <c r="R10" s="262"/>
      <c r="S10" s="262"/>
      <c r="T10" s="262"/>
      <c r="U10" s="262"/>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ht="15.6" customHeight="1">
      <c r="H45"/>
      <c r="J45"/>
      <c r="L45"/>
      <c r="N45"/>
      <c r="P45"/>
    </row>
  </sheetData>
  <mergeCells count="19">
    <mergeCell ref="G5:H5"/>
    <mergeCell ref="G4:N4"/>
    <mergeCell ref="O4:P5"/>
    <mergeCell ref="A8:A9"/>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56"/>
  <sheetViews>
    <sheetView zoomScale="40" zoomScaleNormal="40" workbookViewId="0">
      <pane ySplit="8" topLeftCell="A9" activePane="bottomLeft" state="frozen"/>
      <selection activeCell="A7" sqref="A7"/>
      <selection pane="bottomLeft" activeCell="F22" sqref="F22"/>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2.140625" style="233" bestFit="1" customWidth="1"/>
    <col min="14" max="14" width="12.140625" style="233" bestFit="1" customWidth="1"/>
    <col min="15" max="15" width="15.28515625" style="387" customWidth="1"/>
    <col min="16" max="16" width="18.28515625" style="388" customWidth="1"/>
    <col min="17" max="17" width="11.42578125" bestFit="1" customWidth="1"/>
    <col min="18" max="20" width="14.140625" customWidth="1"/>
    <col min="21" max="21" width="17" customWidth="1"/>
  </cols>
  <sheetData>
    <row r="1" spans="1:27" ht="18.75">
      <c r="G1" s="281" t="s">
        <v>1383</v>
      </c>
      <c r="I1" s="281"/>
      <c r="J1" s="281"/>
      <c r="K1" s="281"/>
      <c r="L1" s="281"/>
      <c r="M1" s="281"/>
      <c r="N1" s="281"/>
      <c r="O1" s="384"/>
      <c r="P1" s="384"/>
      <c r="Q1" s="281"/>
      <c r="R1" s="281"/>
      <c r="S1" s="281"/>
      <c r="T1" s="281"/>
      <c r="U1" s="281"/>
      <c r="V1" s="281"/>
      <c r="W1" s="281"/>
      <c r="X1" s="281"/>
      <c r="Y1" s="281"/>
      <c r="Z1" s="281"/>
      <c r="AA1" s="281"/>
    </row>
    <row r="2" spans="1:27" ht="18.75">
      <c r="A2" s="310" t="s">
        <v>1347</v>
      </c>
      <c r="G2" s="281"/>
      <c r="I2" s="281"/>
      <c r="J2" s="281"/>
      <c r="K2" s="281"/>
      <c r="L2" s="281"/>
      <c r="M2" s="281"/>
      <c r="N2" s="281"/>
      <c r="O2" s="384"/>
      <c r="P2" s="384"/>
      <c r="Q2" s="281"/>
      <c r="R2" s="281"/>
      <c r="S2" s="281"/>
      <c r="T2" s="281"/>
      <c r="U2" s="281"/>
      <c r="V2" s="281"/>
      <c r="W2" s="281"/>
      <c r="X2" s="281"/>
      <c r="Y2" s="281"/>
      <c r="Z2" s="281"/>
      <c r="AA2" s="281"/>
    </row>
    <row r="3" spans="1:27" ht="18.75">
      <c r="A3" s="311" t="s">
        <v>1387</v>
      </c>
      <c r="G3" s="281"/>
      <c r="I3" s="281"/>
      <c r="J3" s="281"/>
      <c r="K3" s="281"/>
      <c r="L3" s="281"/>
      <c r="M3" s="281"/>
      <c r="N3" s="281"/>
      <c r="O3" s="384"/>
      <c r="P3" s="384"/>
      <c r="Q3" s="281"/>
      <c r="R3" s="281"/>
      <c r="S3" s="281"/>
      <c r="T3" s="281"/>
      <c r="U3" s="281"/>
      <c r="V3" s="281"/>
      <c r="W3" s="281"/>
      <c r="X3" s="281"/>
      <c r="Y3" s="281"/>
      <c r="Z3" s="281"/>
      <c r="AA3" s="281"/>
    </row>
    <row r="4" spans="1:27" ht="18.75">
      <c r="A4" s="311" t="s">
        <v>1386</v>
      </c>
      <c r="G4" s="281"/>
      <c r="I4" s="281"/>
      <c r="J4" s="281"/>
      <c r="K4" s="281"/>
      <c r="L4" s="281"/>
      <c r="M4" s="281"/>
      <c r="N4" s="281"/>
      <c r="O4" s="384"/>
      <c r="P4" s="384"/>
      <c r="Q4" s="281"/>
      <c r="R4" s="281"/>
      <c r="S4" s="281"/>
      <c r="T4" s="281"/>
      <c r="U4" s="281"/>
      <c r="V4" s="281"/>
      <c r="W4" s="281"/>
      <c r="X4" s="281"/>
      <c r="Y4" s="281"/>
      <c r="Z4" s="281"/>
      <c r="AA4" s="281"/>
    </row>
    <row r="5" spans="1:27">
      <c r="A5" s="285" t="s">
        <v>1389</v>
      </c>
      <c r="B5" s="267"/>
      <c r="C5" s="267"/>
      <c r="D5" s="267"/>
      <c r="E5" s="267"/>
      <c r="F5" s="267"/>
      <c r="G5" s="267"/>
      <c r="H5" s="267"/>
      <c r="I5" s="267"/>
      <c r="J5" s="267"/>
      <c r="K5" s="267"/>
      <c r="L5" s="267"/>
      <c r="M5" s="267"/>
      <c r="N5" s="267"/>
      <c r="O5" s="385"/>
      <c r="P5" s="385"/>
      <c r="Q5" s="267"/>
      <c r="R5" s="267"/>
      <c r="S5" s="267"/>
      <c r="T5" s="267"/>
      <c r="U5" s="267"/>
    </row>
    <row r="6" spans="1:27" ht="15" customHeight="1">
      <c r="A6" s="732" t="s">
        <v>97</v>
      </c>
      <c r="B6" s="731" t="s">
        <v>111</v>
      </c>
      <c r="C6" s="734" t="s">
        <v>86</v>
      </c>
      <c r="D6" s="734" t="s">
        <v>87</v>
      </c>
      <c r="E6" s="734" t="s">
        <v>392</v>
      </c>
      <c r="F6" s="734" t="s">
        <v>88</v>
      </c>
      <c r="G6" s="737" t="s">
        <v>100</v>
      </c>
      <c r="H6" s="743"/>
      <c r="I6" s="743"/>
      <c r="J6" s="743"/>
      <c r="K6" s="743"/>
      <c r="L6" s="743"/>
      <c r="M6" s="743"/>
      <c r="N6" s="738"/>
      <c r="O6" s="739" t="s">
        <v>101</v>
      </c>
      <c r="P6" s="740"/>
      <c r="Q6" s="731" t="s">
        <v>102</v>
      </c>
      <c r="R6" s="731" t="s">
        <v>103</v>
      </c>
      <c r="S6" s="731" t="s">
        <v>110</v>
      </c>
      <c r="T6" s="731" t="s">
        <v>109</v>
      </c>
      <c r="U6" s="728" t="s">
        <v>89</v>
      </c>
    </row>
    <row r="7" spans="1:27" ht="15" customHeight="1">
      <c r="A7" s="732"/>
      <c r="B7" s="732"/>
      <c r="C7" s="735"/>
      <c r="D7" s="735"/>
      <c r="E7" s="735"/>
      <c r="F7" s="735"/>
      <c r="G7" s="737" t="s">
        <v>104</v>
      </c>
      <c r="H7" s="738"/>
      <c r="I7" s="737" t="s">
        <v>105</v>
      </c>
      <c r="J7" s="738"/>
      <c r="K7" s="737" t="s">
        <v>106</v>
      </c>
      <c r="L7" s="738"/>
      <c r="M7" s="737" t="s">
        <v>107</v>
      </c>
      <c r="N7" s="738"/>
      <c r="O7" s="741"/>
      <c r="P7" s="742"/>
      <c r="Q7" s="732"/>
      <c r="R7" s="732"/>
      <c r="S7" s="732"/>
      <c r="T7" s="732"/>
      <c r="U7" s="729"/>
    </row>
    <row r="8" spans="1:27" ht="25.5">
      <c r="A8" s="733"/>
      <c r="B8" s="733"/>
      <c r="C8" s="736"/>
      <c r="D8" s="736"/>
      <c r="E8" s="736"/>
      <c r="F8" s="736"/>
      <c r="G8" s="433" t="s">
        <v>108</v>
      </c>
      <c r="H8" s="433" t="s">
        <v>12</v>
      </c>
      <c r="I8" s="433" t="s">
        <v>108</v>
      </c>
      <c r="J8" s="433" t="s">
        <v>12</v>
      </c>
      <c r="K8" s="433" t="s">
        <v>108</v>
      </c>
      <c r="L8" s="433" t="s">
        <v>12</v>
      </c>
      <c r="M8" s="433" t="s">
        <v>108</v>
      </c>
      <c r="N8" s="433" t="s">
        <v>12</v>
      </c>
      <c r="O8" s="433" t="s">
        <v>108</v>
      </c>
      <c r="P8" s="433" t="s">
        <v>12</v>
      </c>
      <c r="Q8" s="733"/>
      <c r="R8" s="733"/>
      <c r="S8" s="733"/>
      <c r="T8" s="733"/>
      <c r="U8" s="730"/>
    </row>
    <row r="9" spans="1:27" s="359" customFormat="1" ht="15.75">
      <c r="A9" s="434"/>
      <c r="B9" s="435"/>
      <c r="C9" s="436"/>
      <c r="D9" s="436"/>
      <c r="E9" s="437"/>
      <c r="F9" s="436"/>
      <c r="G9" s="438"/>
      <c r="H9" s="438"/>
      <c r="I9" s="438"/>
      <c r="J9" s="438"/>
      <c r="K9" s="438"/>
      <c r="L9" s="438"/>
      <c r="M9" s="438"/>
      <c r="N9" s="438"/>
      <c r="O9" s="438"/>
      <c r="P9" s="438"/>
      <c r="Q9" s="439"/>
      <c r="R9" s="439"/>
      <c r="S9" s="439"/>
      <c r="T9" s="439"/>
      <c r="U9" s="440"/>
    </row>
    <row r="10" spans="1:27" ht="94.5" customHeight="1">
      <c r="A10" s="823" t="s">
        <v>1384</v>
      </c>
      <c r="B10" s="794" t="s">
        <v>1658</v>
      </c>
      <c r="C10" s="809"/>
      <c r="D10" s="809"/>
      <c r="E10" s="248" t="s">
        <v>2003</v>
      </c>
      <c r="F10" s="500" t="s">
        <v>2002</v>
      </c>
      <c r="G10" s="511">
        <v>1</v>
      </c>
      <c r="H10" s="268"/>
      <c r="I10" s="252"/>
      <c r="J10" s="268"/>
      <c r="K10" s="252"/>
      <c r="L10" s="268"/>
      <c r="M10" s="252"/>
      <c r="N10" s="268"/>
      <c r="O10" s="382">
        <f t="shared" ref="O10:O27" si="0">G10+I10+K10+M10</f>
        <v>1</v>
      </c>
      <c r="P10" s="383">
        <f t="shared" ref="P10:P27" si="1">H10+J10+L10+N10</f>
        <v>0</v>
      </c>
      <c r="Q10" s="252"/>
      <c r="R10" s="510" t="s">
        <v>1677</v>
      </c>
      <c r="S10" s="252" t="s">
        <v>1678</v>
      </c>
      <c r="T10" s="252" t="s">
        <v>1673</v>
      </c>
      <c r="U10" s="73" t="s">
        <v>1668</v>
      </c>
    </row>
    <row r="11" spans="1:27" ht="87" customHeight="1">
      <c r="A11" s="824"/>
      <c r="B11" s="753"/>
      <c r="C11" s="826" t="s">
        <v>2072</v>
      </c>
      <c r="D11" s="828" t="s">
        <v>2073</v>
      </c>
      <c r="E11" s="248" t="s">
        <v>2074</v>
      </c>
      <c r="F11" s="496" t="s">
        <v>2071</v>
      </c>
      <c r="G11" s="511">
        <v>0.33</v>
      </c>
      <c r="H11" s="268"/>
      <c r="I11" s="511">
        <v>0.33</v>
      </c>
      <c r="J11" s="268"/>
      <c r="K11" s="511">
        <v>0.34</v>
      </c>
      <c r="L11" s="268"/>
      <c r="M11" s="252"/>
      <c r="N11" s="268"/>
      <c r="O11" s="382">
        <f t="shared" si="0"/>
        <v>1</v>
      </c>
      <c r="P11" s="383">
        <f t="shared" si="1"/>
        <v>0</v>
      </c>
      <c r="Q11" s="508" t="s">
        <v>2075</v>
      </c>
      <c r="R11" s="508" t="s">
        <v>2076</v>
      </c>
      <c r="S11" s="508" t="s">
        <v>2077</v>
      </c>
      <c r="T11" s="508" t="s">
        <v>2079</v>
      </c>
      <c r="U11" s="535" t="s">
        <v>2078</v>
      </c>
    </row>
    <row r="12" spans="1:27" ht="96.75" customHeight="1">
      <c r="A12" s="824"/>
      <c r="B12" s="753"/>
      <c r="C12" s="827"/>
      <c r="D12" s="829"/>
      <c r="E12" s="248" t="s">
        <v>2081</v>
      </c>
      <c r="F12" s="496" t="s">
        <v>2080</v>
      </c>
      <c r="G12" s="511">
        <v>0.33</v>
      </c>
      <c r="H12" s="268"/>
      <c r="I12" s="511">
        <v>0.33</v>
      </c>
      <c r="J12" s="268"/>
      <c r="K12" s="511">
        <v>0.34</v>
      </c>
      <c r="L12" s="268"/>
      <c r="M12" s="252"/>
      <c r="N12" s="268"/>
      <c r="O12" s="382">
        <f t="shared" si="0"/>
        <v>1</v>
      </c>
      <c r="P12" s="383">
        <f t="shared" si="1"/>
        <v>0</v>
      </c>
      <c r="Q12" s="508" t="s">
        <v>2082</v>
      </c>
      <c r="R12" s="508" t="s">
        <v>2083</v>
      </c>
      <c r="S12" s="508" t="s">
        <v>2084</v>
      </c>
      <c r="T12" s="508" t="s">
        <v>2079</v>
      </c>
      <c r="U12" s="535" t="s">
        <v>2078</v>
      </c>
    </row>
    <row r="13" spans="1:27" ht="120" customHeight="1">
      <c r="A13" s="824"/>
      <c r="B13" s="753"/>
      <c r="C13" s="809"/>
      <c r="D13" s="809"/>
      <c r="E13" s="248" t="s">
        <v>2086</v>
      </c>
      <c r="F13" s="595" t="s">
        <v>2085</v>
      </c>
      <c r="G13" s="511">
        <v>0.25</v>
      </c>
      <c r="H13" s="268"/>
      <c r="I13" s="511">
        <v>0.25</v>
      </c>
      <c r="J13" s="268"/>
      <c r="K13" s="511">
        <v>0.25</v>
      </c>
      <c r="L13" s="268"/>
      <c r="M13" s="511">
        <v>0.25</v>
      </c>
      <c r="N13" s="268"/>
      <c r="O13" s="382">
        <f t="shared" si="0"/>
        <v>1</v>
      </c>
      <c r="P13" s="383">
        <f t="shared" si="1"/>
        <v>0</v>
      </c>
      <c r="Q13" s="248" t="s">
        <v>2087</v>
      </c>
      <c r="R13" s="248" t="s">
        <v>2088</v>
      </c>
      <c r="S13" s="508" t="s">
        <v>2089</v>
      </c>
      <c r="T13" s="508" t="s">
        <v>2079</v>
      </c>
      <c r="U13" s="535" t="s">
        <v>2078</v>
      </c>
    </row>
    <row r="14" spans="1:27" ht="117.75" customHeight="1">
      <c r="A14" s="824"/>
      <c r="B14" s="753"/>
      <c r="C14" s="809"/>
      <c r="D14" s="809"/>
      <c r="E14" s="248" t="s">
        <v>2091</v>
      </c>
      <c r="F14" s="252" t="s">
        <v>2090</v>
      </c>
      <c r="G14" s="511">
        <v>0.33</v>
      </c>
      <c r="H14" s="268">
        <f>+G14*'5. ACTIVIDADES ESPECIALES'!D362</f>
        <v>396</v>
      </c>
      <c r="I14" s="511">
        <v>0.33</v>
      </c>
      <c r="J14" s="268">
        <f>+I14*'5. ACTIVIDADES ESPECIALES'!D362</f>
        <v>396</v>
      </c>
      <c r="K14" s="511">
        <v>0.34</v>
      </c>
      <c r="L14" s="268">
        <f>+K14*'5. ACTIVIDADES ESPECIALES'!D362</f>
        <v>408.00000000000006</v>
      </c>
      <c r="M14" s="252"/>
      <c r="N14" s="268"/>
      <c r="O14" s="382">
        <f t="shared" si="0"/>
        <v>1</v>
      </c>
      <c r="P14" s="383">
        <f t="shared" si="1"/>
        <v>1200</v>
      </c>
      <c r="Q14" s="508" t="s">
        <v>2092</v>
      </c>
      <c r="R14" s="248" t="s">
        <v>2093</v>
      </c>
      <c r="S14" s="248" t="s">
        <v>2094</v>
      </c>
      <c r="T14" s="508" t="s">
        <v>2079</v>
      </c>
      <c r="U14" s="535" t="s">
        <v>2078</v>
      </c>
    </row>
    <row r="15" spans="1:27" ht="99" customHeight="1">
      <c r="A15" s="824"/>
      <c r="B15" s="753"/>
      <c r="C15" s="809"/>
      <c r="D15" s="809"/>
      <c r="E15" s="248" t="s">
        <v>2096</v>
      </c>
      <c r="F15" s="508" t="s">
        <v>2095</v>
      </c>
      <c r="G15" s="511">
        <v>0.33</v>
      </c>
      <c r="H15" s="268">
        <f>+G15*'5. ACTIVIDADES ESPECIALES'!D372</f>
        <v>495</v>
      </c>
      <c r="I15" s="511">
        <v>0.33</v>
      </c>
      <c r="J15" s="268">
        <f>+I15*'5. ACTIVIDADES ESPECIALES'!D372</f>
        <v>495</v>
      </c>
      <c r="K15" s="511">
        <v>0.34</v>
      </c>
      <c r="L15" s="268">
        <f>+K15*'5. ACTIVIDADES ESPECIALES'!D372</f>
        <v>510.00000000000006</v>
      </c>
      <c r="M15" s="252"/>
      <c r="N15" s="268"/>
      <c r="O15" s="382">
        <f t="shared" si="0"/>
        <v>1</v>
      </c>
      <c r="P15" s="383">
        <f t="shared" si="1"/>
        <v>1500</v>
      </c>
      <c r="Q15" s="508" t="s">
        <v>2097</v>
      </c>
      <c r="R15" s="508" t="s">
        <v>2098</v>
      </c>
      <c r="S15" s="508" t="s">
        <v>2099</v>
      </c>
      <c r="T15" s="596" t="s">
        <v>2100</v>
      </c>
      <c r="U15" s="499" t="s">
        <v>2101</v>
      </c>
    </row>
    <row r="16" spans="1:27" s="457" customFormat="1" ht="68.25" customHeight="1">
      <c r="A16" s="824"/>
      <c r="B16" s="753"/>
      <c r="C16" s="809"/>
      <c r="D16" s="809"/>
      <c r="E16" s="248" t="s">
        <v>2109</v>
      </c>
      <c r="F16" s="508" t="s">
        <v>2108</v>
      </c>
      <c r="G16" s="511">
        <v>0.33</v>
      </c>
      <c r="H16" s="268"/>
      <c r="I16" s="511"/>
      <c r="J16" s="268"/>
      <c r="K16" s="511">
        <v>0.33</v>
      </c>
      <c r="L16" s="268"/>
      <c r="M16" s="511">
        <v>0.34</v>
      </c>
      <c r="N16" s="268"/>
      <c r="O16" s="382">
        <f t="shared" ref="O16:O19" si="2">G16+I16+K16+M16</f>
        <v>1</v>
      </c>
      <c r="P16" s="383">
        <f t="shared" ref="P16:P19" si="3">H16+J16+L16+N16</f>
        <v>0</v>
      </c>
      <c r="Q16" s="508"/>
      <c r="R16" s="508" t="s">
        <v>2113</v>
      </c>
      <c r="S16" s="508" t="s">
        <v>2110</v>
      </c>
      <c r="T16" s="596" t="s">
        <v>2112</v>
      </c>
      <c r="U16" s="499" t="s">
        <v>2111</v>
      </c>
    </row>
    <row r="17" spans="1:21" s="457" customFormat="1" ht="95.25" customHeight="1">
      <c r="A17" s="824"/>
      <c r="B17" s="753"/>
      <c r="C17" s="809"/>
      <c r="D17" s="809"/>
      <c r="E17" s="248" t="s">
        <v>2115</v>
      </c>
      <c r="F17" s="508" t="s">
        <v>2114</v>
      </c>
      <c r="G17" s="511"/>
      <c r="H17" s="268"/>
      <c r="I17" s="511">
        <v>1</v>
      </c>
      <c r="J17" s="268"/>
      <c r="K17" s="511"/>
      <c r="L17" s="268"/>
      <c r="M17" s="252"/>
      <c r="N17" s="268"/>
      <c r="O17" s="382">
        <f t="shared" si="2"/>
        <v>1</v>
      </c>
      <c r="P17" s="383">
        <f t="shared" si="3"/>
        <v>0</v>
      </c>
      <c r="Q17" s="248" t="s">
        <v>2116</v>
      </c>
      <c r="R17" s="248" t="s">
        <v>2117</v>
      </c>
      <c r="S17" s="508" t="s">
        <v>2120</v>
      </c>
      <c r="T17" s="596" t="s">
        <v>2118</v>
      </c>
      <c r="U17" s="535" t="s">
        <v>2119</v>
      </c>
    </row>
    <row r="18" spans="1:21" s="457" customFormat="1" ht="64.5" customHeight="1">
      <c r="A18" s="824"/>
      <c r="B18" s="753"/>
      <c r="C18" s="809"/>
      <c r="D18" s="809"/>
      <c r="E18" s="248" t="s">
        <v>2123</v>
      </c>
      <c r="F18" s="508" t="s">
        <v>2121</v>
      </c>
      <c r="G18" s="511"/>
      <c r="H18" s="268"/>
      <c r="I18" s="511">
        <v>0.5</v>
      </c>
      <c r="J18" s="268"/>
      <c r="K18" s="511"/>
      <c r="L18" s="268"/>
      <c r="M18" s="511">
        <v>0.5</v>
      </c>
      <c r="N18" s="268"/>
      <c r="O18" s="382">
        <f t="shared" si="2"/>
        <v>1</v>
      </c>
      <c r="P18" s="383">
        <f t="shared" si="3"/>
        <v>0</v>
      </c>
      <c r="Q18" s="248" t="s">
        <v>2087</v>
      </c>
      <c r="R18" s="248" t="s">
        <v>2088</v>
      </c>
      <c r="S18" s="508" t="s">
        <v>2122</v>
      </c>
      <c r="T18" s="596" t="s">
        <v>2118</v>
      </c>
      <c r="U18" s="535" t="s">
        <v>2078</v>
      </c>
    </row>
    <row r="19" spans="1:21" s="457" customFormat="1" ht="66" customHeight="1">
      <c r="A19" s="824"/>
      <c r="B19" s="754"/>
      <c r="C19" s="809"/>
      <c r="D19" s="809"/>
      <c r="E19" s="248" t="s">
        <v>2124</v>
      </c>
      <c r="F19" s="508" t="s">
        <v>2125</v>
      </c>
      <c r="G19" s="511">
        <v>0.25</v>
      </c>
      <c r="H19" s="268"/>
      <c r="I19" s="511">
        <v>0.25</v>
      </c>
      <c r="J19" s="268"/>
      <c r="K19" s="511">
        <v>0.25</v>
      </c>
      <c r="L19" s="268"/>
      <c r="M19" s="511">
        <v>0.25</v>
      </c>
      <c r="N19" s="268"/>
      <c r="O19" s="382">
        <f t="shared" si="2"/>
        <v>1</v>
      </c>
      <c r="P19" s="383">
        <f t="shared" si="3"/>
        <v>0</v>
      </c>
      <c r="Q19" s="248" t="s">
        <v>2087</v>
      </c>
      <c r="R19" s="248" t="s">
        <v>2088</v>
      </c>
      <c r="S19" s="508" t="s">
        <v>2122</v>
      </c>
      <c r="T19" s="596" t="s">
        <v>2118</v>
      </c>
      <c r="U19" s="535" t="s">
        <v>2078</v>
      </c>
    </row>
    <row r="20" spans="1:21" ht="83.25" customHeight="1">
      <c r="A20" s="824"/>
      <c r="B20" s="803" t="s">
        <v>1659</v>
      </c>
      <c r="C20" s="809"/>
      <c r="D20" s="809"/>
      <c r="E20" s="248" t="s">
        <v>2102</v>
      </c>
      <c r="F20" s="496" t="s">
        <v>2103</v>
      </c>
      <c r="G20" s="252"/>
      <c r="H20" s="268"/>
      <c r="I20" s="511">
        <v>1</v>
      </c>
      <c r="J20" s="268">
        <f>+'5. ACTIVIDADES ESPECIALES'!D385</f>
        <v>1700</v>
      </c>
      <c r="K20" s="252"/>
      <c r="L20" s="268"/>
      <c r="M20" s="252"/>
      <c r="N20" s="268"/>
      <c r="O20" s="382">
        <f t="shared" si="0"/>
        <v>1</v>
      </c>
      <c r="P20" s="383">
        <f t="shared" si="1"/>
        <v>1700</v>
      </c>
      <c r="Q20" s="508"/>
      <c r="R20" s="508" t="s">
        <v>2104</v>
      </c>
      <c r="S20" s="508" t="s">
        <v>2105</v>
      </c>
      <c r="T20" s="508" t="s">
        <v>2106</v>
      </c>
      <c r="U20" s="535" t="s">
        <v>2078</v>
      </c>
    </row>
    <row r="21" spans="1:21" ht="81.75" customHeight="1">
      <c r="A21" s="824"/>
      <c r="B21" s="752" t="s">
        <v>1660</v>
      </c>
      <c r="C21" s="809"/>
      <c r="D21" s="809"/>
      <c r="E21" s="248" t="s">
        <v>2126</v>
      </c>
      <c r="F21" s="252" t="s">
        <v>2127</v>
      </c>
      <c r="G21" s="249"/>
      <c r="H21" s="346"/>
      <c r="I21" s="249">
        <v>1</v>
      </c>
      <c r="J21" s="346"/>
      <c r="K21" s="249"/>
      <c r="L21" s="230"/>
      <c r="M21" s="248"/>
      <c r="N21" s="230"/>
      <c r="O21" s="374">
        <f t="shared" si="0"/>
        <v>1</v>
      </c>
      <c r="P21" s="386">
        <f t="shared" si="1"/>
        <v>0</v>
      </c>
      <c r="Q21" s="248"/>
      <c r="R21" s="248" t="s">
        <v>2129</v>
      </c>
      <c r="S21" s="248" t="s">
        <v>2130</v>
      </c>
      <c r="T21" s="508" t="s">
        <v>2128</v>
      </c>
      <c r="U21" s="535" t="s">
        <v>2078</v>
      </c>
    </row>
    <row r="22" spans="1:21" ht="87.75" customHeight="1">
      <c r="A22" s="824"/>
      <c r="B22" s="753"/>
      <c r="C22" s="809"/>
      <c r="D22" s="809"/>
      <c r="E22" s="248" t="s">
        <v>2131</v>
      </c>
      <c r="F22" s="252" t="s">
        <v>2132</v>
      </c>
      <c r="G22" s="249"/>
      <c r="H22" s="346"/>
      <c r="I22" s="249">
        <v>1</v>
      </c>
      <c r="J22" s="346">
        <f>+I22*'5. ACTIVIDADES ESPECIALES'!D397</f>
        <v>2400</v>
      </c>
      <c r="K22" s="249"/>
      <c r="L22" s="230"/>
      <c r="M22" s="248"/>
      <c r="N22" s="230"/>
      <c r="O22" s="374">
        <f t="shared" si="0"/>
        <v>1</v>
      </c>
      <c r="P22" s="386">
        <f t="shared" si="1"/>
        <v>2400</v>
      </c>
      <c r="Q22" s="248"/>
      <c r="R22" s="248" t="s">
        <v>2134</v>
      </c>
      <c r="S22" s="248" t="s">
        <v>2133</v>
      </c>
      <c r="T22" s="508" t="s">
        <v>2128</v>
      </c>
      <c r="U22" s="535" t="s">
        <v>2078</v>
      </c>
    </row>
    <row r="23" spans="1:21" ht="63">
      <c r="A23" s="824"/>
      <c r="B23" s="753"/>
      <c r="C23" s="809"/>
      <c r="D23" s="809"/>
      <c r="E23" s="248" t="s">
        <v>2135</v>
      </c>
      <c r="F23" s="252" t="s">
        <v>2136</v>
      </c>
      <c r="G23" s="249"/>
      <c r="H23" s="346"/>
      <c r="I23" s="249"/>
      <c r="J23" s="346"/>
      <c r="K23" s="249">
        <v>1</v>
      </c>
      <c r="L23" s="230">
        <f>+'5. ACTIVIDADES ESPECIALES'!D409</f>
        <v>3000</v>
      </c>
      <c r="M23" s="248"/>
      <c r="N23" s="230"/>
      <c r="O23" s="374">
        <f t="shared" si="0"/>
        <v>1</v>
      </c>
      <c r="P23" s="386">
        <f t="shared" si="1"/>
        <v>3000</v>
      </c>
      <c r="Q23" s="248"/>
      <c r="R23" s="248" t="s">
        <v>2137</v>
      </c>
      <c r="S23" s="248" t="s">
        <v>2138</v>
      </c>
      <c r="T23" s="508" t="s">
        <v>2128</v>
      </c>
      <c r="U23" s="535" t="s">
        <v>2078</v>
      </c>
    </row>
    <row r="24" spans="1:21" ht="78.75">
      <c r="A24" s="824"/>
      <c r="B24" s="754"/>
      <c r="C24" s="809"/>
      <c r="D24" s="809"/>
      <c r="E24" s="248" t="s">
        <v>2143</v>
      </c>
      <c r="F24" s="252" t="s">
        <v>2140</v>
      </c>
      <c r="G24" s="249"/>
      <c r="H24" s="346"/>
      <c r="I24" s="249"/>
      <c r="J24" s="346"/>
      <c r="K24" s="249"/>
      <c r="L24" s="230"/>
      <c r="M24" s="249">
        <v>1</v>
      </c>
      <c r="N24" s="230">
        <f>+'5. ACTIVIDADES ESPECIALES'!D420</f>
        <v>1600</v>
      </c>
      <c r="O24" s="374">
        <f t="shared" si="0"/>
        <v>1</v>
      </c>
      <c r="P24" s="386">
        <f t="shared" si="1"/>
        <v>1600</v>
      </c>
      <c r="Q24" s="248"/>
      <c r="R24" s="248" t="s">
        <v>2142</v>
      </c>
      <c r="S24" s="248" t="s">
        <v>2141</v>
      </c>
      <c r="T24" s="508" t="s">
        <v>2128</v>
      </c>
      <c r="U24" s="248" t="s">
        <v>2078</v>
      </c>
    </row>
    <row r="25" spans="1:21" ht="94.5" customHeight="1">
      <c r="A25" s="824"/>
      <c r="B25" s="794" t="s">
        <v>1661</v>
      </c>
      <c r="C25" s="248" t="s">
        <v>1675</v>
      </c>
      <c r="D25" s="248" t="s">
        <v>1676</v>
      </c>
      <c r="E25" s="248" t="s">
        <v>1670</v>
      </c>
      <c r="F25" s="500" t="s">
        <v>1669</v>
      </c>
      <c r="G25" s="249"/>
      <c r="H25" s="346"/>
      <c r="I25" s="249">
        <v>0.33</v>
      </c>
      <c r="J25" s="346">
        <f>+I25*'1. TALLERES SEMINARIOS'!D10</f>
        <v>1287</v>
      </c>
      <c r="K25" s="249">
        <v>0.33</v>
      </c>
      <c r="L25" s="230">
        <f>+K25*'1. TALLERES SEMINARIOS'!D10</f>
        <v>1287</v>
      </c>
      <c r="M25" s="249">
        <v>0.34</v>
      </c>
      <c r="N25" s="230">
        <f>+M25*'1. TALLERES SEMINARIOS'!D10</f>
        <v>1326</v>
      </c>
      <c r="O25" s="374">
        <f t="shared" si="0"/>
        <v>1</v>
      </c>
      <c r="P25" s="386">
        <f t="shared" si="1"/>
        <v>3900</v>
      </c>
      <c r="Q25" s="248"/>
      <c r="R25" s="510" t="s">
        <v>1671</v>
      </c>
      <c r="S25" s="248" t="s">
        <v>1672</v>
      </c>
      <c r="T25" s="248" t="s">
        <v>1673</v>
      </c>
      <c r="U25" s="248" t="s">
        <v>1674</v>
      </c>
    </row>
    <row r="26" spans="1:21" ht="110.25">
      <c r="A26" s="824"/>
      <c r="B26" s="753"/>
      <c r="C26" s="809"/>
      <c r="D26" s="809"/>
      <c r="E26" s="248" t="s">
        <v>1991</v>
      </c>
      <c r="F26" s="500" t="s">
        <v>1990</v>
      </c>
      <c r="G26" s="249"/>
      <c r="H26" s="346"/>
      <c r="I26" s="249">
        <v>0.5</v>
      </c>
      <c r="J26" s="346">
        <f>+I26*'1. TALLERES SEMINARIOS'!D96</f>
        <v>10650</v>
      </c>
      <c r="K26" s="249"/>
      <c r="L26" s="230"/>
      <c r="M26" s="205">
        <v>0.5</v>
      </c>
      <c r="N26" s="346">
        <f>+M26*'1. TALLERES SEMINARIOS'!D96</f>
        <v>10650</v>
      </c>
      <c r="O26" s="374">
        <f t="shared" si="0"/>
        <v>1</v>
      </c>
      <c r="P26" s="386">
        <f t="shared" si="1"/>
        <v>21300</v>
      </c>
      <c r="Q26" s="248"/>
      <c r="R26" s="510" t="s">
        <v>1992</v>
      </c>
      <c r="S26" s="248" t="s">
        <v>1672</v>
      </c>
      <c r="T26" s="248" t="s">
        <v>1993</v>
      </c>
      <c r="U26" s="248" t="s">
        <v>1994</v>
      </c>
    </row>
    <row r="27" spans="1:21" ht="94.5">
      <c r="A27" s="825"/>
      <c r="B27" s="754"/>
      <c r="C27" s="809"/>
      <c r="D27" s="809"/>
      <c r="E27" s="248" t="s">
        <v>2179</v>
      </c>
      <c r="F27" s="500" t="s">
        <v>2176</v>
      </c>
      <c r="G27" s="249"/>
      <c r="H27" s="346"/>
      <c r="I27" s="249">
        <v>0.33</v>
      </c>
      <c r="J27" s="346">
        <f>+'1. TALLERES SEMINARIOS'!D120</f>
        <v>4950</v>
      </c>
      <c r="K27" s="249">
        <v>0.33</v>
      </c>
      <c r="L27" s="230"/>
      <c r="M27" s="249">
        <v>0.34</v>
      </c>
      <c r="N27" s="230"/>
      <c r="O27" s="374">
        <f t="shared" si="0"/>
        <v>1</v>
      </c>
      <c r="P27" s="386">
        <f t="shared" si="1"/>
        <v>4950</v>
      </c>
      <c r="Q27" s="248"/>
      <c r="R27" s="510" t="s">
        <v>2177</v>
      </c>
      <c r="S27" s="637" t="s">
        <v>1672</v>
      </c>
      <c r="T27" s="248" t="s">
        <v>2178</v>
      </c>
      <c r="U27" s="248"/>
    </row>
    <row r="28" spans="1:21" ht="15.75">
      <c r="A28" s="759" t="s">
        <v>478</v>
      </c>
      <c r="B28" s="760"/>
      <c r="C28" s="760"/>
      <c r="D28" s="760"/>
      <c r="E28" s="760"/>
      <c r="F28" s="760"/>
      <c r="G28" s="760"/>
      <c r="H28" s="760"/>
      <c r="I28" s="760"/>
      <c r="J28" s="760"/>
      <c r="K28" s="760"/>
      <c r="L28" s="760"/>
      <c r="M28" s="760"/>
      <c r="N28" s="760"/>
      <c r="O28" s="760"/>
      <c r="P28" s="760"/>
      <c r="Q28" s="760"/>
      <c r="R28" s="760"/>
      <c r="S28" s="760"/>
      <c r="T28" s="760"/>
      <c r="U28" s="761"/>
    </row>
    <row r="29" spans="1:21" ht="78.75" customHeight="1">
      <c r="A29" s="794" t="s">
        <v>1390</v>
      </c>
      <c r="B29" s="794" t="s">
        <v>1662</v>
      </c>
      <c r="C29" s="509" t="s">
        <v>1657</v>
      </c>
      <c r="D29" s="503" t="s">
        <v>1656</v>
      </c>
      <c r="E29" s="248" t="s">
        <v>1664</v>
      </c>
      <c r="F29" s="500" t="s">
        <v>1655</v>
      </c>
      <c r="G29" s="248"/>
      <c r="H29" s="230"/>
      <c r="I29" s="248"/>
      <c r="J29" s="230"/>
      <c r="K29" s="249">
        <v>0.5</v>
      </c>
      <c r="L29" s="230"/>
      <c r="M29" s="249">
        <v>0.5</v>
      </c>
      <c r="N29" s="230"/>
      <c r="O29" s="374">
        <f t="shared" ref="O29:O36" si="4">G29+I29+K29+M29</f>
        <v>1</v>
      </c>
      <c r="P29" s="375">
        <f t="shared" ref="P29:P36" si="5">H29+J29+L29+N29</f>
        <v>0</v>
      </c>
      <c r="Q29" s="248" t="s">
        <v>1665</v>
      </c>
      <c r="R29" s="248" t="s">
        <v>1666</v>
      </c>
      <c r="S29" s="248" t="s">
        <v>1667</v>
      </c>
      <c r="T29" s="248" t="s">
        <v>1987</v>
      </c>
      <c r="U29" s="269" t="s">
        <v>1668</v>
      </c>
    </row>
    <row r="30" spans="1:21" ht="94.5">
      <c r="A30" s="754"/>
      <c r="B30" s="754"/>
      <c r="C30" s="809"/>
      <c r="D30" s="809"/>
      <c r="E30" s="248" t="s">
        <v>1985</v>
      </c>
      <c r="F30" s="500" t="s">
        <v>1984</v>
      </c>
      <c r="G30" s="248"/>
      <c r="H30" s="230"/>
      <c r="I30" s="248"/>
      <c r="J30" s="230"/>
      <c r="K30" s="249">
        <v>0.5</v>
      </c>
      <c r="L30" s="230"/>
      <c r="M30" s="249">
        <v>0.5</v>
      </c>
      <c r="N30" s="230"/>
      <c r="O30" s="374">
        <f t="shared" si="4"/>
        <v>1</v>
      </c>
      <c r="P30" s="375">
        <f t="shared" si="5"/>
        <v>0</v>
      </c>
      <c r="Q30" s="248" t="s">
        <v>1665</v>
      </c>
      <c r="R30" s="578" t="s">
        <v>1986</v>
      </c>
      <c r="S30" s="248" t="s">
        <v>1667</v>
      </c>
      <c r="T30" s="248" t="s">
        <v>1988</v>
      </c>
      <c r="U30" s="269" t="s">
        <v>1989</v>
      </c>
    </row>
    <row r="31" spans="1:21" ht="15.75" hidden="1">
      <c r="A31" s="755" t="s">
        <v>1388</v>
      </c>
      <c r="B31" s="755" t="s">
        <v>1663</v>
      </c>
      <c r="C31" s="248"/>
      <c r="D31" s="248"/>
      <c r="E31" s="248"/>
      <c r="F31" s="248"/>
      <c r="G31" s="248"/>
      <c r="H31" s="230"/>
      <c r="I31" s="248"/>
      <c r="J31" s="230"/>
      <c r="K31" s="249"/>
      <c r="L31" s="230"/>
      <c r="M31" s="248"/>
      <c r="N31" s="230"/>
      <c r="O31" s="376">
        <f t="shared" si="4"/>
        <v>0</v>
      </c>
      <c r="P31" s="375">
        <f t="shared" si="5"/>
        <v>0</v>
      </c>
      <c r="Q31" s="248"/>
      <c r="R31" s="248"/>
      <c r="S31" s="248"/>
      <c r="T31" s="248"/>
      <c r="U31" s="321"/>
    </row>
    <row r="32" spans="1:21" ht="15.75" hidden="1">
      <c r="A32" s="755"/>
      <c r="B32" s="755"/>
      <c r="C32" s="248"/>
      <c r="D32" s="248"/>
      <c r="E32" s="248"/>
      <c r="F32" s="248"/>
      <c r="G32" s="248"/>
      <c r="H32" s="230"/>
      <c r="I32" s="248"/>
      <c r="J32" s="230"/>
      <c r="K32" s="249"/>
      <c r="L32" s="230"/>
      <c r="M32" s="248"/>
      <c r="N32" s="230"/>
      <c r="O32" s="376">
        <f t="shared" si="4"/>
        <v>0</v>
      </c>
      <c r="P32" s="375">
        <f t="shared" si="5"/>
        <v>0</v>
      </c>
      <c r="Q32" s="248"/>
      <c r="R32" s="248"/>
      <c r="S32" s="248"/>
      <c r="T32" s="248"/>
      <c r="U32" s="321"/>
    </row>
    <row r="33" spans="1:21" ht="15.75" hidden="1">
      <c r="A33" s="755"/>
      <c r="B33" s="755"/>
      <c r="C33" s="248"/>
      <c r="D33" s="248"/>
      <c r="E33" s="248"/>
      <c r="F33" s="248"/>
      <c r="G33" s="248"/>
      <c r="H33" s="230"/>
      <c r="I33" s="248"/>
      <c r="J33" s="230"/>
      <c r="K33" s="249"/>
      <c r="L33" s="230"/>
      <c r="M33" s="248"/>
      <c r="N33" s="230"/>
      <c r="O33" s="376">
        <f t="shared" si="4"/>
        <v>0</v>
      </c>
      <c r="P33" s="375">
        <f t="shared" si="5"/>
        <v>0</v>
      </c>
      <c r="Q33" s="248"/>
      <c r="R33" s="248"/>
      <c r="S33" s="248"/>
      <c r="T33" s="248"/>
      <c r="U33" s="321"/>
    </row>
    <row r="34" spans="1:21" ht="15.75" hidden="1">
      <c r="A34" s="755"/>
      <c r="B34" s="755"/>
      <c r="C34" s="248"/>
      <c r="D34" s="248"/>
      <c r="E34" s="248"/>
      <c r="F34" s="248"/>
      <c r="G34" s="248"/>
      <c r="H34" s="230"/>
      <c r="I34" s="248"/>
      <c r="J34" s="230"/>
      <c r="K34" s="249"/>
      <c r="L34" s="230"/>
      <c r="M34" s="248"/>
      <c r="N34" s="230"/>
      <c r="O34" s="376">
        <f t="shared" si="4"/>
        <v>0</v>
      </c>
      <c r="P34" s="375">
        <f t="shared" si="5"/>
        <v>0</v>
      </c>
      <c r="Q34" s="248"/>
      <c r="R34" s="248"/>
      <c r="S34" s="248"/>
      <c r="T34" s="248"/>
      <c r="U34" s="321"/>
    </row>
    <row r="35" spans="1:21" ht="15.75" hidden="1">
      <c r="A35" s="755"/>
      <c r="B35" s="755"/>
      <c r="C35" s="248"/>
      <c r="D35" s="248"/>
      <c r="E35" s="248"/>
      <c r="F35" s="248"/>
      <c r="G35" s="248"/>
      <c r="H35" s="230"/>
      <c r="I35" s="248"/>
      <c r="J35" s="230"/>
      <c r="K35" s="249"/>
      <c r="L35" s="230"/>
      <c r="M35" s="248"/>
      <c r="N35" s="230"/>
      <c r="O35" s="376">
        <f t="shared" si="4"/>
        <v>0</v>
      </c>
      <c r="P35" s="375">
        <f t="shared" si="5"/>
        <v>0</v>
      </c>
      <c r="Q35" s="248"/>
      <c r="R35" s="248"/>
      <c r="S35" s="248"/>
      <c r="T35" s="248"/>
      <c r="U35" s="321"/>
    </row>
    <row r="36" spans="1:21" ht="15.75" hidden="1">
      <c r="A36" s="755"/>
      <c r="B36" s="755"/>
      <c r="C36" s="248"/>
      <c r="D36" s="248"/>
      <c r="E36" s="248"/>
      <c r="F36" s="248"/>
      <c r="G36" s="248"/>
      <c r="H36" s="230"/>
      <c r="I36" s="248"/>
      <c r="J36" s="230"/>
      <c r="K36" s="248"/>
      <c r="L36" s="230"/>
      <c r="M36" s="249"/>
      <c r="N36" s="230"/>
      <c r="O36" s="376">
        <f t="shared" si="4"/>
        <v>0</v>
      </c>
      <c r="P36" s="375">
        <f t="shared" si="5"/>
        <v>0</v>
      </c>
      <c r="Q36" s="248"/>
      <c r="R36" s="248"/>
      <c r="S36" s="248"/>
      <c r="T36" s="248"/>
      <c r="U36" s="321"/>
    </row>
    <row r="37" spans="1:21" ht="15.75">
      <c r="A37" s="289"/>
      <c r="B37" s="290"/>
      <c r="C37" s="290"/>
      <c r="D37" s="289" t="s">
        <v>1385</v>
      </c>
      <c r="E37" s="290"/>
      <c r="F37" s="291"/>
      <c r="G37" s="271">
        <f t="shared" ref="G37:P37" si="6">SUM(G10:G36)</f>
        <v>3.1500000000000004</v>
      </c>
      <c r="H37" s="272">
        <f t="shared" si="6"/>
        <v>891</v>
      </c>
      <c r="I37" s="271">
        <f t="shared" si="6"/>
        <v>7.48</v>
      </c>
      <c r="J37" s="272">
        <f t="shared" si="6"/>
        <v>21878</v>
      </c>
      <c r="K37" s="271">
        <f t="shared" si="6"/>
        <v>4.8500000000000005</v>
      </c>
      <c r="L37" s="272">
        <f t="shared" si="6"/>
        <v>5205</v>
      </c>
      <c r="M37" s="271">
        <f t="shared" si="6"/>
        <v>4.5199999999999996</v>
      </c>
      <c r="N37" s="272">
        <f t="shared" si="6"/>
        <v>13576</v>
      </c>
      <c r="O37" s="272">
        <f t="shared" si="6"/>
        <v>20</v>
      </c>
      <c r="P37" s="272">
        <f t="shared" si="6"/>
        <v>41550</v>
      </c>
      <c r="Q37" s="262"/>
      <c r="R37" s="262"/>
      <c r="S37" s="262"/>
      <c r="T37" s="262"/>
      <c r="U37" s="262"/>
    </row>
    <row r="39" spans="1:21">
      <c r="H39"/>
      <c r="J39"/>
      <c r="L39"/>
      <c r="N39"/>
      <c r="P39" s="387"/>
    </row>
    <row r="40" spans="1:21">
      <c r="H40"/>
      <c r="J40"/>
      <c r="L40"/>
      <c r="N40"/>
      <c r="P40" s="387"/>
    </row>
    <row r="41" spans="1:21">
      <c r="H41"/>
      <c r="J41"/>
      <c r="L41"/>
      <c r="N41"/>
      <c r="P41" s="387"/>
    </row>
    <row r="42" spans="1:21">
      <c r="H42"/>
      <c r="J42"/>
      <c r="L42"/>
      <c r="N42"/>
      <c r="P42" s="387"/>
    </row>
    <row r="43" spans="1:21">
      <c r="H43"/>
      <c r="J43"/>
      <c r="L43"/>
      <c r="N43"/>
      <c r="P43" s="387"/>
    </row>
    <row r="44" spans="1:21">
      <c r="H44"/>
      <c r="J44"/>
      <c r="L44"/>
      <c r="N44"/>
      <c r="P44" s="387"/>
    </row>
    <row r="45" spans="1:21">
      <c r="H45"/>
      <c r="J45"/>
      <c r="L45"/>
      <c r="N45"/>
      <c r="P45" s="387"/>
    </row>
    <row r="46" spans="1:21">
      <c r="H46"/>
      <c r="J46"/>
      <c r="L46"/>
      <c r="N46"/>
      <c r="P46" s="387"/>
    </row>
    <row r="47" spans="1:21">
      <c r="H47"/>
      <c r="J47"/>
      <c r="L47"/>
      <c r="N47"/>
      <c r="P47" s="387"/>
    </row>
    <row r="48" spans="1:21">
      <c r="H48"/>
      <c r="J48"/>
      <c r="L48"/>
      <c r="N48"/>
      <c r="P48" s="387"/>
    </row>
    <row r="49" spans="8:16">
      <c r="H49"/>
      <c r="J49"/>
      <c r="L49"/>
      <c r="N49"/>
      <c r="P49" s="387"/>
    </row>
    <row r="50" spans="8:16">
      <c r="H50"/>
      <c r="J50"/>
      <c r="L50"/>
      <c r="N50"/>
      <c r="P50" s="387"/>
    </row>
    <row r="51" spans="8:16">
      <c r="H51"/>
      <c r="J51"/>
      <c r="L51"/>
      <c r="N51"/>
      <c r="P51" s="387"/>
    </row>
    <row r="52" spans="8:16">
      <c r="H52"/>
      <c r="J52"/>
      <c r="L52"/>
      <c r="N52"/>
      <c r="P52" s="387"/>
    </row>
    <row r="53" spans="8:16">
      <c r="H53"/>
      <c r="J53"/>
      <c r="L53"/>
      <c r="N53"/>
      <c r="P53" s="387"/>
    </row>
    <row r="54" spans="8:16">
      <c r="H54"/>
      <c r="J54"/>
      <c r="L54"/>
      <c r="N54"/>
      <c r="P54" s="387"/>
    </row>
    <row r="55" spans="8:16">
      <c r="H55"/>
      <c r="J55"/>
      <c r="L55"/>
      <c r="N55"/>
      <c r="P55" s="387"/>
    </row>
    <row r="56" spans="8:16">
      <c r="H56"/>
      <c r="J56"/>
      <c r="L56"/>
      <c r="N56"/>
      <c r="P56" s="387"/>
    </row>
  </sheetData>
  <mergeCells count="28">
    <mergeCell ref="B10:B19"/>
    <mergeCell ref="A10:A27"/>
    <mergeCell ref="C11:C12"/>
    <mergeCell ref="D11:D12"/>
    <mergeCell ref="A28:U28"/>
    <mergeCell ref="B31:B36"/>
    <mergeCell ref="A31:A36"/>
    <mergeCell ref="B29:B30"/>
    <mergeCell ref="A29:A30"/>
    <mergeCell ref="B25:B27"/>
    <mergeCell ref="U6:U8"/>
    <mergeCell ref="G7:H7"/>
    <mergeCell ref="I7:J7"/>
    <mergeCell ref="Q6:Q8"/>
    <mergeCell ref="O6:P7"/>
    <mergeCell ref="R6:R8"/>
    <mergeCell ref="S6:S8"/>
    <mergeCell ref="T6:T8"/>
    <mergeCell ref="K7:L7"/>
    <mergeCell ref="M7:N7"/>
    <mergeCell ref="F6:F8"/>
    <mergeCell ref="G6:N6"/>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4"/>
  <sheetViews>
    <sheetView zoomScale="60" zoomScaleNormal="60" workbookViewId="0">
      <pane ySplit="6" topLeftCell="A7" activePane="bottomLeft" state="frozen"/>
      <selection activeCell="P6" sqref="P6"/>
      <selection pane="bottomLeft" activeCell="A20" sqref="A20:A21"/>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3" bestFit="1" customWidth="1"/>
    <col min="9" max="9" width="15.28515625" customWidth="1"/>
    <col min="10" max="10" width="12.140625" style="233" bestFit="1" customWidth="1"/>
    <col min="11" max="11" width="15.28515625" customWidth="1"/>
    <col min="12" max="12" width="12.140625" style="233" bestFit="1" customWidth="1"/>
    <col min="13" max="13" width="15.28515625" customWidth="1"/>
    <col min="14" max="14" width="11.5703125" style="233"/>
    <col min="15" max="15" width="15.28515625" customWidth="1"/>
    <col min="16" max="16" width="15.7109375" style="233" customWidth="1"/>
    <col min="17" max="17" width="14.28515625" hidden="1" customWidth="1"/>
    <col min="18" max="20" width="14.28515625" customWidth="1"/>
    <col min="21" max="21" width="17" customWidth="1"/>
  </cols>
  <sheetData>
    <row r="1" spans="1:21" s="282" customFormat="1" ht="18" customHeight="1">
      <c r="B1" s="281"/>
      <c r="C1" s="281"/>
      <c r="D1" s="281"/>
      <c r="E1" s="281"/>
      <c r="F1" s="281"/>
      <c r="G1" s="281" t="s">
        <v>115</v>
      </c>
      <c r="I1" s="281"/>
      <c r="J1" s="281"/>
      <c r="K1" s="281"/>
      <c r="L1" s="281"/>
      <c r="M1" s="281"/>
      <c r="N1" s="281"/>
      <c r="O1" s="281"/>
      <c r="P1" s="281"/>
      <c r="Q1" s="281"/>
      <c r="R1" s="281"/>
      <c r="S1" s="281"/>
      <c r="T1" s="281"/>
      <c r="U1" s="281"/>
    </row>
    <row r="2" spans="1:21" s="282" customFormat="1" ht="18" customHeight="1">
      <c r="A2" s="314" t="s">
        <v>1350</v>
      </c>
      <c r="B2" s="281"/>
      <c r="C2" s="281"/>
      <c r="D2" s="281"/>
      <c r="E2" s="281"/>
      <c r="F2" s="281"/>
      <c r="G2" s="281"/>
      <c r="I2" s="281"/>
      <c r="J2" s="281"/>
      <c r="K2" s="281"/>
      <c r="L2" s="281"/>
      <c r="M2" s="281"/>
      <c r="N2" s="281"/>
      <c r="O2" s="281"/>
      <c r="P2" s="281"/>
      <c r="Q2" s="281"/>
      <c r="R2" s="281"/>
      <c r="S2" s="281"/>
      <c r="T2" s="281"/>
      <c r="U2" s="281"/>
    </row>
    <row r="3" spans="1:21" s="282" customFormat="1" ht="18.75">
      <c r="A3" s="347" t="s">
        <v>1391</v>
      </c>
      <c r="B3" s="281"/>
      <c r="C3" s="281"/>
      <c r="D3" s="281"/>
      <c r="E3" s="281"/>
      <c r="F3" s="281"/>
      <c r="G3" s="281"/>
      <c r="I3" s="281"/>
      <c r="J3" s="281"/>
      <c r="K3" s="281"/>
      <c r="L3" s="281"/>
      <c r="M3" s="281"/>
      <c r="N3" s="281"/>
      <c r="O3" s="281"/>
      <c r="P3" s="281"/>
      <c r="Q3" s="281"/>
      <c r="R3" s="281"/>
      <c r="S3" s="281"/>
      <c r="T3" s="281"/>
      <c r="U3" s="281"/>
    </row>
    <row r="4" spans="1:21" s="66" customFormat="1" ht="15.7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s="66" customFormat="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s="67" customFormat="1" ht="25.5">
      <c r="A6" s="733"/>
      <c r="B6" s="733"/>
      <c r="C6" s="736"/>
      <c r="D6" s="736"/>
      <c r="E6" s="736"/>
      <c r="F6" s="736"/>
      <c r="G6" s="433" t="s">
        <v>108</v>
      </c>
      <c r="H6" s="433" t="s">
        <v>12</v>
      </c>
      <c r="I6" s="433" t="s">
        <v>108</v>
      </c>
      <c r="J6" s="433" t="s">
        <v>12</v>
      </c>
      <c r="K6" s="433" t="s">
        <v>108</v>
      </c>
      <c r="L6" s="433" t="s">
        <v>12</v>
      </c>
      <c r="M6" s="433" t="s">
        <v>108</v>
      </c>
      <c r="N6" s="433" t="s">
        <v>12</v>
      </c>
      <c r="O6" s="433" t="s">
        <v>108</v>
      </c>
      <c r="P6" s="433" t="s">
        <v>12</v>
      </c>
      <c r="Q6" s="733"/>
      <c r="R6" s="733"/>
      <c r="S6" s="733"/>
      <c r="T6" s="733"/>
      <c r="U6" s="730"/>
    </row>
    <row r="7" spans="1:21" s="67" customFormat="1" ht="15.75">
      <c r="A7" s="434"/>
      <c r="B7" s="435"/>
      <c r="C7" s="436"/>
      <c r="D7" s="436"/>
      <c r="E7" s="437"/>
      <c r="F7" s="436"/>
      <c r="G7" s="438"/>
      <c r="H7" s="438"/>
      <c r="I7" s="438"/>
      <c r="J7" s="438"/>
      <c r="K7" s="438"/>
      <c r="L7" s="438"/>
      <c r="M7" s="438"/>
      <c r="N7" s="438"/>
      <c r="O7" s="438"/>
      <c r="P7" s="438"/>
      <c r="Q7" s="439"/>
      <c r="R7" s="439"/>
      <c r="S7" s="439"/>
      <c r="T7" s="439"/>
      <c r="U7" s="440"/>
    </row>
    <row r="8" spans="1:21" ht="14.25" hidden="1" customHeight="1">
      <c r="A8" s="832" t="s">
        <v>1392</v>
      </c>
      <c r="B8" s="762" t="s">
        <v>112</v>
      </c>
      <c r="C8" s="321"/>
      <c r="D8" s="321"/>
      <c r="E8" s="321"/>
      <c r="F8" s="73"/>
      <c r="G8" s="345"/>
      <c r="H8" s="348"/>
      <c r="I8" s="345"/>
      <c r="J8" s="348"/>
      <c r="K8" s="345"/>
      <c r="L8" s="348"/>
      <c r="M8" s="345"/>
      <c r="N8" s="348"/>
      <c r="O8" s="389">
        <f>G8+I8+K8+M8</f>
        <v>0</v>
      </c>
      <c r="P8" s="390">
        <f>H8+J8+L8+N8</f>
        <v>0</v>
      </c>
      <c r="Q8" s="342"/>
      <c r="R8" s="342"/>
      <c r="S8" s="248"/>
      <c r="T8" s="248"/>
      <c r="U8" s="248"/>
    </row>
    <row r="9" spans="1:21" ht="15.75" hidden="1">
      <c r="A9" s="833"/>
      <c r="B9" s="762"/>
      <c r="C9" s="321"/>
      <c r="D9" s="321"/>
      <c r="E9" s="321"/>
      <c r="F9" s="73"/>
      <c r="G9" s="345"/>
      <c r="H9" s="348"/>
      <c r="I9" s="345"/>
      <c r="J9" s="348"/>
      <c r="K9" s="345"/>
      <c r="L9" s="348"/>
      <c r="M9" s="345"/>
      <c r="N9" s="348"/>
      <c r="O9" s="389">
        <f t="shared" ref="O9:O21" si="0">G9+I9+K9+M9</f>
        <v>0</v>
      </c>
      <c r="P9" s="390">
        <f t="shared" ref="P9:P21" si="1">H9+J9+L9+N9</f>
        <v>0</v>
      </c>
      <c r="Q9" s="342"/>
      <c r="R9" s="342"/>
      <c r="S9" s="248"/>
      <c r="T9" s="248"/>
      <c r="U9" s="248"/>
    </row>
    <row r="10" spans="1:21" ht="15.75" hidden="1">
      <c r="A10" s="833"/>
      <c r="B10" s="762"/>
      <c r="C10" s="321"/>
      <c r="D10" s="321"/>
      <c r="E10" s="321"/>
      <c r="F10" s="73"/>
      <c r="G10" s="345"/>
      <c r="H10" s="348"/>
      <c r="I10" s="345"/>
      <c r="J10" s="348"/>
      <c r="K10" s="345"/>
      <c r="L10" s="348"/>
      <c r="M10" s="345"/>
      <c r="N10" s="348"/>
      <c r="O10" s="389">
        <f t="shared" si="0"/>
        <v>0</v>
      </c>
      <c r="P10" s="390">
        <f t="shared" si="1"/>
        <v>0</v>
      </c>
      <c r="Q10" s="342"/>
      <c r="R10" s="342"/>
      <c r="S10" s="248"/>
      <c r="T10" s="248"/>
      <c r="U10" s="248"/>
    </row>
    <row r="11" spans="1:21" ht="15.75" hidden="1">
      <c r="A11" s="833"/>
      <c r="B11" s="762"/>
      <c r="C11" s="321"/>
      <c r="D11" s="321"/>
      <c r="E11" s="321"/>
      <c r="F11" s="73"/>
      <c r="G11" s="345"/>
      <c r="H11" s="348"/>
      <c r="I11" s="345"/>
      <c r="J11" s="348"/>
      <c r="K11" s="345"/>
      <c r="L11" s="348"/>
      <c r="M11" s="345"/>
      <c r="N11" s="348"/>
      <c r="O11" s="389">
        <f t="shared" si="0"/>
        <v>0</v>
      </c>
      <c r="P11" s="390">
        <f t="shared" si="1"/>
        <v>0</v>
      </c>
      <c r="Q11" s="342"/>
      <c r="R11" s="342"/>
      <c r="S11" s="248"/>
      <c r="T11" s="248"/>
      <c r="U11" s="248"/>
    </row>
    <row r="12" spans="1:21" ht="15.75" hidden="1">
      <c r="A12" s="833"/>
      <c r="B12" s="762"/>
      <c r="C12" s="321"/>
      <c r="D12" s="321"/>
      <c r="E12" s="321"/>
      <c r="F12" s="73"/>
      <c r="G12" s="345"/>
      <c r="H12" s="348"/>
      <c r="I12" s="345"/>
      <c r="J12" s="348"/>
      <c r="K12" s="345"/>
      <c r="L12" s="348"/>
      <c r="M12" s="345"/>
      <c r="N12" s="348"/>
      <c r="O12" s="389">
        <f t="shared" si="0"/>
        <v>0</v>
      </c>
      <c r="P12" s="390">
        <f t="shared" si="1"/>
        <v>0</v>
      </c>
      <c r="Q12" s="342"/>
      <c r="R12" s="342"/>
      <c r="S12" s="248"/>
      <c r="T12" s="248"/>
      <c r="U12" s="248"/>
    </row>
    <row r="13" spans="1:21" ht="15.75" hidden="1">
      <c r="A13" s="833"/>
      <c r="B13" s="762"/>
      <c r="C13" s="321"/>
      <c r="D13" s="321"/>
      <c r="E13" s="321"/>
      <c r="F13" s="73"/>
      <c r="G13" s="345"/>
      <c r="H13" s="348"/>
      <c r="I13" s="345"/>
      <c r="J13" s="348"/>
      <c r="K13" s="345"/>
      <c r="L13" s="348"/>
      <c r="M13" s="345"/>
      <c r="N13" s="348"/>
      <c r="O13" s="389">
        <f t="shared" si="0"/>
        <v>0</v>
      </c>
      <c r="P13" s="390">
        <f t="shared" si="1"/>
        <v>0</v>
      </c>
      <c r="Q13" s="342"/>
      <c r="R13" s="342"/>
      <c r="S13" s="248"/>
      <c r="T13" s="248"/>
      <c r="U13" s="248"/>
    </row>
    <row r="14" spans="1:21" ht="15.75" hidden="1">
      <c r="A14" s="833"/>
      <c r="B14" s="762" t="s">
        <v>113</v>
      </c>
      <c r="C14" s="321"/>
      <c r="D14" s="321"/>
      <c r="E14" s="321"/>
      <c r="F14" s="73"/>
      <c r="G14" s="345"/>
      <c r="H14" s="348"/>
      <c r="I14" s="345"/>
      <c r="J14" s="348"/>
      <c r="K14" s="345"/>
      <c r="L14" s="348"/>
      <c r="M14" s="345"/>
      <c r="N14" s="348"/>
      <c r="O14" s="389">
        <f t="shared" si="0"/>
        <v>0</v>
      </c>
      <c r="P14" s="390">
        <f t="shared" si="1"/>
        <v>0</v>
      </c>
      <c r="Q14" s="342"/>
      <c r="R14" s="342"/>
      <c r="S14" s="248"/>
      <c r="T14" s="248"/>
      <c r="U14" s="248"/>
    </row>
    <row r="15" spans="1:21" ht="15.75" hidden="1">
      <c r="A15" s="833"/>
      <c r="B15" s="762"/>
      <c r="C15" s="321"/>
      <c r="D15" s="321"/>
      <c r="E15" s="321"/>
      <c r="F15" s="73"/>
      <c r="G15" s="345"/>
      <c r="H15" s="348"/>
      <c r="I15" s="345"/>
      <c r="J15" s="348"/>
      <c r="K15" s="345"/>
      <c r="L15" s="348"/>
      <c r="M15" s="345"/>
      <c r="N15" s="348"/>
      <c r="O15" s="389">
        <f t="shared" si="0"/>
        <v>0</v>
      </c>
      <c r="P15" s="390">
        <f t="shared" si="1"/>
        <v>0</v>
      </c>
      <c r="Q15" s="342"/>
      <c r="R15" s="342"/>
      <c r="S15" s="248"/>
      <c r="T15" s="248"/>
      <c r="U15" s="248"/>
    </row>
    <row r="16" spans="1:21" ht="15.75" hidden="1">
      <c r="A16" s="833"/>
      <c r="B16" s="762"/>
      <c r="C16" s="321"/>
      <c r="D16" s="321"/>
      <c r="E16" s="321"/>
      <c r="F16" s="73"/>
      <c r="G16" s="345"/>
      <c r="H16" s="348"/>
      <c r="I16" s="345"/>
      <c r="J16" s="348"/>
      <c r="K16" s="345"/>
      <c r="L16" s="348"/>
      <c r="M16" s="345"/>
      <c r="N16" s="348"/>
      <c r="O16" s="389">
        <f t="shared" si="0"/>
        <v>0</v>
      </c>
      <c r="P16" s="390">
        <f t="shared" si="1"/>
        <v>0</v>
      </c>
      <c r="Q16" s="342"/>
      <c r="R16" s="342"/>
      <c r="S16" s="248"/>
      <c r="T16" s="248"/>
      <c r="U16" s="248"/>
    </row>
    <row r="17" spans="1:21" ht="15.75" hidden="1">
      <c r="A17" s="833"/>
      <c r="B17" s="762"/>
      <c r="C17" s="321"/>
      <c r="D17" s="321"/>
      <c r="E17" s="321"/>
      <c r="F17" s="73"/>
      <c r="G17" s="345"/>
      <c r="H17" s="348"/>
      <c r="I17" s="345"/>
      <c r="J17" s="348"/>
      <c r="K17" s="345"/>
      <c r="L17" s="348"/>
      <c r="M17" s="345"/>
      <c r="N17" s="348"/>
      <c r="O17" s="389">
        <f t="shared" si="0"/>
        <v>0</v>
      </c>
      <c r="P17" s="390">
        <f t="shared" si="1"/>
        <v>0</v>
      </c>
      <c r="Q17" s="342"/>
      <c r="R17" s="342"/>
      <c r="S17" s="248"/>
      <c r="T17" s="248"/>
      <c r="U17" s="248"/>
    </row>
    <row r="18" spans="1:21" ht="15.75" hidden="1">
      <c r="A18" s="833"/>
      <c r="B18" s="762"/>
      <c r="C18" s="321"/>
      <c r="D18" s="321"/>
      <c r="E18" s="321"/>
      <c r="F18" s="73"/>
      <c r="G18" s="345"/>
      <c r="H18" s="348"/>
      <c r="I18" s="345"/>
      <c r="J18" s="348"/>
      <c r="K18" s="345"/>
      <c r="L18" s="348"/>
      <c r="M18" s="345"/>
      <c r="N18" s="348"/>
      <c r="O18" s="389">
        <f t="shared" si="0"/>
        <v>0</v>
      </c>
      <c r="P18" s="390">
        <f t="shared" si="1"/>
        <v>0</v>
      </c>
      <c r="Q18" s="342"/>
      <c r="R18" s="342"/>
      <c r="S18" s="248"/>
      <c r="T18" s="248"/>
      <c r="U18" s="248"/>
    </row>
    <row r="19" spans="1:21" ht="15.75" hidden="1">
      <c r="A19" s="833"/>
      <c r="B19" s="762"/>
      <c r="C19" s="321"/>
      <c r="D19" s="321"/>
      <c r="E19" s="321"/>
      <c r="F19" s="73"/>
      <c r="G19" s="345"/>
      <c r="H19" s="348"/>
      <c r="I19" s="345"/>
      <c r="J19" s="348"/>
      <c r="K19" s="345"/>
      <c r="L19" s="348"/>
      <c r="M19" s="345"/>
      <c r="N19" s="348"/>
      <c r="O19" s="389">
        <f t="shared" si="0"/>
        <v>0</v>
      </c>
      <c r="P19" s="390">
        <f t="shared" si="1"/>
        <v>0</v>
      </c>
      <c r="Q19" s="342"/>
      <c r="R19" s="342"/>
      <c r="S19" s="248"/>
      <c r="T19" s="248"/>
      <c r="U19" s="248"/>
    </row>
    <row r="20" spans="1:21" ht="151.5" customHeight="1">
      <c r="A20" s="830" t="s">
        <v>1392</v>
      </c>
      <c r="B20" s="830" t="s">
        <v>1393</v>
      </c>
      <c r="C20" s="834"/>
      <c r="D20" s="834"/>
      <c r="E20" s="321" t="s">
        <v>1765</v>
      </c>
      <c r="F20" s="525" t="s">
        <v>1760</v>
      </c>
      <c r="G20" s="345"/>
      <c r="H20" s="348"/>
      <c r="I20" s="351">
        <v>0.33</v>
      </c>
      <c r="J20" s="348">
        <f>+I20*'5. ACTIVIDADES ESPECIALES'!D147</f>
        <v>1980</v>
      </c>
      <c r="K20" s="351">
        <v>0.33</v>
      </c>
      <c r="L20" s="348">
        <f>+K20*'5. ACTIVIDADES ESPECIALES'!D147</f>
        <v>1980</v>
      </c>
      <c r="M20" s="351">
        <v>0.34</v>
      </c>
      <c r="N20" s="348">
        <f>+M20*'5. ACTIVIDADES ESPECIALES'!D147</f>
        <v>2040.0000000000002</v>
      </c>
      <c r="O20" s="389">
        <f t="shared" si="0"/>
        <v>1</v>
      </c>
      <c r="P20" s="390">
        <f t="shared" si="1"/>
        <v>6000</v>
      </c>
      <c r="Q20" s="342"/>
      <c r="R20" s="527" t="s">
        <v>1761</v>
      </c>
      <c r="S20" s="248" t="s">
        <v>1762</v>
      </c>
      <c r="T20" s="248" t="s">
        <v>1763</v>
      </c>
      <c r="U20" s="248" t="s">
        <v>1764</v>
      </c>
    </row>
    <row r="21" spans="1:21" ht="157.5">
      <c r="A21" s="831"/>
      <c r="B21" s="831"/>
      <c r="C21" s="834"/>
      <c r="D21" s="834"/>
      <c r="E21" s="321" t="s">
        <v>2280</v>
      </c>
      <c r="F21" s="525" t="s">
        <v>2282</v>
      </c>
      <c r="G21" s="697">
        <v>0.33</v>
      </c>
      <c r="H21" s="348">
        <f>+G21*'5. ACTIVIDADES ESPECIALES'!D560</f>
        <v>7260</v>
      </c>
      <c r="I21" s="345"/>
      <c r="J21" s="348"/>
      <c r="K21" s="351">
        <v>0.33</v>
      </c>
      <c r="L21" s="348">
        <f>+K21*'5. ACTIVIDADES ESPECIALES'!D560</f>
        <v>7260</v>
      </c>
      <c r="M21" s="351">
        <v>0.34</v>
      </c>
      <c r="N21" s="348">
        <f>+M21*'5. ACTIVIDADES ESPECIALES'!D560</f>
        <v>7480.0000000000009</v>
      </c>
      <c r="O21" s="389">
        <f t="shared" si="0"/>
        <v>1</v>
      </c>
      <c r="P21" s="390">
        <f t="shared" si="1"/>
        <v>22000</v>
      </c>
      <c r="Q21" s="342"/>
      <c r="R21" s="516" t="s">
        <v>2281</v>
      </c>
      <c r="S21" s="248" t="s">
        <v>2283</v>
      </c>
      <c r="T21" s="248" t="s">
        <v>2284</v>
      </c>
      <c r="U21" s="248" t="s">
        <v>2166</v>
      </c>
    </row>
    <row r="22" spans="1:21" s="283" customFormat="1" ht="15.75">
      <c r="A22" s="295"/>
      <c r="B22" s="296"/>
      <c r="C22" s="295" t="s">
        <v>114</v>
      </c>
      <c r="D22" s="296"/>
      <c r="E22" s="296"/>
      <c r="F22" s="297"/>
      <c r="G22" s="262">
        <f>SUM(G8:G21)</f>
        <v>0.33</v>
      </c>
      <c r="H22" s="232">
        <f>SUM(H8:H21)</f>
        <v>7260</v>
      </c>
      <c r="I22" s="262">
        <f>SUM(I8:I21)</f>
        <v>0.33</v>
      </c>
      <c r="J22" s="232">
        <f>SUM(J8:J21)</f>
        <v>1980</v>
      </c>
      <c r="K22" s="262">
        <f>SUM(K8:K21)</f>
        <v>0.66</v>
      </c>
      <c r="L22" s="232">
        <f>SUM(L8:L21)</f>
        <v>9240</v>
      </c>
      <c r="M22" s="262">
        <f>SUM(M8:M21)</f>
        <v>0.68</v>
      </c>
      <c r="N22" s="232">
        <f>SUM(N8:N21)</f>
        <v>9520.0000000000018</v>
      </c>
      <c r="O22" s="232">
        <f>SUM(O8:O21)</f>
        <v>2</v>
      </c>
      <c r="P22" s="232">
        <f>SUM(P8:P21)</f>
        <v>28000</v>
      </c>
      <c r="Q22" s="262"/>
      <c r="R22" s="262"/>
      <c r="S22" s="262"/>
      <c r="T22" s="262"/>
      <c r="U22" s="262"/>
    </row>
    <row r="23" spans="1:21">
      <c r="H23"/>
      <c r="J23"/>
      <c r="L23"/>
      <c r="N23"/>
      <c r="P23"/>
    </row>
    <row r="24" spans="1:21">
      <c r="H24"/>
      <c r="J24"/>
      <c r="L24"/>
      <c r="N24"/>
      <c r="P2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sheetData>
  <mergeCells count="21">
    <mergeCell ref="A20:A21"/>
    <mergeCell ref="B20:B21"/>
    <mergeCell ref="D4:D6"/>
    <mergeCell ref="F4:F6"/>
    <mergeCell ref="G4:N4"/>
    <mergeCell ref="A4:A6"/>
    <mergeCell ref="B4:B6"/>
    <mergeCell ref="C4:C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4"/>
  <sheetViews>
    <sheetView zoomScale="80" zoomScaleNormal="80" workbookViewId="0">
      <pane ySplit="5" topLeftCell="A6" activePane="bottomLeft" state="frozen"/>
      <selection activeCell="R5" sqref="R5"/>
      <selection pane="bottomLeft" activeCell="A39" sqref="A39"/>
    </sheetView>
  </sheetViews>
  <sheetFormatPr baseColWidth="10" defaultRowHeight="15"/>
  <cols>
    <col min="1" max="2" width="35.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81"/>
      <c r="C1" s="281"/>
      <c r="D1" s="281"/>
      <c r="E1" s="281"/>
      <c r="F1" s="281"/>
      <c r="G1" s="281" t="s">
        <v>479</v>
      </c>
      <c r="I1" s="281"/>
      <c r="J1" s="281"/>
      <c r="K1" s="281"/>
      <c r="L1" s="281"/>
      <c r="M1" s="281"/>
      <c r="N1" s="281"/>
      <c r="O1" s="281"/>
      <c r="P1" s="281"/>
      <c r="Q1" s="281"/>
      <c r="R1" s="281"/>
      <c r="S1" s="281"/>
      <c r="T1" s="281"/>
      <c r="U1" s="281"/>
    </row>
    <row r="2" spans="1:21">
      <c r="A2" s="267" t="s">
        <v>1340</v>
      </c>
      <c r="B2" s="267"/>
      <c r="C2" s="267"/>
      <c r="D2" s="267"/>
      <c r="E2" s="267"/>
      <c r="F2" s="267"/>
      <c r="G2" s="267"/>
      <c r="H2" s="267"/>
      <c r="I2" s="267"/>
      <c r="J2" s="267"/>
      <c r="K2" s="267"/>
      <c r="L2" s="267"/>
      <c r="M2" s="267"/>
      <c r="N2" s="267"/>
      <c r="O2" s="267"/>
      <c r="P2" s="267"/>
      <c r="Q2" s="267"/>
      <c r="R2" s="267"/>
      <c r="S2" s="267"/>
      <c r="T2" s="267"/>
      <c r="U2" s="267"/>
    </row>
    <row r="3" spans="1:21" ht="15" customHeight="1">
      <c r="A3" s="732" t="s">
        <v>97</v>
      </c>
      <c r="B3" s="731" t="s">
        <v>111</v>
      </c>
      <c r="C3" s="734" t="s">
        <v>86</v>
      </c>
      <c r="D3" s="734" t="s">
        <v>87</v>
      </c>
      <c r="E3" s="734" t="s">
        <v>392</v>
      </c>
      <c r="F3" s="734" t="s">
        <v>88</v>
      </c>
      <c r="G3" s="737" t="s">
        <v>100</v>
      </c>
      <c r="H3" s="743"/>
      <c r="I3" s="743"/>
      <c r="J3" s="743"/>
      <c r="K3" s="743"/>
      <c r="L3" s="743"/>
      <c r="M3" s="743"/>
      <c r="N3" s="738"/>
      <c r="O3" s="739" t="s">
        <v>101</v>
      </c>
      <c r="P3" s="740"/>
      <c r="Q3" s="731" t="s">
        <v>102</v>
      </c>
      <c r="R3" s="731" t="s">
        <v>103</v>
      </c>
      <c r="S3" s="731" t="s">
        <v>110</v>
      </c>
      <c r="T3" s="731" t="s">
        <v>109</v>
      </c>
      <c r="U3" s="728" t="s">
        <v>89</v>
      </c>
    </row>
    <row r="4" spans="1:21" ht="15" customHeight="1">
      <c r="A4" s="732"/>
      <c r="B4" s="732"/>
      <c r="C4" s="735"/>
      <c r="D4" s="735"/>
      <c r="E4" s="735"/>
      <c r="F4" s="735"/>
      <c r="G4" s="737" t="s">
        <v>104</v>
      </c>
      <c r="H4" s="738"/>
      <c r="I4" s="737" t="s">
        <v>105</v>
      </c>
      <c r="J4" s="738"/>
      <c r="K4" s="737" t="s">
        <v>106</v>
      </c>
      <c r="L4" s="738"/>
      <c r="M4" s="737" t="s">
        <v>107</v>
      </c>
      <c r="N4" s="738"/>
      <c r="O4" s="741"/>
      <c r="P4" s="742"/>
      <c r="Q4" s="732"/>
      <c r="R4" s="732"/>
      <c r="S4" s="732"/>
      <c r="T4" s="732"/>
      <c r="U4" s="729"/>
    </row>
    <row r="5" spans="1:21" ht="25.5">
      <c r="A5" s="733"/>
      <c r="B5" s="733"/>
      <c r="C5" s="736"/>
      <c r="D5" s="736"/>
      <c r="E5" s="736"/>
      <c r="F5" s="736"/>
      <c r="G5" s="433" t="s">
        <v>108</v>
      </c>
      <c r="H5" s="433" t="s">
        <v>12</v>
      </c>
      <c r="I5" s="433" t="s">
        <v>108</v>
      </c>
      <c r="J5" s="433" t="s">
        <v>12</v>
      </c>
      <c r="K5" s="433" t="s">
        <v>108</v>
      </c>
      <c r="L5" s="433" t="s">
        <v>12</v>
      </c>
      <c r="M5" s="433" t="s">
        <v>108</v>
      </c>
      <c r="N5" s="433" t="s">
        <v>12</v>
      </c>
      <c r="O5" s="433" t="s">
        <v>108</v>
      </c>
      <c r="P5" s="433" t="s">
        <v>12</v>
      </c>
      <c r="Q5" s="733"/>
      <c r="R5" s="733"/>
      <c r="S5" s="733"/>
      <c r="T5" s="733"/>
      <c r="U5" s="730"/>
    </row>
    <row r="6" spans="1:21" s="359" customFormat="1" ht="15.75">
      <c r="A6" s="434"/>
      <c r="B6" s="435"/>
      <c r="C6" s="436"/>
      <c r="D6" s="436"/>
      <c r="E6" s="437"/>
      <c r="F6" s="436"/>
      <c r="G6" s="438"/>
      <c r="H6" s="438"/>
      <c r="I6" s="438"/>
      <c r="J6" s="438"/>
      <c r="K6" s="438"/>
      <c r="L6" s="438"/>
      <c r="M6" s="438"/>
      <c r="N6" s="438"/>
      <c r="O6" s="438"/>
      <c r="P6" s="438"/>
      <c r="Q6" s="439"/>
      <c r="R6" s="439"/>
      <c r="S6" s="439"/>
      <c r="T6" s="439"/>
      <c r="U6" s="440"/>
    </row>
    <row r="7" spans="1:21" ht="15.75" hidden="1">
      <c r="A7" s="755" t="s">
        <v>1423</v>
      </c>
      <c r="B7" s="752" t="s">
        <v>1341</v>
      </c>
      <c r="C7" s="74"/>
      <c r="D7" s="321"/>
      <c r="E7" s="321"/>
      <c r="F7" s="274"/>
      <c r="G7" s="349"/>
      <c r="H7" s="350"/>
      <c r="I7" s="349"/>
      <c r="J7" s="350"/>
      <c r="K7" s="349"/>
      <c r="L7" s="350"/>
      <c r="M7" s="349"/>
      <c r="N7" s="350"/>
      <c r="O7" s="391">
        <f>G7+I7+K7+M7</f>
        <v>0</v>
      </c>
      <c r="P7" s="392">
        <f>H7+J7+L7+N7</f>
        <v>0</v>
      </c>
      <c r="Q7" s="321"/>
      <c r="R7" s="321"/>
      <c r="S7" s="321"/>
      <c r="T7" s="321"/>
      <c r="U7" s="321"/>
    </row>
    <row r="8" spans="1:21" s="359" customFormat="1" ht="15.75" hidden="1">
      <c r="A8" s="755"/>
      <c r="B8" s="753"/>
      <c r="C8" s="74"/>
      <c r="D8" s="321"/>
      <c r="E8" s="321"/>
      <c r="F8" s="274"/>
      <c r="G8" s="349"/>
      <c r="H8" s="350"/>
      <c r="I8" s="349"/>
      <c r="J8" s="350"/>
      <c r="K8" s="349"/>
      <c r="L8" s="350"/>
      <c r="M8" s="349"/>
      <c r="N8" s="350"/>
      <c r="O8" s="391">
        <f t="shared" ref="O8:O28" si="0">G8+I8+K8+M8</f>
        <v>0</v>
      </c>
      <c r="P8" s="392">
        <f t="shared" ref="P8:P28" si="1">H8+J8+L8+N8</f>
        <v>0</v>
      </c>
      <c r="Q8" s="321"/>
      <c r="R8" s="321"/>
      <c r="S8" s="321"/>
      <c r="T8" s="321"/>
      <c r="U8" s="321"/>
    </row>
    <row r="9" spans="1:21" s="359" customFormat="1" ht="15.75" hidden="1">
      <c r="A9" s="755"/>
      <c r="B9" s="753"/>
      <c r="C9" s="74"/>
      <c r="D9" s="321"/>
      <c r="E9" s="321"/>
      <c r="F9" s="274"/>
      <c r="G9" s="349"/>
      <c r="H9" s="350"/>
      <c r="I9" s="349"/>
      <c r="J9" s="350"/>
      <c r="K9" s="349"/>
      <c r="L9" s="350"/>
      <c r="M9" s="349"/>
      <c r="N9" s="350"/>
      <c r="O9" s="391">
        <f t="shared" si="0"/>
        <v>0</v>
      </c>
      <c r="P9" s="392">
        <f t="shared" si="1"/>
        <v>0</v>
      </c>
      <c r="Q9" s="321"/>
      <c r="R9" s="321"/>
      <c r="S9" s="321"/>
      <c r="T9" s="321"/>
      <c r="U9" s="321"/>
    </row>
    <row r="10" spans="1:21" ht="15.75" hidden="1">
      <c r="A10" s="755"/>
      <c r="B10" s="753"/>
      <c r="C10" s="74"/>
      <c r="D10" s="321"/>
      <c r="E10" s="321"/>
      <c r="F10" s="274"/>
      <c r="G10" s="349"/>
      <c r="H10" s="350"/>
      <c r="I10" s="349"/>
      <c r="J10" s="350"/>
      <c r="K10" s="349"/>
      <c r="L10" s="350"/>
      <c r="M10" s="349"/>
      <c r="N10" s="350"/>
      <c r="O10" s="391">
        <f t="shared" si="0"/>
        <v>0</v>
      </c>
      <c r="P10" s="392">
        <f t="shared" si="1"/>
        <v>0</v>
      </c>
      <c r="Q10" s="321"/>
      <c r="R10" s="321"/>
      <c r="S10" s="321"/>
      <c r="T10" s="321"/>
      <c r="U10" s="321"/>
    </row>
    <row r="11" spans="1:21" ht="15.75" hidden="1">
      <c r="A11" s="755"/>
      <c r="B11" s="753"/>
      <c r="C11" s="74"/>
      <c r="D11" s="321"/>
      <c r="E11" s="321"/>
      <c r="F11" s="274"/>
      <c r="G11" s="349"/>
      <c r="H11" s="350"/>
      <c r="I11" s="349"/>
      <c r="J11" s="350"/>
      <c r="K11" s="349"/>
      <c r="L11" s="350"/>
      <c r="M11" s="349"/>
      <c r="N11" s="350"/>
      <c r="O11" s="391">
        <f t="shared" si="0"/>
        <v>0</v>
      </c>
      <c r="P11" s="392">
        <f t="shared" si="1"/>
        <v>0</v>
      </c>
      <c r="Q11" s="321"/>
      <c r="R11" s="321"/>
      <c r="S11" s="321"/>
      <c r="T11" s="321"/>
      <c r="U11" s="321"/>
    </row>
    <row r="12" spans="1:21" ht="15.75" hidden="1">
      <c r="A12" s="755"/>
      <c r="B12" s="754"/>
      <c r="C12" s="74"/>
      <c r="D12" s="321"/>
      <c r="E12" s="321"/>
      <c r="F12" s="274"/>
      <c r="G12" s="349"/>
      <c r="H12" s="350"/>
      <c r="I12" s="349"/>
      <c r="J12" s="350"/>
      <c r="K12" s="349"/>
      <c r="L12" s="350"/>
      <c r="M12" s="349"/>
      <c r="N12" s="350"/>
      <c r="O12" s="391">
        <f t="shared" si="0"/>
        <v>0</v>
      </c>
      <c r="P12" s="392">
        <f t="shared" si="1"/>
        <v>0</v>
      </c>
      <c r="Q12" s="321"/>
      <c r="R12" s="321"/>
      <c r="S12" s="321"/>
      <c r="T12" s="321"/>
      <c r="U12" s="321"/>
    </row>
    <row r="13" spans="1:21" ht="15.75" hidden="1">
      <c r="A13" s="753" t="s">
        <v>1424</v>
      </c>
      <c r="B13" s="752" t="s">
        <v>1425</v>
      </c>
      <c r="C13" s="74"/>
      <c r="D13" s="305"/>
      <c r="E13" s="305"/>
      <c r="F13" s="305"/>
      <c r="G13" s="349"/>
      <c r="H13" s="350"/>
      <c r="I13" s="349"/>
      <c r="J13" s="350"/>
      <c r="K13" s="349"/>
      <c r="L13" s="350"/>
      <c r="M13" s="349"/>
      <c r="N13" s="350"/>
      <c r="O13" s="391">
        <f t="shared" si="0"/>
        <v>0</v>
      </c>
      <c r="P13" s="392">
        <f t="shared" si="1"/>
        <v>0</v>
      </c>
      <c r="Q13" s="321"/>
      <c r="R13" s="321"/>
      <c r="S13" s="321"/>
      <c r="T13" s="321"/>
      <c r="U13" s="321"/>
    </row>
    <row r="14" spans="1:21" ht="15.75" hidden="1">
      <c r="A14" s="753"/>
      <c r="B14" s="753"/>
      <c r="C14" s="74"/>
      <c r="D14" s="321"/>
      <c r="E14" s="321"/>
      <c r="F14" s="274"/>
      <c r="G14" s="349"/>
      <c r="H14" s="350"/>
      <c r="I14" s="349"/>
      <c r="J14" s="350"/>
      <c r="K14" s="349"/>
      <c r="L14" s="350"/>
      <c r="M14" s="349"/>
      <c r="N14" s="350"/>
      <c r="O14" s="391">
        <f t="shared" si="0"/>
        <v>0</v>
      </c>
      <c r="P14" s="392">
        <f t="shared" si="1"/>
        <v>0</v>
      </c>
      <c r="Q14" s="321"/>
      <c r="R14" s="321"/>
      <c r="S14" s="321"/>
      <c r="T14" s="321"/>
      <c r="U14" s="321"/>
    </row>
    <row r="15" spans="1:21" ht="15.75" hidden="1">
      <c r="A15" s="753"/>
      <c r="B15" s="753"/>
      <c r="C15" s="74"/>
      <c r="D15" s="321"/>
      <c r="E15" s="321"/>
      <c r="F15" s="274"/>
      <c r="G15" s="349"/>
      <c r="H15" s="350"/>
      <c r="I15" s="349"/>
      <c r="J15" s="350"/>
      <c r="K15" s="349"/>
      <c r="L15" s="350"/>
      <c r="M15" s="349"/>
      <c r="N15" s="350"/>
      <c r="O15" s="391">
        <f t="shared" si="0"/>
        <v>0</v>
      </c>
      <c r="P15" s="392">
        <f t="shared" si="1"/>
        <v>0</v>
      </c>
      <c r="Q15" s="321"/>
      <c r="R15" s="321"/>
      <c r="S15" s="321"/>
      <c r="T15" s="321"/>
      <c r="U15" s="321"/>
    </row>
    <row r="16" spans="1:21" ht="15.75" hidden="1">
      <c r="A16" s="753"/>
      <c r="B16" s="753"/>
      <c r="C16" s="74"/>
      <c r="D16" s="321"/>
      <c r="E16" s="321"/>
      <c r="F16" s="274"/>
      <c r="G16" s="349"/>
      <c r="H16" s="350"/>
      <c r="I16" s="349"/>
      <c r="J16" s="350"/>
      <c r="K16" s="349"/>
      <c r="L16" s="350"/>
      <c r="M16" s="349"/>
      <c r="N16" s="350"/>
      <c r="O16" s="391">
        <f t="shared" si="0"/>
        <v>0</v>
      </c>
      <c r="P16" s="392">
        <f t="shared" si="1"/>
        <v>0</v>
      </c>
      <c r="Q16" s="321"/>
      <c r="R16" s="321"/>
      <c r="S16" s="321"/>
      <c r="T16" s="321"/>
      <c r="U16" s="321"/>
    </row>
    <row r="17" spans="1:21" ht="15.75" hidden="1">
      <c r="A17" s="753"/>
      <c r="B17" s="753"/>
      <c r="C17" s="74"/>
      <c r="D17" s="321"/>
      <c r="E17" s="321"/>
      <c r="F17" s="274"/>
      <c r="G17" s="349"/>
      <c r="H17" s="350"/>
      <c r="I17" s="349"/>
      <c r="J17" s="350"/>
      <c r="K17" s="349"/>
      <c r="L17" s="350"/>
      <c r="M17" s="349"/>
      <c r="N17" s="350"/>
      <c r="O17" s="391">
        <f t="shared" si="0"/>
        <v>0</v>
      </c>
      <c r="P17" s="392">
        <f t="shared" si="1"/>
        <v>0</v>
      </c>
      <c r="Q17" s="321"/>
      <c r="R17" s="321"/>
      <c r="S17" s="321"/>
      <c r="T17" s="321"/>
      <c r="U17" s="321"/>
    </row>
    <row r="18" spans="1:21" ht="15.75" hidden="1">
      <c r="A18" s="753"/>
      <c r="B18" s="753"/>
      <c r="C18" s="74"/>
      <c r="D18" s="321"/>
      <c r="E18" s="321"/>
      <c r="F18" s="274"/>
      <c r="G18" s="349"/>
      <c r="H18" s="350"/>
      <c r="I18" s="349"/>
      <c r="J18" s="350"/>
      <c r="K18" s="349"/>
      <c r="L18" s="350"/>
      <c r="M18" s="349"/>
      <c r="N18" s="350"/>
      <c r="O18" s="391">
        <f t="shared" si="0"/>
        <v>0</v>
      </c>
      <c r="P18" s="392">
        <f t="shared" si="1"/>
        <v>0</v>
      </c>
      <c r="Q18" s="321"/>
      <c r="R18" s="321"/>
      <c r="S18" s="321"/>
      <c r="T18" s="321"/>
      <c r="U18" s="321"/>
    </row>
    <row r="19" spans="1:21" ht="15.75" hidden="1">
      <c r="A19" s="754"/>
      <c r="B19" s="754"/>
      <c r="C19" s="74"/>
      <c r="D19" s="321"/>
      <c r="E19" s="321"/>
      <c r="F19" s="274"/>
      <c r="G19" s="349"/>
      <c r="H19" s="350"/>
      <c r="I19" s="349"/>
      <c r="J19" s="350"/>
      <c r="K19" s="349"/>
      <c r="L19" s="350"/>
      <c r="M19" s="349"/>
      <c r="N19" s="350"/>
      <c r="O19" s="391">
        <f t="shared" si="0"/>
        <v>0</v>
      </c>
      <c r="P19" s="392">
        <f t="shared" si="1"/>
        <v>0</v>
      </c>
      <c r="Q19" s="321"/>
      <c r="R19" s="321"/>
      <c r="S19" s="321"/>
      <c r="T19" s="321"/>
      <c r="U19" s="321"/>
    </row>
    <row r="20" spans="1:21" ht="15.75" hidden="1">
      <c r="A20" s="752" t="s">
        <v>1426</v>
      </c>
      <c r="B20" s="752" t="s">
        <v>1427</v>
      </c>
      <c r="C20" s="74"/>
      <c r="D20" s="321"/>
      <c r="E20" s="321"/>
      <c r="F20" s="274"/>
      <c r="G20" s="349"/>
      <c r="H20" s="350"/>
      <c r="I20" s="349"/>
      <c r="J20" s="350"/>
      <c r="K20" s="349"/>
      <c r="L20" s="350"/>
      <c r="M20" s="349"/>
      <c r="N20" s="350"/>
      <c r="O20" s="391">
        <f t="shared" si="0"/>
        <v>0</v>
      </c>
      <c r="P20" s="392">
        <f t="shared" si="1"/>
        <v>0</v>
      </c>
      <c r="Q20" s="321"/>
      <c r="R20" s="321"/>
      <c r="S20" s="321"/>
      <c r="T20" s="321"/>
      <c r="U20" s="321"/>
    </row>
    <row r="21" spans="1:21" s="359" customFormat="1" ht="15.75" hidden="1">
      <c r="A21" s="753"/>
      <c r="B21" s="753"/>
      <c r="C21" s="74"/>
      <c r="D21" s="321"/>
      <c r="E21" s="321"/>
      <c r="F21" s="274"/>
      <c r="G21" s="349"/>
      <c r="H21" s="350"/>
      <c r="I21" s="349"/>
      <c r="J21" s="350"/>
      <c r="K21" s="349"/>
      <c r="L21" s="350"/>
      <c r="M21" s="349"/>
      <c r="N21" s="350"/>
      <c r="O21" s="391">
        <f t="shared" si="0"/>
        <v>0</v>
      </c>
      <c r="P21" s="392">
        <f t="shared" si="1"/>
        <v>0</v>
      </c>
      <c r="Q21" s="321"/>
      <c r="R21" s="321"/>
      <c r="S21" s="321"/>
      <c r="T21" s="321"/>
      <c r="U21" s="321"/>
    </row>
    <row r="22" spans="1:21" s="359" customFormat="1" ht="15.75" hidden="1">
      <c r="A22" s="753"/>
      <c r="B22" s="753"/>
      <c r="C22" s="74"/>
      <c r="D22" s="321"/>
      <c r="E22" s="321"/>
      <c r="F22" s="274"/>
      <c r="G22" s="349"/>
      <c r="H22" s="350"/>
      <c r="I22" s="349"/>
      <c r="J22" s="350"/>
      <c r="K22" s="349"/>
      <c r="L22" s="350"/>
      <c r="M22" s="349"/>
      <c r="N22" s="350"/>
      <c r="O22" s="391">
        <f t="shared" si="0"/>
        <v>0</v>
      </c>
      <c r="P22" s="392">
        <f t="shared" si="1"/>
        <v>0</v>
      </c>
      <c r="Q22" s="321"/>
      <c r="R22" s="321"/>
      <c r="S22" s="321"/>
      <c r="T22" s="321"/>
      <c r="U22" s="321"/>
    </row>
    <row r="23" spans="1:21" s="359" customFormat="1" ht="15.75" hidden="1">
      <c r="A23" s="753"/>
      <c r="B23" s="753"/>
      <c r="C23" s="74"/>
      <c r="D23" s="321"/>
      <c r="E23" s="321"/>
      <c r="F23" s="274"/>
      <c r="G23" s="349"/>
      <c r="H23" s="350"/>
      <c r="I23" s="349"/>
      <c r="J23" s="350"/>
      <c r="K23" s="349"/>
      <c r="L23" s="350"/>
      <c r="M23" s="349"/>
      <c r="N23" s="350"/>
      <c r="O23" s="391">
        <f t="shared" si="0"/>
        <v>0</v>
      </c>
      <c r="P23" s="392">
        <f t="shared" si="1"/>
        <v>0</v>
      </c>
      <c r="Q23" s="321"/>
      <c r="R23" s="321"/>
      <c r="S23" s="321"/>
      <c r="T23" s="321"/>
      <c r="U23" s="321"/>
    </row>
    <row r="24" spans="1:21" ht="15.75" hidden="1">
      <c r="A24" s="753"/>
      <c r="B24" s="753"/>
      <c r="C24" s="74"/>
      <c r="D24" s="321"/>
      <c r="E24" s="321"/>
      <c r="F24" s="274"/>
      <c r="G24" s="349"/>
      <c r="H24" s="350"/>
      <c r="I24" s="349"/>
      <c r="J24" s="350"/>
      <c r="K24" s="349"/>
      <c r="L24" s="350"/>
      <c r="M24" s="349"/>
      <c r="N24" s="350"/>
      <c r="O24" s="391">
        <f t="shared" si="0"/>
        <v>0</v>
      </c>
      <c r="P24" s="392">
        <f t="shared" si="1"/>
        <v>0</v>
      </c>
      <c r="Q24" s="321"/>
      <c r="R24" s="321"/>
      <c r="S24" s="321"/>
      <c r="T24" s="321"/>
      <c r="U24" s="321"/>
    </row>
    <row r="25" spans="1:21" ht="15.75" hidden="1">
      <c r="A25" s="753"/>
      <c r="B25" s="753"/>
      <c r="C25" s="74"/>
      <c r="D25" s="321"/>
      <c r="E25" s="321"/>
      <c r="F25" s="274"/>
      <c r="G25" s="349"/>
      <c r="H25" s="350"/>
      <c r="I25" s="349"/>
      <c r="J25" s="350"/>
      <c r="K25" s="349"/>
      <c r="L25" s="350"/>
      <c r="M25" s="349"/>
      <c r="N25" s="350"/>
      <c r="O25" s="391">
        <f t="shared" si="0"/>
        <v>0</v>
      </c>
      <c r="P25" s="392">
        <f t="shared" si="1"/>
        <v>0</v>
      </c>
      <c r="Q25" s="321"/>
      <c r="R25" s="321"/>
      <c r="S25" s="321"/>
      <c r="T25" s="321"/>
      <c r="U25" s="321"/>
    </row>
    <row r="26" spans="1:21" ht="15.75" hidden="1">
      <c r="A26" s="754"/>
      <c r="B26" s="754"/>
      <c r="C26" s="74"/>
      <c r="D26" s="321"/>
      <c r="E26" s="321"/>
      <c r="F26" s="274"/>
      <c r="G26" s="349"/>
      <c r="H26" s="350"/>
      <c r="I26" s="349"/>
      <c r="J26" s="350"/>
      <c r="K26" s="349"/>
      <c r="L26" s="350"/>
      <c r="M26" s="349"/>
      <c r="N26" s="350"/>
      <c r="O26" s="391">
        <f t="shared" si="0"/>
        <v>0</v>
      </c>
      <c r="P26" s="392">
        <f t="shared" si="1"/>
        <v>0</v>
      </c>
      <c r="Q26" s="321"/>
      <c r="R26" s="321"/>
      <c r="S26" s="321"/>
      <c r="T26" s="321"/>
      <c r="U26" s="321"/>
    </row>
    <row r="27" spans="1:21" s="359" customFormat="1" ht="94.5" customHeight="1">
      <c r="A27" s="794" t="s">
        <v>1428</v>
      </c>
      <c r="B27" s="794" t="s">
        <v>1429</v>
      </c>
      <c r="C27" s="835"/>
      <c r="D27" s="834"/>
      <c r="E27" s="321" t="s">
        <v>2317</v>
      </c>
      <c r="F27" s="531" t="s">
        <v>2320</v>
      </c>
      <c r="G27" s="349">
        <v>0.25</v>
      </c>
      <c r="H27" s="350"/>
      <c r="I27" s="349">
        <v>0.25</v>
      </c>
      <c r="J27" s="350"/>
      <c r="K27" s="349">
        <v>0.25</v>
      </c>
      <c r="L27" s="350"/>
      <c r="M27" s="349">
        <v>0.25</v>
      </c>
      <c r="N27" s="350"/>
      <c r="O27" s="391">
        <f t="shared" si="0"/>
        <v>1</v>
      </c>
      <c r="P27" s="392">
        <f t="shared" si="1"/>
        <v>0</v>
      </c>
      <c r="Q27" s="321"/>
      <c r="R27" s="321" t="s">
        <v>2319</v>
      </c>
      <c r="S27" s="321" t="s">
        <v>2322</v>
      </c>
      <c r="T27" s="321" t="s">
        <v>2323</v>
      </c>
      <c r="U27" s="321" t="s">
        <v>2321</v>
      </c>
    </row>
    <row r="28" spans="1:21" s="359" customFormat="1" ht="78.75">
      <c r="A28" s="754"/>
      <c r="B28" s="754"/>
      <c r="C28" s="835"/>
      <c r="D28" s="834"/>
      <c r="E28" s="321" t="s">
        <v>2318</v>
      </c>
      <c r="F28" s="274" t="s">
        <v>2316</v>
      </c>
      <c r="G28" s="349"/>
      <c r="H28" s="350"/>
      <c r="I28" s="349"/>
      <c r="J28" s="350"/>
      <c r="K28" s="349"/>
      <c r="L28" s="350"/>
      <c r="M28" s="349">
        <v>1</v>
      </c>
      <c r="N28" s="350">
        <f>+M28*'5. ACTIVIDADES ESPECIALES'!D572</f>
        <v>912000</v>
      </c>
      <c r="O28" s="391">
        <f t="shared" si="0"/>
        <v>1</v>
      </c>
      <c r="P28" s="392">
        <f t="shared" si="1"/>
        <v>912000</v>
      </c>
      <c r="Q28" s="321"/>
      <c r="R28" s="321" t="s">
        <v>2324</v>
      </c>
      <c r="S28" s="321" t="s">
        <v>2325</v>
      </c>
      <c r="T28" s="602" t="s">
        <v>2323</v>
      </c>
      <c r="U28" s="602" t="s">
        <v>2321</v>
      </c>
    </row>
    <row r="29" spans="1:21" ht="15.6" customHeight="1">
      <c r="A29" s="289"/>
      <c r="B29" s="290"/>
      <c r="C29" s="289" t="s">
        <v>118</v>
      </c>
      <c r="D29" s="290"/>
      <c r="E29" s="290"/>
      <c r="F29" s="291"/>
      <c r="G29" s="280">
        <f>SUM(G7:H28)</f>
        <v>0.25</v>
      </c>
      <c r="H29" s="280">
        <f>SUM(H7:I28)</f>
        <v>0.25</v>
      </c>
      <c r="I29" s="280">
        <f>SUM(I7:J28)</f>
        <v>0.25</v>
      </c>
      <c r="J29" s="280">
        <f>SUM(J7:K28)</f>
        <v>0.25</v>
      </c>
      <c r="K29" s="280">
        <f>SUM(K7:L28)</f>
        <v>0.25</v>
      </c>
      <c r="L29" s="280">
        <f>SUM(L7:M28)</f>
        <v>1.25</v>
      </c>
      <c r="M29" s="280">
        <f>SUM(M7:N28)</f>
        <v>912001.25</v>
      </c>
      <c r="N29" s="280">
        <f>SUM(N7:O28)</f>
        <v>912002</v>
      </c>
      <c r="O29" s="280">
        <f>SUM(O7:P28)</f>
        <v>912002</v>
      </c>
      <c r="P29" s="280">
        <f>SUM(P7:Q28)</f>
        <v>912000</v>
      </c>
      <c r="Q29" s="262"/>
      <c r="R29" s="262"/>
      <c r="S29" s="262"/>
      <c r="T29" s="262"/>
      <c r="U29" s="262"/>
    </row>
    <row r="31" spans="1:21">
      <c r="B31" s="600"/>
      <c r="C31" s="600"/>
      <c r="D31" s="700"/>
    </row>
    <row r="32" spans="1:21">
      <c r="B32" s="600"/>
      <c r="C32" s="600"/>
      <c r="D32" s="600"/>
    </row>
    <row r="33" spans="2:4">
      <c r="B33" s="600"/>
      <c r="C33" s="600"/>
      <c r="D33" s="600"/>
    </row>
    <row r="34" spans="2:4">
      <c r="B34" s="600"/>
      <c r="C34" s="600"/>
      <c r="D34" s="600"/>
    </row>
  </sheetData>
  <mergeCells count="25">
    <mergeCell ref="B27:B28"/>
    <mergeCell ref="A27:A28"/>
    <mergeCell ref="B20:B26"/>
    <mergeCell ref="A20:A26"/>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6"/>
  <sheetViews>
    <sheetView topLeftCell="G1" zoomScale="90" zoomScaleNormal="90" workbookViewId="0">
      <pane ySplit="8" topLeftCell="A9" activePane="bottomLeft" state="frozen"/>
      <selection activeCell="A7" sqref="A7"/>
      <selection pane="bottomLeft"/>
    </sheetView>
  </sheetViews>
  <sheetFormatPr baseColWidth="10" defaultRowHeight="15"/>
  <cols>
    <col min="1" max="1" width="24.28515625" customWidth="1"/>
    <col min="2"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2.7109375" bestFit="1" customWidth="1"/>
    <col min="18" max="20" width="14.140625" customWidth="1"/>
    <col min="21" max="21" width="17" customWidth="1"/>
  </cols>
  <sheetData>
    <row r="1" spans="1:21" ht="18.75">
      <c r="B1" s="281"/>
      <c r="C1" s="281"/>
      <c r="D1" s="281"/>
      <c r="E1" s="281"/>
      <c r="F1" s="281"/>
      <c r="G1" s="281" t="s">
        <v>1495</v>
      </c>
      <c r="J1" s="281"/>
      <c r="K1" s="281"/>
      <c r="L1" s="281"/>
      <c r="M1" s="281"/>
      <c r="N1" s="281"/>
      <c r="O1" s="281"/>
      <c r="P1" s="281"/>
      <c r="Q1" s="281"/>
      <c r="R1" s="281"/>
      <c r="S1" s="281"/>
      <c r="T1" s="281"/>
      <c r="U1" s="281"/>
    </row>
    <row r="2" spans="1:21" ht="18.75">
      <c r="A2" s="267" t="s">
        <v>1347</v>
      </c>
      <c r="B2" s="281"/>
      <c r="C2" s="281"/>
      <c r="D2" s="281"/>
      <c r="E2" s="281"/>
      <c r="F2" s="281"/>
      <c r="G2" s="281"/>
      <c r="J2" s="281"/>
      <c r="K2" s="281"/>
      <c r="L2" s="281"/>
      <c r="M2" s="281"/>
      <c r="N2" s="281"/>
      <c r="O2" s="281"/>
      <c r="P2" s="281"/>
      <c r="Q2" s="281"/>
      <c r="R2" s="281"/>
      <c r="S2" s="281"/>
      <c r="T2" s="281"/>
      <c r="U2" s="281"/>
    </row>
    <row r="3" spans="1:21">
      <c r="A3" s="763" t="s">
        <v>1395</v>
      </c>
      <c r="B3" s="763"/>
      <c r="C3" s="763"/>
      <c r="D3" s="763"/>
      <c r="E3" s="763"/>
      <c r="F3" s="763"/>
      <c r="G3" s="763"/>
      <c r="H3" s="763"/>
      <c r="I3" s="763"/>
      <c r="J3" s="763"/>
      <c r="K3" s="763"/>
      <c r="L3" s="763"/>
      <c r="M3" s="763"/>
      <c r="N3" s="763"/>
      <c r="O3" s="763"/>
      <c r="P3" s="763"/>
      <c r="Q3" s="763"/>
      <c r="R3" s="763"/>
      <c r="S3" s="763"/>
      <c r="T3" s="763"/>
      <c r="U3" s="763"/>
    </row>
    <row r="4" spans="1:21" s="359" customFormat="1">
      <c r="A4" s="370" t="s">
        <v>1394</v>
      </c>
      <c r="B4" s="368"/>
      <c r="C4" s="368"/>
      <c r="D4" s="368"/>
      <c r="E4" s="368"/>
      <c r="F4" s="368"/>
      <c r="G4" s="368"/>
      <c r="H4" s="368"/>
      <c r="I4" s="368"/>
      <c r="J4" s="368"/>
      <c r="K4" s="368"/>
      <c r="L4" s="368"/>
      <c r="M4" s="368"/>
      <c r="N4" s="368"/>
      <c r="O4" s="368"/>
      <c r="P4" s="368"/>
      <c r="Q4" s="368"/>
      <c r="R4" s="368"/>
      <c r="S4" s="368"/>
      <c r="T4" s="368"/>
      <c r="U4" s="368"/>
    </row>
    <row r="5" spans="1:21">
      <c r="A5" s="311" t="s">
        <v>1454</v>
      </c>
      <c r="B5" s="267"/>
      <c r="C5" s="267"/>
      <c r="D5" s="267"/>
      <c r="E5" s="267"/>
      <c r="F5" s="267"/>
      <c r="G5" s="267"/>
      <c r="H5" s="267"/>
      <c r="I5" s="267"/>
      <c r="J5" s="267"/>
      <c r="K5" s="267"/>
      <c r="L5" s="267"/>
      <c r="M5" s="267"/>
      <c r="N5" s="267"/>
      <c r="O5" s="267"/>
      <c r="P5" s="267"/>
      <c r="Q5" s="267"/>
      <c r="R5" s="267"/>
      <c r="S5" s="267"/>
      <c r="T5" s="267"/>
      <c r="U5" s="267"/>
    </row>
    <row r="6" spans="1:21" ht="15" customHeight="1">
      <c r="A6" s="732" t="s">
        <v>97</v>
      </c>
      <c r="B6" s="731" t="s">
        <v>111</v>
      </c>
      <c r="C6" s="734" t="s">
        <v>86</v>
      </c>
      <c r="D6" s="734" t="s">
        <v>87</v>
      </c>
      <c r="E6" s="734" t="s">
        <v>392</v>
      </c>
      <c r="F6" s="734" t="s">
        <v>88</v>
      </c>
      <c r="G6" s="737" t="s">
        <v>100</v>
      </c>
      <c r="H6" s="743"/>
      <c r="I6" s="743"/>
      <c r="J6" s="743"/>
      <c r="K6" s="743"/>
      <c r="L6" s="743"/>
      <c r="M6" s="743"/>
      <c r="N6" s="738"/>
      <c r="O6" s="739" t="s">
        <v>101</v>
      </c>
      <c r="P6" s="740"/>
      <c r="Q6" s="731" t="s">
        <v>102</v>
      </c>
      <c r="R6" s="731" t="s">
        <v>103</v>
      </c>
      <c r="S6" s="731" t="s">
        <v>110</v>
      </c>
      <c r="T6" s="731" t="s">
        <v>109</v>
      </c>
      <c r="U6" s="728" t="s">
        <v>89</v>
      </c>
    </row>
    <row r="7" spans="1:21" ht="15" customHeight="1">
      <c r="A7" s="732"/>
      <c r="B7" s="732"/>
      <c r="C7" s="735"/>
      <c r="D7" s="735"/>
      <c r="E7" s="735"/>
      <c r="F7" s="735"/>
      <c r="G7" s="737" t="s">
        <v>104</v>
      </c>
      <c r="H7" s="738"/>
      <c r="I7" s="737" t="s">
        <v>105</v>
      </c>
      <c r="J7" s="738"/>
      <c r="K7" s="737" t="s">
        <v>106</v>
      </c>
      <c r="L7" s="738"/>
      <c r="M7" s="737" t="s">
        <v>107</v>
      </c>
      <c r="N7" s="738"/>
      <c r="O7" s="741"/>
      <c r="P7" s="742"/>
      <c r="Q7" s="732"/>
      <c r="R7" s="732"/>
      <c r="S7" s="732"/>
      <c r="T7" s="732"/>
      <c r="U7" s="729"/>
    </row>
    <row r="8" spans="1:21" ht="25.5">
      <c r="A8" s="733"/>
      <c r="B8" s="733"/>
      <c r="C8" s="736"/>
      <c r="D8" s="736"/>
      <c r="E8" s="736"/>
      <c r="F8" s="736"/>
      <c r="G8" s="433" t="s">
        <v>108</v>
      </c>
      <c r="H8" s="433" t="s">
        <v>12</v>
      </c>
      <c r="I8" s="433" t="s">
        <v>108</v>
      </c>
      <c r="J8" s="433" t="s">
        <v>12</v>
      </c>
      <c r="K8" s="433" t="s">
        <v>108</v>
      </c>
      <c r="L8" s="433" t="s">
        <v>12</v>
      </c>
      <c r="M8" s="433" t="s">
        <v>108</v>
      </c>
      <c r="N8" s="433" t="s">
        <v>12</v>
      </c>
      <c r="O8" s="433" t="s">
        <v>108</v>
      </c>
      <c r="P8" s="433" t="s">
        <v>12</v>
      </c>
      <c r="Q8" s="733"/>
      <c r="R8" s="733"/>
      <c r="S8" s="733"/>
      <c r="T8" s="733"/>
      <c r="U8" s="730"/>
    </row>
    <row r="9" spans="1:21" s="359" customFormat="1" ht="15.75">
      <c r="A9" s="434"/>
      <c r="B9" s="435"/>
      <c r="C9" s="436"/>
      <c r="D9" s="436"/>
      <c r="E9" s="437"/>
      <c r="F9" s="436"/>
      <c r="G9" s="438"/>
      <c r="H9" s="438"/>
      <c r="I9" s="438"/>
      <c r="J9" s="438"/>
      <c r="K9" s="438"/>
      <c r="L9" s="438"/>
      <c r="M9" s="438"/>
      <c r="N9" s="438"/>
      <c r="O9" s="438"/>
      <c r="P9" s="438"/>
      <c r="Q9" s="439"/>
      <c r="R9" s="439"/>
      <c r="S9" s="439"/>
      <c r="T9" s="439"/>
      <c r="U9" s="440"/>
    </row>
    <row r="10" spans="1:21" ht="15.75" hidden="1">
      <c r="A10" s="765" t="s">
        <v>1395</v>
      </c>
      <c r="B10" s="765" t="s">
        <v>1396</v>
      </c>
      <c r="C10" s="277"/>
      <c r="D10" s="277"/>
      <c r="E10" s="277"/>
      <c r="F10" s="278"/>
      <c r="G10" s="278"/>
      <c r="H10" s="352"/>
      <c r="I10" s="278"/>
      <c r="J10" s="352"/>
      <c r="K10" s="278"/>
      <c r="L10" s="352"/>
      <c r="M10" s="278"/>
      <c r="N10" s="352"/>
      <c r="O10" s="393">
        <f>G10+I10+K10+M10</f>
        <v>0</v>
      </c>
      <c r="P10" s="394">
        <f>H10+J10+L10+N10</f>
        <v>0</v>
      </c>
      <c r="Q10" s="278"/>
      <c r="R10" s="278"/>
      <c r="S10" s="278"/>
      <c r="T10" s="278"/>
      <c r="U10" s="278"/>
    </row>
    <row r="11" spans="1:21" ht="15.75" hidden="1">
      <c r="A11" s="766"/>
      <c r="B11" s="766"/>
      <c r="C11" s="277"/>
      <c r="D11" s="277"/>
      <c r="E11" s="277"/>
      <c r="F11" s="278"/>
      <c r="G11" s="278"/>
      <c r="H11" s="352"/>
      <c r="I11" s="278"/>
      <c r="J11" s="352"/>
      <c r="K11" s="278"/>
      <c r="L11" s="352"/>
      <c r="M11" s="278"/>
      <c r="N11" s="352"/>
      <c r="O11" s="393">
        <f t="shared" ref="O11:O17" si="0">G11+I11+K11+M11</f>
        <v>0</v>
      </c>
      <c r="P11" s="394">
        <f t="shared" ref="P11:P17" si="1">H11+J11+L11+N11</f>
        <v>0</v>
      </c>
      <c r="Q11" s="278"/>
      <c r="R11" s="278"/>
      <c r="S11" s="278"/>
      <c r="T11" s="278"/>
      <c r="U11" s="278"/>
    </row>
    <row r="12" spans="1:21" ht="15.75" hidden="1">
      <c r="A12" s="766"/>
      <c r="B12" s="766"/>
      <c r="C12" s="277"/>
      <c r="D12" s="277"/>
      <c r="E12" s="277"/>
      <c r="F12" s="278"/>
      <c r="G12" s="278"/>
      <c r="H12" s="352"/>
      <c r="I12" s="278"/>
      <c r="J12" s="352"/>
      <c r="K12" s="278"/>
      <c r="L12" s="352"/>
      <c r="M12" s="278"/>
      <c r="N12" s="352"/>
      <c r="O12" s="393">
        <f t="shared" si="0"/>
        <v>0</v>
      </c>
      <c r="P12" s="394">
        <f t="shared" si="1"/>
        <v>0</v>
      </c>
      <c r="Q12" s="278"/>
      <c r="R12" s="278"/>
      <c r="S12" s="278"/>
      <c r="T12" s="278"/>
      <c r="U12" s="278"/>
    </row>
    <row r="13" spans="1:21" ht="15.75" hidden="1">
      <c r="A13" s="766"/>
      <c r="B13" s="766"/>
      <c r="C13" s="277"/>
      <c r="D13" s="277"/>
      <c r="E13" s="277"/>
      <c r="F13" s="278"/>
      <c r="G13" s="278"/>
      <c r="H13" s="352"/>
      <c r="I13" s="278"/>
      <c r="J13" s="352"/>
      <c r="K13" s="278"/>
      <c r="L13" s="352"/>
      <c r="M13" s="278"/>
      <c r="N13" s="352"/>
      <c r="O13" s="393">
        <f t="shared" si="0"/>
        <v>0</v>
      </c>
      <c r="P13" s="394">
        <f t="shared" si="1"/>
        <v>0</v>
      </c>
      <c r="Q13" s="278"/>
      <c r="R13" s="278"/>
      <c r="S13" s="278"/>
      <c r="T13" s="278"/>
      <c r="U13" s="278"/>
    </row>
    <row r="14" spans="1:21" ht="15.75" hidden="1">
      <c r="A14" s="766"/>
      <c r="B14" s="766"/>
      <c r="C14" s="277"/>
      <c r="D14" s="277"/>
      <c r="E14" s="277"/>
      <c r="F14" s="278"/>
      <c r="G14" s="278"/>
      <c r="H14" s="352"/>
      <c r="I14" s="278"/>
      <c r="J14" s="352"/>
      <c r="K14" s="278"/>
      <c r="L14" s="352"/>
      <c r="M14" s="278"/>
      <c r="N14" s="352"/>
      <c r="O14" s="393">
        <f t="shared" si="0"/>
        <v>0</v>
      </c>
      <c r="P14" s="394">
        <f t="shared" si="1"/>
        <v>0</v>
      </c>
      <c r="Q14" s="278"/>
      <c r="R14" s="278"/>
      <c r="S14" s="278"/>
      <c r="T14" s="278"/>
      <c r="U14" s="278"/>
    </row>
    <row r="15" spans="1:21" ht="15.75" hidden="1">
      <c r="A15" s="767"/>
      <c r="B15" s="767"/>
      <c r="C15" s="277"/>
      <c r="D15" s="277"/>
      <c r="E15" s="277"/>
      <c r="F15" s="278"/>
      <c r="G15" s="278"/>
      <c r="H15" s="352"/>
      <c r="I15" s="278"/>
      <c r="J15" s="352"/>
      <c r="K15" s="278"/>
      <c r="L15" s="352"/>
      <c r="M15" s="278"/>
      <c r="N15" s="352"/>
      <c r="O15" s="393">
        <f t="shared" si="0"/>
        <v>0</v>
      </c>
      <c r="P15" s="394">
        <f t="shared" si="1"/>
        <v>0</v>
      </c>
      <c r="Q15" s="278"/>
      <c r="R15" s="278"/>
      <c r="S15" s="278"/>
      <c r="T15" s="278"/>
      <c r="U15" s="353"/>
    </row>
    <row r="16" spans="1:21" ht="66" customHeight="1">
      <c r="A16" s="836" t="s">
        <v>1394</v>
      </c>
      <c r="B16" s="836" t="s">
        <v>1397</v>
      </c>
      <c r="C16" s="822"/>
      <c r="D16" s="822"/>
      <c r="E16" s="706" t="s">
        <v>2327</v>
      </c>
      <c r="F16" s="493" t="s">
        <v>2279</v>
      </c>
      <c r="G16" s="203">
        <v>0.25</v>
      </c>
      <c r="H16" s="204"/>
      <c r="I16" s="203">
        <v>0.25</v>
      </c>
      <c r="J16" s="204"/>
      <c r="K16" s="203">
        <v>0.25</v>
      </c>
      <c r="L16" s="204"/>
      <c r="M16" s="203">
        <v>0.25</v>
      </c>
      <c r="N16" s="204"/>
      <c r="O16" s="371">
        <f>G16+I16+K16+M16</f>
        <v>1</v>
      </c>
      <c r="P16" s="371">
        <f>H16+J16+L16+N16</f>
        <v>0</v>
      </c>
      <c r="Q16" s="642" t="s">
        <v>2328</v>
      </c>
      <c r="R16" s="642" t="s">
        <v>2329</v>
      </c>
      <c r="S16" s="642" t="s">
        <v>2330</v>
      </c>
      <c r="T16" s="642" t="s">
        <v>2331</v>
      </c>
      <c r="U16" s="642" t="s">
        <v>2332</v>
      </c>
    </row>
    <row r="17" spans="1:21" s="359" customFormat="1" ht="56.25" hidden="1" customHeight="1">
      <c r="A17" s="836" t="s">
        <v>1454</v>
      </c>
      <c r="B17" s="836" t="s">
        <v>1412</v>
      </c>
      <c r="C17" s="369"/>
      <c r="D17" s="369"/>
      <c r="E17" s="369"/>
      <c r="F17" s="278"/>
      <c r="G17" s="278"/>
      <c r="H17" s="352"/>
      <c r="I17" s="278"/>
      <c r="J17" s="352"/>
      <c r="K17" s="278"/>
      <c r="L17" s="352"/>
      <c r="M17" s="278"/>
      <c r="N17" s="352"/>
      <c r="O17" s="393">
        <f t="shared" si="0"/>
        <v>0</v>
      </c>
      <c r="P17" s="394">
        <f t="shared" si="1"/>
        <v>0</v>
      </c>
      <c r="Q17" s="278"/>
      <c r="R17" s="278"/>
      <c r="S17" s="278"/>
      <c r="T17" s="278"/>
      <c r="U17" s="355"/>
    </row>
    <row r="18" spans="1:21" ht="15.75">
      <c r="A18" s="289"/>
      <c r="B18" s="290"/>
      <c r="C18" s="289" t="s">
        <v>1496</v>
      </c>
      <c r="D18" s="290"/>
      <c r="E18" s="290"/>
      <c r="F18" s="291"/>
      <c r="G18" s="279">
        <f>SUM(G10:G17)</f>
        <v>0.25</v>
      </c>
      <c r="H18" s="280">
        <f>SUM(H10:H17)</f>
        <v>0</v>
      </c>
      <c r="I18" s="279">
        <f>SUM(I10:I17)</f>
        <v>0.25</v>
      </c>
      <c r="J18" s="280">
        <f>SUM(J10:J17)</f>
        <v>0</v>
      </c>
      <c r="K18" s="279">
        <f>SUM(K10:K17)</f>
        <v>0.25</v>
      </c>
      <c r="L18" s="280">
        <f>SUM(L10:L17)</f>
        <v>0</v>
      </c>
      <c r="M18" s="279">
        <f>SUM(M10:M17)</f>
        <v>0.25</v>
      </c>
      <c r="N18" s="280">
        <f>SUM(N10:N17)</f>
        <v>0</v>
      </c>
      <c r="O18" s="280">
        <f>SUM(O10:O17)</f>
        <v>1</v>
      </c>
      <c r="P18" s="280">
        <f>SUM(P10:P17)</f>
        <v>0</v>
      </c>
      <c r="Q18" s="261"/>
      <c r="R18" s="261"/>
      <c r="S18" s="261"/>
      <c r="T18" s="261"/>
      <c r="U18" s="261"/>
    </row>
    <row r="24" spans="1:21">
      <c r="H24"/>
      <c r="J24"/>
      <c r="L24"/>
      <c r="N24"/>
      <c r="P2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sheetData>
  <mergeCells count="20">
    <mergeCell ref="B10:B15"/>
    <mergeCell ref="E6:E8"/>
    <mergeCell ref="A6:A8"/>
    <mergeCell ref="A10:A15"/>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zoomScale="80" zoomScaleNormal="80" workbookViewId="0">
      <selection activeCell="I27" sqref="I27"/>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0.5703125" style="196" customWidth="1"/>
    <col min="10" max="10" width="15.85546875" style="86" bestFit="1" customWidth="1"/>
    <col min="11" max="16384" width="11.5703125" style="86"/>
  </cols>
  <sheetData>
    <row r="2" spans="2:9" ht="16.5" thickBot="1">
      <c r="H2" s="720" t="s">
        <v>1369</v>
      </c>
      <c r="I2" s="720"/>
    </row>
    <row r="3" spans="2:9" ht="19.5" thickBot="1">
      <c r="B3" s="81" t="s">
        <v>21</v>
      </c>
      <c r="C3" s="81" t="s">
        <v>391</v>
      </c>
      <c r="H3" s="415" t="s">
        <v>390</v>
      </c>
      <c r="I3" s="416" t="s">
        <v>391</v>
      </c>
    </row>
    <row r="4" spans="2:9" ht="18.75">
      <c r="B4" s="82" t="s">
        <v>122</v>
      </c>
      <c r="C4" s="201">
        <f>'1. TALLERES SEMINARIOS'!D5</f>
        <v>70710</v>
      </c>
      <c r="H4" s="408" t="s">
        <v>1357</v>
      </c>
      <c r="I4" s="411">
        <f>'1. Desarrollo e Innov. Curricu.'!P17</f>
        <v>58900</v>
      </c>
    </row>
    <row r="5" spans="2:9" ht="18.75">
      <c r="B5" s="82" t="s">
        <v>415</v>
      </c>
      <c r="C5" s="201">
        <f>'2. CONTRATACION DE PERSONAL'!D5</f>
        <v>2278649.61</v>
      </c>
      <c r="H5" s="409" t="s">
        <v>1359</v>
      </c>
      <c r="I5" s="412">
        <f>'2. Investigación Científica'!P30</f>
        <v>49975</v>
      </c>
    </row>
    <row r="6" spans="2:9" ht="18.75">
      <c r="B6" s="82" t="s">
        <v>126</v>
      </c>
      <c r="C6" s="201">
        <f>'3. EQUIPO DE OFICINA'!D5</f>
        <v>601800</v>
      </c>
      <c r="H6" s="409" t="s">
        <v>471</v>
      </c>
      <c r="I6" s="412">
        <f>'3. Vinculación Univ. Sociedad'!P35</f>
        <v>71075</v>
      </c>
    </row>
    <row r="7" spans="2:9" ht="19.5" thickBot="1">
      <c r="B7" s="82" t="s">
        <v>416</v>
      </c>
      <c r="C7" s="201">
        <f>'4. EQUIPO TECNOLÓGICOS'!D5</f>
        <v>395100</v>
      </c>
      <c r="E7" s="419" t="s">
        <v>119</v>
      </c>
      <c r="F7" s="428" t="s">
        <v>1460</v>
      </c>
      <c r="H7" s="409" t="s">
        <v>1358</v>
      </c>
      <c r="I7" s="412">
        <f>'4. Docencia y Profesorado Univ.'!P10</f>
        <v>28700</v>
      </c>
    </row>
    <row r="8" spans="2:9" ht="18.75">
      <c r="B8" s="82" t="s">
        <v>127</v>
      </c>
      <c r="C8" s="201">
        <f>'5. ACTIVIDADES ESPECIALES'!D5</f>
        <v>10360492.874603491</v>
      </c>
      <c r="E8" s="424" t="s">
        <v>1462</v>
      </c>
      <c r="F8" s="425">
        <f>Presupuesto!D566</f>
        <v>745655.66500000004</v>
      </c>
      <c r="H8" s="409" t="s">
        <v>1360</v>
      </c>
      <c r="I8" s="412">
        <f>'5. Estudiantes y Graduados'!P37</f>
        <v>41550</v>
      </c>
    </row>
    <row r="9" spans="2:9" ht="19.5" thickBot="1">
      <c r="B9" s="92" t="s">
        <v>386</v>
      </c>
      <c r="C9" s="83">
        <f>'6. Becas'!D5</f>
        <v>0</v>
      </c>
      <c r="E9" s="426" t="s">
        <v>1487</v>
      </c>
      <c r="F9" s="427">
        <f>Presupuesto!E566</f>
        <v>31485213.465301748</v>
      </c>
      <c r="H9" s="409" t="s">
        <v>472</v>
      </c>
      <c r="I9" s="412">
        <f>'6. Gestión del Conocimiento'!P22</f>
        <v>28000</v>
      </c>
    </row>
    <row r="10" spans="2:9" ht="19.5" thickBot="1">
      <c r="B10" s="92" t="s">
        <v>387</v>
      </c>
      <c r="C10" s="83">
        <f>'7. Infraestructura'!D5</f>
        <v>23075925.07</v>
      </c>
      <c r="E10" s="429" t="s">
        <v>1461</v>
      </c>
      <c r="F10" s="430">
        <f>Presupuesto!F566</f>
        <v>32230869.130301747</v>
      </c>
      <c r="G10" s="111"/>
      <c r="H10" s="409" t="s">
        <v>1361</v>
      </c>
      <c r="I10" s="413">
        <f>'7. Lo Esencial de la Reforma U.'!P29</f>
        <v>912000</v>
      </c>
    </row>
    <row r="11" spans="2:9" ht="18.75">
      <c r="B11" s="82" t="s">
        <v>418</v>
      </c>
      <c r="C11" s="83">
        <f>'8. Venta de Servicios'!D5</f>
        <v>0</v>
      </c>
      <c r="E11" s="431" t="s">
        <v>405</v>
      </c>
      <c r="F11" s="432">
        <f>Presupuesto!AR566</f>
        <v>32203869.130301747</v>
      </c>
      <c r="G11" s="111"/>
      <c r="H11" s="409" t="s">
        <v>1455</v>
      </c>
      <c r="I11" s="413">
        <f>'8. Asegura. de la Calid. y M'!P18</f>
        <v>0</v>
      </c>
    </row>
    <row r="12" spans="2:9" ht="18.75">
      <c r="B12" s="92"/>
      <c r="C12" s="83"/>
      <c r="F12" s="111"/>
      <c r="G12" s="111"/>
      <c r="H12" s="409" t="s">
        <v>1363</v>
      </c>
      <c r="I12" s="413">
        <f>'9. Cultura de Inno. Insti...'!P21</f>
        <v>0</v>
      </c>
    </row>
    <row r="13" spans="2:9" ht="24" thickBot="1">
      <c r="B13" s="84" t="s">
        <v>125</v>
      </c>
      <c r="C13" s="423">
        <f>SUM(C4:C12)</f>
        <v>36782677.554603487</v>
      </c>
      <c r="F13" s="111"/>
      <c r="G13" s="111"/>
      <c r="H13" s="410" t="s">
        <v>1441</v>
      </c>
      <c r="I13" s="414">
        <f>'10. Posgrado'!P43</f>
        <v>0</v>
      </c>
    </row>
    <row r="14" spans="2:9" ht="23.25">
      <c r="B14" s="84"/>
      <c r="C14" s="85"/>
      <c r="F14" s="111"/>
      <c r="G14" s="111"/>
      <c r="H14" s="417" t="s">
        <v>125</v>
      </c>
      <c r="I14" s="418">
        <f>SUM(I4:I13)</f>
        <v>1190200</v>
      </c>
    </row>
    <row r="15" spans="2:9" ht="15.75">
      <c r="F15" s="111"/>
      <c r="G15" s="111"/>
      <c r="H15" s="721"/>
      <c r="I15" s="721"/>
    </row>
    <row r="16" spans="2:9" ht="16.5" thickBot="1">
      <c r="F16" s="111"/>
      <c r="G16" s="111"/>
      <c r="H16" s="722" t="s">
        <v>1371</v>
      </c>
      <c r="I16" s="722"/>
    </row>
    <row r="17" spans="2:15" ht="15.75" thickBot="1">
      <c r="F17" s="111"/>
      <c r="G17" s="111"/>
      <c r="H17" s="419" t="s">
        <v>390</v>
      </c>
      <c r="I17" s="420" t="s">
        <v>391</v>
      </c>
      <c r="J17" s="196"/>
    </row>
    <row r="18" spans="2:15">
      <c r="H18" s="472" t="s">
        <v>1364</v>
      </c>
      <c r="I18" s="473">
        <f>'11. Gestion Administrativa'!P37</f>
        <v>35473494.580603495</v>
      </c>
      <c r="J18" s="196"/>
    </row>
    <row r="19" spans="2:15">
      <c r="H19" s="474" t="s">
        <v>1365</v>
      </c>
      <c r="I19" s="475">
        <f>'12. Gestión del Talento Humano'!P21</f>
        <v>0</v>
      </c>
      <c r="J19" s="196"/>
    </row>
    <row r="20" spans="2:15">
      <c r="B20" s="466" t="s">
        <v>1482</v>
      </c>
      <c r="C20" s="467">
        <v>21.981300000000001</v>
      </c>
      <c r="D20" s="466" t="s">
        <v>1485</v>
      </c>
      <c r="E20" s="468"/>
      <c r="H20" s="474" t="s">
        <v>1366</v>
      </c>
      <c r="I20" s="475">
        <f>'13. Gestión Académica'!P21</f>
        <v>0</v>
      </c>
      <c r="J20" s="196"/>
    </row>
    <row r="21" spans="2:15">
      <c r="H21" s="474" t="s">
        <v>1367</v>
      </c>
      <c r="I21" s="475">
        <f>'14. Internacional... de la E.S.'!P12</f>
        <v>96722.973999999987</v>
      </c>
      <c r="J21" s="196"/>
    </row>
    <row r="22" spans="2:15">
      <c r="H22" s="476" t="s">
        <v>1368</v>
      </c>
      <c r="I22" s="477">
        <f>'15. Gobernabilidad y Proceso...'!P29</f>
        <v>0</v>
      </c>
      <c r="J22" s="196"/>
    </row>
    <row r="23" spans="2:15">
      <c r="H23" s="478" t="s">
        <v>1456</v>
      </c>
      <c r="I23" s="479">
        <f>'16. Desa. del Sistema Educ.Sup.'!P70</f>
        <v>0</v>
      </c>
      <c r="J23" s="196"/>
    </row>
    <row r="24" spans="2:15" s="458" customFormat="1" ht="15.75" thickBot="1">
      <c r="H24" s="480" t="s">
        <v>1494</v>
      </c>
      <c r="I24" s="481">
        <f>'17. Gestión TIC'!P54</f>
        <v>22260</v>
      </c>
      <c r="J24" s="196"/>
    </row>
    <row r="25" spans="2:15" ht="15.75" thickBot="1">
      <c r="H25" s="470" t="s">
        <v>125</v>
      </c>
      <c r="I25" s="471">
        <f>SUM(I18:I23)</f>
        <v>35570217.554603495</v>
      </c>
    </row>
    <row r="26" spans="2:15" ht="15.75" thickBot="1"/>
    <row r="27" spans="2:15" ht="15.75" thickBot="1">
      <c r="H27" s="421" t="s">
        <v>1370</v>
      </c>
      <c r="I27" s="422">
        <f>I14+I25</f>
        <v>36760417.554603495</v>
      </c>
    </row>
    <row r="28" spans="2:15">
      <c r="H28" s="337"/>
      <c r="I28" s="338"/>
    </row>
    <row r="29" spans="2:15">
      <c r="H29" s="337"/>
      <c r="I29" s="338"/>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6" t="s">
        <v>475</v>
      </c>
    </row>
    <row r="40" spans="2:8" ht="18.75">
      <c r="B40" s="86" t="s">
        <v>482</v>
      </c>
      <c r="C40" s="167">
        <f>SUMIF('2. CONTRATACION DE PERSONAL'!C:C,'Cuadro Resumen'!$B$40:$B$56,'2. CONTRATACION DE PERSONAL'!D:D)</f>
        <v>0</v>
      </c>
      <c r="D40" s="237">
        <f>SUMIF('2. CONTRATACION DE PERSONAL'!$C:$C,'Cuadro Resumen'!$B$40:$B$56,'2. CONTRATACION DE PERSONAL'!$G:$G)</f>
        <v>0</v>
      </c>
    </row>
    <row r="41" spans="2:8" ht="18.75">
      <c r="B41" s="86" t="s">
        <v>483</v>
      </c>
      <c r="C41" s="167">
        <f>SUMIF('2. CONTRATACION DE PERSONAL'!C:C,'Cuadro Resumen'!$B$40:$B$56,'2. CONTRATACION DE PERSONAL'!D:D)</f>
        <v>0</v>
      </c>
      <c r="D41" s="237">
        <f>SUMIF('2. CONTRATACION DE PERSONAL'!$C:$C,'Cuadro Resumen'!$B$40:$B$56,'2. CONTRATACION DE PERSONAL'!$G:$G)</f>
        <v>0</v>
      </c>
    </row>
    <row r="42" spans="2:8" ht="18.75">
      <c r="B42" s="86" t="s">
        <v>484</v>
      </c>
      <c r="C42" s="167">
        <f>SUMIF('2. CONTRATACION DE PERSONAL'!C:C,'Cuadro Resumen'!$B$40:$B$56,'2. CONTRATACION DE PERSONAL'!D:D)</f>
        <v>0</v>
      </c>
      <c r="D42" s="237">
        <f>SUMIF('2. CONTRATACION DE PERSONAL'!$C:$C,'Cuadro Resumen'!$B$40:$B$56,'2. CONTRATACION DE PERSONAL'!$G:$G)</f>
        <v>0</v>
      </c>
    </row>
    <row r="43" spans="2:8" ht="18.75">
      <c r="B43" s="86" t="s">
        <v>485</v>
      </c>
      <c r="C43" s="167">
        <f>SUMIF('2. CONTRATACION DE PERSONAL'!C:C,'Cuadro Resumen'!$B$40:$B$56,'2. CONTRATACION DE PERSONAL'!D:D)</f>
        <v>0</v>
      </c>
      <c r="D43" s="237">
        <f>SUMIF('2. CONTRATACION DE PERSONAL'!$C:$C,'Cuadro Resumen'!$B$40:$B$56,'2. CONTRATACION DE PERSONAL'!$G:$G)</f>
        <v>0</v>
      </c>
    </row>
    <row r="44" spans="2:8" ht="18.75">
      <c r="B44" s="86" t="s">
        <v>486</v>
      </c>
      <c r="C44" s="167">
        <f>SUMIF('2. CONTRATACION DE PERSONAL'!C:C,'Cuadro Resumen'!$B$40:$B$56,'2. CONTRATACION DE PERSONAL'!D:D)</f>
        <v>0</v>
      </c>
      <c r="D44" s="237">
        <f>SUMIF('2. CONTRATACION DE PERSONAL'!$C:$C,'Cuadro Resumen'!$B$40:$B$56,'2. CONTRATACION DE PERSONAL'!$G:$G)</f>
        <v>0</v>
      </c>
    </row>
    <row r="45" spans="2:8" ht="18.75">
      <c r="B45" s="86" t="s">
        <v>487</v>
      </c>
      <c r="C45" s="167">
        <f>SUMIF('2. CONTRATACION DE PERSONAL'!C:C,'Cuadro Resumen'!$B$40:$B$56,'2. CONTRATACION DE PERSONAL'!D:D)</f>
        <v>2</v>
      </c>
      <c r="D45" s="237">
        <f>SUMIF('2. CONTRATACION DE PERSONAL'!$C:$C,'Cuadro Resumen'!$B$40:$B$56,'2. CONTRATACION DE PERSONAL'!$G:$G)</f>
        <v>667026.96</v>
      </c>
    </row>
    <row r="46" spans="2:8" ht="18.75">
      <c r="B46" s="86" t="s">
        <v>488</v>
      </c>
      <c r="C46" s="167">
        <f>SUMIF('2. CONTRATACION DE PERSONAL'!C:C,'Cuadro Resumen'!$B$40:$B$56,'2. CONTRATACION DE PERSONAL'!D:D)</f>
        <v>0</v>
      </c>
      <c r="D46" s="237">
        <f>SUMIF('2. CONTRATACION DE PERSONAL'!$C:$C,'Cuadro Resumen'!$B$40:$B$56,'2. CONTRATACION DE PERSONAL'!$G:$G)</f>
        <v>0</v>
      </c>
    </row>
    <row r="47" spans="2:8" ht="18.75">
      <c r="B47" s="86" t="s">
        <v>489</v>
      </c>
      <c r="C47" s="167">
        <f>SUMIF('2. CONTRATACION DE PERSONAL'!C:C,'Cuadro Resumen'!$B$40:$B$56,'2. CONTRATACION DE PERSONAL'!D:D)</f>
        <v>0</v>
      </c>
      <c r="D47" s="237">
        <f>SUMIF('2. CONTRATACION DE PERSONAL'!$C:$C,'Cuadro Resumen'!$B$40:$B$56,'2. CONTRATACION DE PERSONAL'!$G:$G)</f>
        <v>0</v>
      </c>
    </row>
    <row r="48" spans="2:8" ht="18.75">
      <c r="B48" s="86" t="s">
        <v>490</v>
      </c>
      <c r="C48" s="167">
        <f>SUMIF('2. CONTRATACION DE PERSONAL'!C:C,'Cuadro Resumen'!$B$40:$B$56,'2. CONTRATACION DE PERSONAL'!D:D)</f>
        <v>0</v>
      </c>
      <c r="D48" s="237">
        <f>SUMIF('2. CONTRATACION DE PERSONAL'!$C:$C,'Cuadro Resumen'!$B$40:$B$56,'2. CONTRATACION DE PERSONAL'!$G:$G)</f>
        <v>0</v>
      </c>
    </row>
    <row r="49" spans="2:4" ht="18.75">
      <c r="B49" s="86" t="s">
        <v>491</v>
      </c>
      <c r="C49" s="167">
        <f>SUMIF('2. CONTRATACION DE PERSONAL'!C:C,'Cuadro Resumen'!$B$40:$B$56,'2. CONTRATACION DE PERSONAL'!D:D)</f>
        <v>0</v>
      </c>
      <c r="D49" s="237">
        <f>SUMIF('2. CONTRATACION DE PERSONAL'!$C:$C,'Cuadro Resumen'!$B$40:$B$56,'2. CONTRATACION DE PERSONAL'!$G:$G)</f>
        <v>0</v>
      </c>
    </row>
    <row r="50" spans="2:4" ht="18.75">
      <c r="B50" s="86" t="s">
        <v>492</v>
      </c>
      <c r="C50" s="167">
        <f>SUMIF('2. CONTRATACION DE PERSONAL'!C:C,'Cuadro Resumen'!$B$40:$B$56,'2. CONTRATACION DE PERSONAL'!D:D)</f>
        <v>0</v>
      </c>
      <c r="D50" s="237">
        <f>SUMIF('2. CONTRATACION DE PERSONAL'!$C:$C,'Cuadro Resumen'!$B$40:$B$56,'2. CONTRATACION DE PERSONAL'!$G:$G)</f>
        <v>0</v>
      </c>
    </row>
    <row r="51" spans="2:4" ht="18.75">
      <c r="B51" s="86" t="s">
        <v>493</v>
      </c>
      <c r="C51" s="167">
        <f>SUMIF('2. CONTRATACION DE PERSONAL'!C:C,'Cuadro Resumen'!$B$40:$B$56,'2. CONTRATACION DE PERSONAL'!D:D)</f>
        <v>0</v>
      </c>
      <c r="D51" s="237">
        <f>SUMIF('2. CONTRATACION DE PERSONAL'!$C:$C,'Cuadro Resumen'!$B$40:$B$56,'2. CONTRATACION DE PERSONAL'!$G:$G)</f>
        <v>0</v>
      </c>
    </row>
    <row r="52" spans="2:4" ht="18.75">
      <c r="B52" s="86" t="s">
        <v>494</v>
      </c>
      <c r="C52" s="167">
        <f>SUMIF('2. CONTRATACION DE PERSONAL'!C:C,'Cuadro Resumen'!$B$40:$B$56,'2. CONTRATACION DE PERSONAL'!D:D)</f>
        <v>4</v>
      </c>
      <c r="D52" s="237">
        <f>SUMIF('2. CONTRATACION DE PERSONAL'!$C:$C,'Cuadro Resumen'!$B$40:$B$56,'2. CONTRATACION DE PERSONAL'!$G:$G)</f>
        <v>22234.560000000001</v>
      </c>
    </row>
    <row r="53" spans="2:4" ht="18.75">
      <c r="B53" s="86" t="s">
        <v>495</v>
      </c>
      <c r="C53" s="167">
        <f>SUMIF('2. CONTRATACION DE PERSONAL'!C:C,'Cuadro Resumen'!$B$40:$B$56,'2. CONTRATACION DE PERSONAL'!D:D)</f>
        <v>48</v>
      </c>
      <c r="D53" s="237">
        <f>SUMIF('2. CONTRATACION DE PERSONAL'!$C:$C,'Cuadro Resumen'!$B$40:$B$56,'2. CONTRATACION DE PERSONAL'!$G:$G)</f>
        <v>1156204.8</v>
      </c>
    </row>
    <row r="54" spans="2:4" ht="18.75">
      <c r="B54" s="82" t="s">
        <v>83</v>
      </c>
      <c r="C54" s="167">
        <f>SUMIF('2. CONTRATACION DE PERSONAL'!C:C,'Cuadro Resumen'!$B$40:$B$56,'2. CONTRATACION DE PERSONAL'!D:D)</f>
        <v>0</v>
      </c>
      <c r="D54" s="237">
        <f>SUMIF('2. CONTRATACION DE PERSONAL'!$C:$C,'Cuadro Resumen'!$B$40:$B$56,'2. CONTRATACION DE PERSONAL'!$G:$G)</f>
        <v>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0</v>
      </c>
      <c r="D56" s="237">
        <f>SUMIF('2. CONTRATACION DE PERSONAL'!$C:$C,'Cuadro Resumen'!$B$40:$B$56,'2. CONTRATACION DE PERSONAL'!$G:$G)</f>
        <v>0</v>
      </c>
    </row>
    <row r="57" spans="2:4" ht="23.25">
      <c r="B57" s="84" t="s">
        <v>125</v>
      </c>
      <c r="C57" s="168">
        <f>SUBTOTAL(109,C40:C56)</f>
        <v>54</v>
      </c>
      <c r="D57" s="237">
        <f>SUM(D40:D56)</f>
        <v>1845466.32</v>
      </c>
    </row>
    <row r="66" spans="2:4">
      <c r="B66" s="197" t="s">
        <v>380</v>
      </c>
    </row>
    <row r="68" spans="2:4" ht="18.75">
      <c r="B68" s="81" t="s">
        <v>21</v>
      </c>
      <c r="C68" s="81" t="s">
        <v>55</v>
      </c>
      <c r="D68" s="236" t="s">
        <v>475</v>
      </c>
    </row>
    <row r="69" spans="2:4" ht="18.75">
      <c r="B69" s="82" t="s">
        <v>63</v>
      </c>
      <c r="C69" s="83">
        <f>SUMIF('3. EQUIPO DE OFICINA'!C:C,'Cuadro Resumen'!$B$69:$B$78,'3. EQUIPO DE OFICINA'!D:D)</f>
        <v>21</v>
      </c>
      <c r="D69" s="238">
        <f>SUMIF('3. EQUIPO DE OFICINA'!$C:$C,'Cuadro Resumen'!$B$69:$B$78,'3. EQUIPO DE OFICINA'!$F:$F)</f>
        <v>58800</v>
      </c>
    </row>
    <row r="70" spans="2:4" ht="18.75">
      <c r="B70" s="92" t="s">
        <v>64</v>
      </c>
      <c r="C70" s="83">
        <f>SUMIF('3. EQUIPO DE OFICINA'!C:C,'Cuadro Resumen'!$B$69:$B$78,'3. EQUIPO DE OFICINA'!D:D)</f>
        <v>40</v>
      </c>
      <c r="D70" s="238">
        <f>SUMIF('3. EQUIPO DE OFICINA'!$C:$C,'Cuadro Resumen'!$B$69:$B$78,'3. EQUIPO DE OFICINA'!$F:$F)</f>
        <v>96000</v>
      </c>
    </row>
    <row r="71" spans="2:4" ht="18.75">
      <c r="B71" s="92" t="s">
        <v>65</v>
      </c>
      <c r="C71" s="83">
        <f>SUMIF('3. EQUIPO DE OFICINA'!C:C,'Cuadro Resumen'!$B$69:$B$78,'3. EQUIPO DE OFICINA'!D:D)</f>
        <v>20</v>
      </c>
      <c r="D71" s="238">
        <f>SUMIF('3. EQUIPO DE OFICINA'!$C:$C,'Cuadro Resumen'!$B$69:$B$78,'3. EQUIPO DE OFICINA'!$F:$F)</f>
        <v>20000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24</v>
      </c>
      <c r="D73" s="238">
        <f>SUMIF('3. EQUIPO DE OFICINA'!$C:$C,'Cuadro Resumen'!$B$69:$B$78,'3. EQUIPO DE OFICINA'!$F:$F)</f>
        <v>72000</v>
      </c>
    </row>
    <row r="74" spans="2:4" ht="18.75">
      <c r="B74" s="92" t="s">
        <v>68</v>
      </c>
      <c r="C74" s="83">
        <f>SUMIF('3. EQUIPO DE OFICINA'!C:C,'Cuadro Resumen'!$B$69:$B$78,'3. EQUIPO DE OFICINA'!D:D)</f>
        <v>3</v>
      </c>
      <c r="D74" s="238">
        <f>SUMIF('3. EQUIPO DE OFICINA'!$C:$C,'Cuadro Resumen'!$B$69:$B$78,'3. EQUIPO DE OFICINA'!$F:$F)</f>
        <v>30000</v>
      </c>
    </row>
    <row r="75" spans="2:4" ht="18.75">
      <c r="B75" s="92" t="s">
        <v>69</v>
      </c>
      <c r="C75" s="83">
        <f>SUMIF('3. EQUIPO DE OFICINA'!C:C,'Cuadro Resumen'!$B$69:$B$78,'3. EQUIPO DE OFICINA'!D:D)</f>
        <v>15</v>
      </c>
      <c r="D75" s="238">
        <f>SUMIF('3. EQUIPO DE OFICINA'!$C:$C,'Cuadro Resumen'!$B$69:$B$78,'3. EQUIPO DE OFICINA'!$F:$F)</f>
        <v>120000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1</v>
      </c>
      <c r="D78" s="238">
        <f>SUMIF('3. EQUIPO DE OFICINA'!$C:$C,'Cuadro Resumen'!$B$69:$B$78,'3. EQUIPO DE OFICINA'!$F:$F)</f>
        <v>100000</v>
      </c>
    </row>
    <row r="79" spans="2:4" ht="18.75">
      <c r="B79" s="82"/>
      <c r="C79" s="83">
        <f>SUMIF('3. EQUIPO DE OFICINA'!C:C,'Cuadro Resumen'!$B$69:$B$78,'3. EQUIPO DE OFICINA'!D:D)</f>
        <v>0</v>
      </c>
      <c r="D79" s="238">
        <f>SUMIF('3. EQUIPO DE OFICINA'!$C:$C,'Cuadro Resumen'!$B$69:$B$78,'3. EQUIPO DE OFICINA'!$F:$F)</f>
        <v>0</v>
      </c>
    </row>
    <row r="80" spans="2:4" ht="23.25">
      <c r="B80" s="84" t="s">
        <v>125</v>
      </c>
      <c r="C80" s="85">
        <f>SUM(C69:C79)</f>
        <v>124</v>
      </c>
      <c r="D80" s="239">
        <f>SUM(D69:D79)</f>
        <v>496800</v>
      </c>
    </row>
    <row r="83" spans="2:4">
      <c r="B83" s="197" t="s">
        <v>381</v>
      </c>
    </row>
    <row r="85" spans="2:4" ht="18.75">
      <c r="B85" s="81" t="s">
        <v>382</v>
      </c>
      <c r="C85" s="81" t="s">
        <v>55</v>
      </c>
      <c r="D85" s="236" t="s">
        <v>475</v>
      </c>
    </row>
    <row r="86" spans="2:4" ht="37.5">
      <c r="B86" s="303" t="s">
        <v>1337</v>
      </c>
      <c r="C86" s="83">
        <f>SUMIF('4. EQUIPO TECNOLÓGICOS'!C:C,'Cuadro Resumen'!$B$86:$B$102,'4. EQUIPO TECNOLÓGICOS'!D:D)</f>
        <v>0</v>
      </c>
      <c r="D86" s="83">
        <f>SUMIF('4. EQUIPO TECNOLÓGICOS'!$C:$C,'Cuadro Resumen'!$B$86:$B$102,'4. EQUIPO TECNOLÓGICOS'!F:F)</f>
        <v>0</v>
      </c>
    </row>
    <row r="87" spans="2:4" ht="18.75">
      <c r="B87" s="303" t="s">
        <v>1338</v>
      </c>
      <c r="C87" s="83">
        <f>SUMIF('4. EQUIPO TECNOLÓGICOS'!C:C,'Cuadro Resumen'!$B$86:$B$102,'4. EQUIPO TECNOLÓGICOS'!D:D)</f>
        <v>0</v>
      </c>
      <c r="D87" s="83">
        <f>SUMIF('4. EQUIPO TECNOLÓGICOS'!$C:$C,'Cuadro Resumen'!$B$86:$B$102,'4. EQUIPO TECNOLÓGICOS'!F:F)</f>
        <v>0</v>
      </c>
    </row>
    <row r="88" spans="2:4" ht="37.5">
      <c r="B88" s="303" t="s">
        <v>1336</v>
      </c>
      <c r="C88" s="83">
        <f>SUMIF('4. EQUIPO TECNOLÓGICOS'!C:C,'Cuadro Resumen'!$B$86:$B$102,'4. EQUIPO TECNOLÓGICOS'!D:D)</f>
        <v>0</v>
      </c>
      <c r="D88" s="83">
        <f>SUMIF('4. EQUIPO TECNOLÓGICOS'!$C:$C,'Cuadro Resumen'!$B$86:$B$102,'4. EQUIPO TECNOLÓGICOS'!F:F)</f>
        <v>0</v>
      </c>
    </row>
    <row r="89" spans="2:4" ht="37.5">
      <c r="B89" s="303" t="s">
        <v>1339</v>
      </c>
      <c r="C89" s="83">
        <f>SUMIF('4. EQUIPO TECNOLÓGICOS'!C:C,'Cuadro Resumen'!$B$86:$B$102,'4. EQUIPO TECNOLÓGICOS'!D:D)</f>
        <v>6</v>
      </c>
      <c r="D89" s="83">
        <f>SUMIF('4. EQUIPO TECNOLÓGICOS'!$C:$C,'Cuadro Resumen'!$B$86:$B$102,'4. EQUIPO TECNOLÓGICOS'!F:F)</f>
        <v>90000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12</v>
      </c>
      <c r="D92" s="83">
        <f>SUMIF('4. EQUIPO TECNOLÓGICOS'!$C:$C,'Cuadro Resumen'!$B$86:$B$102,'4. EQUIPO TECNOLÓGICOS'!F:F)</f>
        <v>96000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11</v>
      </c>
      <c r="D94" s="83">
        <f>SUMIF('4. EQUIPO TECNOLÓGICOS'!$C:$C,'Cuadro Resumen'!$B$86:$B$102,'4. EQUIPO TECNOLÓGICOS'!F:F)</f>
        <v>143000</v>
      </c>
    </row>
    <row r="95" spans="2:4" ht="18.75">
      <c r="B95" s="92" t="s">
        <v>76</v>
      </c>
      <c r="C95" s="83">
        <f>SUMIF('4. EQUIPO TECNOLÓGICOS'!C:C,'Cuadro Resumen'!$B$86:$B$102,'4. EQUIPO TECNOLÓGICOS'!D:D)</f>
        <v>2</v>
      </c>
      <c r="D95" s="83">
        <f>SUMIF('4. EQUIPO TECNOLÓGICOS'!$C:$C,'Cuadro Resumen'!$B$86:$B$102,'4. EQUIPO TECNOLÓGICOS'!F:F)</f>
        <v>30000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1459</v>
      </c>
      <c r="C99" s="83">
        <f>SUMIF('4. EQUIPO TECNOLÓGICOS'!C:C,'Cuadro Resumen'!$B$86:$B$102,'4. EQUIPO TECNOLÓGICOS'!D:D)</f>
        <v>10</v>
      </c>
      <c r="D99" s="83">
        <f>SUMIF('4. EQUIPO TECNOLÓGICOS'!$C:$C,'Cuadro Resumen'!$B$86:$B$102,'4. EQUIPO TECNOLÓGICOS'!F:F)</f>
        <v>15000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41</v>
      </c>
      <c r="D103" s="85">
        <f>SUM(D86:D102)</f>
        <v>374000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2"/>
    </row>
    <row r="198" spans="2:9" hidden="1">
      <c r="B198" s="723" t="s">
        <v>1475</v>
      </c>
      <c r="C198" s="723"/>
      <c r="D198" s="723"/>
      <c r="E198" s="723"/>
      <c r="F198" s="723"/>
    </row>
    <row r="199" spans="2:9" hidden="1">
      <c r="B199" s="446" t="s">
        <v>1476</v>
      </c>
      <c r="C199" s="445" t="s">
        <v>1477</v>
      </c>
      <c r="D199" s="445" t="s">
        <v>1477</v>
      </c>
      <c r="E199" s="445" t="s">
        <v>1478</v>
      </c>
      <c r="F199" s="445" t="s">
        <v>1478</v>
      </c>
    </row>
    <row r="200" spans="2:9" hidden="1">
      <c r="B200" s="444"/>
      <c r="C200" s="444" t="s">
        <v>1479</v>
      </c>
      <c r="D200" s="444" t="s">
        <v>1480</v>
      </c>
      <c r="E200" s="444" t="s">
        <v>1479</v>
      </c>
      <c r="F200" s="444" t="s">
        <v>1480</v>
      </c>
    </row>
    <row r="201" spans="2:9" hidden="1">
      <c r="B201" s="446" t="s">
        <v>3</v>
      </c>
      <c r="C201" s="443">
        <v>255</v>
      </c>
      <c r="D201" s="443">
        <v>235</v>
      </c>
      <c r="E201" s="443">
        <v>300</v>
      </c>
      <c r="F201" s="443">
        <v>280</v>
      </c>
    </row>
    <row r="202" spans="2:9" hidden="1">
      <c r="B202" s="446" t="s">
        <v>4</v>
      </c>
      <c r="C202" s="443">
        <v>225</v>
      </c>
      <c r="D202" s="443">
        <v>205</v>
      </c>
      <c r="E202" s="443">
        <v>270</v>
      </c>
      <c r="F202" s="443">
        <v>250</v>
      </c>
    </row>
    <row r="203" spans="2:9" hidden="1">
      <c r="B203" s="446" t="s">
        <v>5</v>
      </c>
      <c r="C203" s="443">
        <v>195</v>
      </c>
      <c r="D203" s="443">
        <v>180</v>
      </c>
      <c r="E203" s="443">
        <v>240</v>
      </c>
      <c r="F203" s="443">
        <v>220</v>
      </c>
    </row>
    <row r="204" spans="2:9" hidden="1">
      <c r="B204" s="446" t="s">
        <v>6</v>
      </c>
      <c r="C204" s="443">
        <v>165</v>
      </c>
      <c r="D204" s="443">
        <v>150</v>
      </c>
      <c r="E204" s="443">
        <v>210</v>
      </c>
      <c r="F204" s="443">
        <v>195</v>
      </c>
    </row>
    <row r="205" spans="2:9" hidden="1">
      <c r="B205" s="446" t="s">
        <v>1481</v>
      </c>
      <c r="C205" s="443">
        <v>145</v>
      </c>
      <c r="D205" s="443">
        <v>135</v>
      </c>
      <c r="E205" s="443">
        <v>185</v>
      </c>
      <c r="F205" s="443">
        <v>170</v>
      </c>
    </row>
    <row r="206" spans="2:9" hidden="1">
      <c r="B206" s="441"/>
      <c r="C206" s="441"/>
      <c r="D206" s="441"/>
      <c r="E206" s="441"/>
      <c r="F206" s="441"/>
    </row>
    <row r="207" spans="2:9" hidden="1">
      <c r="B207" s="724" t="s">
        <v>1482</v>
      </c>
      <c r="C207" s="724"/>
      <c r="D207" s="724"/>
      <c r="E207" s="469">
        <f>C20</f>
        <v>21.981300000000001</v>
      </c>
      <c r="F207" s="469" t="str">
        <f>D20</f>
        <v>Martes, 25 de Agosto del 2015 Fuente el BCH</v>
      </c>
    </row>
    <row r="208" spans="2:9" hidden="1">
      <c r="B208" s="441"/>
      <c r="C208" s="441"/>
      <c r="D208" s="441"/>
      <c r="E208" s="441"/>
      <c r="F208" s="441"/>
    </row>
    <row r="209" spans="2:9" hidden="1">
      <c r="B209" s="441"/>
      <c r="C209" s="441"/>
      <c r="D209" s="441"/>
      <c r="E209" s="441"/>
      <c r="F209" s="441"/>
    </row>
    <row r="210" spans="2:9" hidden="1">
      <c r="B210" s="723" t="s">
        <v>1475</v>
      </c>
      <c r="C210" s="723"/>
      <c r="D210" s="723"/>
      <c r="E210" s="723"/>
      <c r="F210" s="723"/>
    </row>
    <row r="211" spans="2:9" hidden="1">
      <c r="B211" s="446" t="s">
        <v>1476</v>
      </c>
      <c r="C211" s="445" t="s">
        <v>1477</v>
      </c>
      <c r="D211" s="445" t="s">
        <v>1477</v>
      </c>
      <c r="E211" s="445" t="s">
        <v>1478</v>
      </c>
      <c r="F211" s="445" t="s">
        <v>1478</v>
      </c>
    </row>
    <row r="212" spans="2:9" hidden="1">
      <c r="B212" s="444"/>
      <c r="C212" s="444" t="s">
        <v>1479</v>
      </c>
      <c r="D212" s="444" t="s">
        <v>1480</v>
      </c>
      <c r="E212" s="444" t="s">
        <v>1479</v>
      </c>
      <c r="F212" s="444" t="s">
        <v>1480</v>
      </c>
    </row>
    <row r="213" spans="2:9" hidden="1">
      <c r="B213" s="446" t="s">
        <v>3</v>
      </c>
      <c r="C213" s="447">
        <f>+C201*E207</f>
        <v>5605.2314999999999</v>
      </c>
      <c r="D213" s="448">
        <f>+D201*E207</f>
        <v>5165.6055000000006</v>
      </c>
      <c r="E213" s="448">
        <f>+E201*E207</f>
        <v>6594.39</v>
      </c>
      <c r="F213" s="448">
        <f>+F201*E207</f>
        <v>6154.7640000000001</v>
      </c>
    </row>
    <row r="214" spans="2:9" hidden="1">
      <c r="B214" s="446" t="s">
        <v>4</v>
      </c>
      <c r="C214" s="447">
        <f>+C202*E207</f>
        <v>4945.7925000000005</v>
      </c>
      <c r="D214" s="448">
        <f>+D202*E207</f>
        <v>4506.1665000000003</v>
      </c>
      <c r="E214" s="448">
        <f>+E202*E207</f>
        <v>5934.951</v>
      </c>
      <c r="F214" s="448">
        <f>+F202*E207</f>
        <v>5495.3249999999998</v>
      </c>
    </row>
    <row r="215" spans="2:9" hidden="1">
      <c r="B215" s="446" t="s">
        <v>5</v>
      </c>
      <c r="C215" s="447">
        <f>+C203*E207</f>
        <v>4286.3535000000002</v>
      </c>
      <c r="D215" s="448">
        <f>+D203*E207</f>
        <v>3956.634</v>
      </c>
      <c r="E215" s="448">
        <f>+E203*E207</f>
        <v>5275.5120000000006</v>
      </c>
      <c r="F215" s="448">
        <f>+F203*E207</f>
        <v>4835.8860000000004</v>
      </c>
    </row>
    <row r="216" spans="2:9" hidden="1">
      <c r="B216" s="446" t="s">
        <v>6</v>
      </c>
      <c r="C216" s="447">
        <f>+C204*E207</f>
        <v>3626.9145000000003</v>
      </c>
      <c r="D216" s="448">
        <f>+D204*E207</f>
        <v>3297.1950000000002</v>
      </c>
      <c r="E216" s="448">
        <f>+E204*E207</f>
        <v>4616.0730000000003</v>
      </c>
      <c r="F216" s="448">
        <f>+F204*E207</f>
        <v>4286.3535000000002</v>
      </c>
    </row>
    <row r="217" spans="2:9" hidden="1">
      <c r="B217" s="446" t="s">
        <v>1481</v>
      </c>
      <c r="C217" s="447">
        <f>+C205*E207</f>
        <v>3187.2885000000001</v>
      </c>
      <c r="D217" s="448">
        <f>+D205*E207</f>
        <v>2967.4755</v>
      </c>
      <c r="E217" s="448">
        <f>+E205*E207</f>
        <v>4066.5405000000001</v>
      </c>
      <c r="F217" s="448">
        <f>+F205*E207</f>
        <v>3736.8210000000004</v>
      </c>
    </row>
    <row r="218" spans="2:9" hidden="1"/>
    <row r="220" spans="2:9" s="122" customFormat="1">
      <c r="I220" s="442"/>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RowHeight="1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81"/>
      <c r="C1" s="281"/>
      <c r="D1" s="281"/>
      <c r="E1" s="281"/>
      <c r="F1" s="281"/>
      <c r="G1" s="281" t="s">
        <v>1399</v>
      </c>
      <c r="J1" s="281"/>
      <c r="K1" s="281"/>
      <c r="L1" s="281"/>
      <c r="M1" s="281"/>
      <c r="N1" s="281"/>
      <c r="O1" s="281"/>
      <c r="P1" s="281"/>
      <c r="Q1" s="281"/>
      <c r="R1" s="281"/>
      <c r="S1" s="281"/>
      <c r="T1" s="281"/>
      <c r="U1" s="281"/>
    </row>
    <row r="2" spans="1:21" ht="18.75">
      <c r="A2" s="267" t="s">
        <v>1347</v>
      </c>
      <c r="B2" s="281"/>
      <c r="C2" s="281"/>
      <c r="D2" s="281"/>
      <c r="E2" s="281"/>
      <c r="F2" s="281"/>
      <c r="G2" s="281"/>
      <c r="J2" s="281"/>
      <c r="K2" s="281"/>
      <c r="L2" s="281"/>
      <c r="M2" s="281"/>
      <c r="N2" s="281"/>
      <c r="O2" s="281"/>
      <c r="P2" s="281"/>
      <c r="Q2" s="281"/>
      <c r="R2" s="281"/>
      <c r="S2" s="281"/>
      <c r="T2" s="281"/>
      <c r="U2" s="281"/>
    </row>
    <row r="3" spans="1:21">
      <c r="A3" s="763" t="s">
        <v>1400</v>
      </c>
      <c r="B3" s="763"/>
      <c r="C3" s="763"/>
      <c r="D3" s="763"/>
      <c r="E3" s="763"/>
      <c r="F3" s="763"/>
      <c r="G3" s="763"/>
      <c r="H3" s="763"/>
      <c r="I3" s="763"/>
      <c r="J3" s="763"/>
      <c r="K3" s="763"/>
      <c r="L3" s="763"/>
      <c r="M3" s="763"/>
      <c r="N3" s="763"/>
      <c r="O3" s="763"/>
      <c r="P3" s="763"/>
      <c r="Q3" s="763"/>
      <c r="R3" s="763"/>
      <c r="S3" s="763"/>
      <c r="T3" s="763"/>
      <c r="U3" s="763"/>
    </row>
    <row r="4" spans="1:21" ht="1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ht="25.5">
      <c r="A6" s="733"/>
      <c r="B6" s="733"/>
      <c r="C6" s="736"/>
      <c r="D6" s="736"/>
      <c r="E6" s="736"/>
      <c r="F6" s="736"/>
      <c r="G6" s="433" t="s">
        <v>108</v>
      </c>
      <c r="H6" s="433" t="s">
        <v>12</v>
      </c>
      <c r="I6" s="433" t="s">
        <v>108</v>
      </c>
      <c r="J6" s="433" t="s">
        <v>12</v>
      </c>
      <c r="K6" s="433" t="s">
        <v>108</v>
      </c>
      <c r="L6" s="433" t="s">
        <v>12</v>
      </c>
      <c r="M6" s="433" t="s">
        <v>108</v>
      </c>
      <c r="N6" s="433" t="s">
        <v>12</v>
      </c>
      <c r="O6" s="433" t="s">
        <v>108</v>
      </c>
      <c r="P6" s="433" t="s">
        <v>12</v>
      </c>
      <c r="Q6" s="733"/>
      <c r="R6" s="733"/>
      <c r="S6" s="733"/>
      <c r="T6" s="733"/>
      <c r="U6" s="730"/>
    </row>
    <row r="7" spans="1:21" s="359"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ustomHeight="1">
      <c r="A8" s="765" t="s">
        <v>1400</v>
      </c>
      <c r="B8" s="765" t="s">
        <v>1401</v>
      </c>
      <c r="C8" s="277"/>
      <c r="D8" s="277"/>
      <c r="E8" s="277"/>
      <c r="F8" s="278"/>
      <c r="G8" s="278"/>
      <c r="H8" s="352"/>
      <c r="I8" s="278"/>
      <c r="J8" s="352"/>
      <c r="K8" s="278"/>
      <c r="L8" s="352"/>
      <c r="M8" s="278"/>
      <c r="N8" s="352"/>
      <c r="O8" s="393">
        <f t="shared" ref="O8:P8" si="0">G8+I8+K8+M8</f>
        <v>0</v>
      </c>
      <c r="P8" s="394">
        <f t="shared" si="0"/>
        <v>0</v>
      </c>
      <c r="Q8" s="278"/>
      <c r="R8" s="278"/>
      <c r="S8" s="278"/>
      <c r="T8" s="278"/>
      <c r="U8" s="278"/>
    </row>
    <row r="9" spans="1:21" ht="15.75">
      <c r="A9" s="766"/>
      <c r="B9" s="766"/>
      <c r="C9" s="277"/>
      <c r="D9" s="277"/>
      <c r="E9" s="277"/>
      <c r="F9" s="278"/>
      <c r="G9" s="278"/>
      <c r="H9" s="352"/>
      <c r="I9" s="278"/>
      <c r="J9" s="352"/>
      <c r="K9" s="278"/>
      <c r="L9" s="352"/>
      <c r="M9" s="278"/>
      <c r="N9" s="352"/>
      <c r="O9" s="393">
        <f t="shared" ref="O9:O20" si="1">G9+I9+K9+M9</f>
        <v>0</v>
      </c>
      <c r="P9" s="394">
        <f t="shared" ref="P9:P20" si="2">H9+J9+L9+N9</f>
        <v>0</v>
      </c>
      <c r="Q9" s="278"/>
      <c r="R9" s="278"/>
      <c r="S9" s="278"/>
      <c r="T9" s="278"/>
      <c r="U9" s="278"/>
    </row>
    <row r="10" spans="1:21" ht="15.75">
      <c r="A10" s="766"/>
      <c r="B10" s="766"/>
      <c r="C10" s="277"/>
      <c r="D10" s="277"/>
      <c r="E10" s="277"/>
      <c r="F10" s="278"/>
      <c r="G10" s="278"/>
      <c r="H10" s="352"/>
      <c r="I10" s="278"/>
      <c r="J10" s="352"/>
      <c r="K10" s="278"/>
      <c r="L10" s="352"/>
      <c r="M10" s="278"/>
      <c r="N10" s="352"/>
      <c r="O10" s="393">
        <f t="shared" si="1"/>
        <v>0</v>
      </c>
      <c r="P10" s="394">
        <f t="shared" si="2"/>
        <v>0</v>
      </c>
      <c r="Q10" s="278"/>
      <c r="R10" s="278"/>
      <c r="S10" s="278"/>
      <c r="T10" s="278"/>
      <c r="U10" s="278"/>
    </row>
    <row r="11" spans="1:21" ht="15.75">
      <c r="A11" s="766"/>
      <c r="B11" s="766"/>
      <c r="C11" s="277"/>
      <c r="D11" s="277"/>
      <c r="E11" s="277"/>
      <c r="F11" s="278"/>
      <c r="G11" s="278"/>
      <c r="H11" s="352"/>
      <c r="I11" s="278"/>
      <c r="J11" s="352"/>
      <c r="K11" s="278"/>
      <c r="L11" s="352"/>
      <c r="M11" s="278"/>
      <c r="N11" s="352"/>
      <c r="O11" s="393">
        <f t="shared" si="1"/>
        <v>0</v>
      </c>
      <c r="P11" s="394">
        <f t="shared" si="2"/>
        <v>0</v>
      </c>
      <c r="Q11" s="278"/>
      <c r="R11" s="278"/>
      <c r="S11" s="278"/>
      <c r="T11" s="278"/>
      <c r="U11" s="278"/>
    </row>
    <row r="12" spans="1:21" ht="15.75">
      <c r="A12" s="766"/>
      <c r="B12" s="766"/>
      <c r="C12" s="277"/>
      <c r="D12" s="277"/>
      <c r="E12" s="277"/>
      <c r="F12" s="278"/>
      <c r="G12" s="278"/>
      <c r="H12" s="352"/>
      <c r="I12" s="278"/>
      <c r="J12" s="352"/>
      <c r="K12" s="278"/>
      <c r="L12" s="352"/>
      <c r="M12" s="278"/>
      <c r="N12" s="352"/>
      <c r="O12" s="393">
        <f t="shared" si="1"/>
        <v>0</v>
      </c>
      <c r="P12" s="394">
        <f t="shared" si="2"/>
        <v>0</v>
      </c>
      <c r="Q12" s="278"/>
      <c r="R12" s="278"/>
      <c r="S12" s="278"/>
      <c r="T12" s="278"/>
      <c r="U12" s="278"/>
    </row>
    <row r="13" spans="1:21" s="359" customFormat="1" ht="15.75">
      <c r="A13" s="766"/>
      <c r="B13" s="766"/>
      <c r="C13" s="399"/>
      <c r="D13" s="399"/>
      <c r="E13" s="399"/>
      <c r="F13" s="278"/>
      <c r="G13" s="278"/>
      <c r="H13" s="352"/>
      <c r="I13" s="278"/>
      <c r="J13" s="352"/>
      <c r="K13" s="278"/>
      <c r="L13" s="352"/>
      <c r="M13" s="278"/>
      <c r="N13" s="352"/>
      <c r="O13" s="393">
        <f t="shared" ref="O13" si="3">G13+I13+K13+M13</f>
        <v>0</v>
      </c>
      <c r="P13" s="394">
        <f t="shared" ref="P13" si="4">H13+J13+L13+N13</f>
        <v>0</v>
      </c>
      <c r="Q13" s="278"/>
      <c r="R13" s="278"/>
      <c r="S13" s="278"/>
      <c r="T13" s="278"/>
      <c r="U13" s="278"/>
    </row>
    <row r="14" spans="1:21" ht="15.75">
      <c r="A14" s="766"/>
      <c r="B14" s="766"/>
      <c r="C14" s="277"/>
      <c r="D14" s="277"/>
      <c r="E14" s="277"/>
      <c r="F14" s="278"/>
      <c r="G14" s="278"/>
      <c r="H14" s="352"/>
      <c r="I14" s="278"/>
      <c r="J14" s="352"/>
      <c r="K14" s="278"/>
      <c r="L14" s="352"/>
      <c r="M14" s="278"/>
      <c r="N14" s="352"/>
      <c r="O14" s="393">
        <f t="shared" si="1"/>
        <v>0</v>
      </c>
      <c r="P14" s="394">
        <f t="shared" si="2"/>
        <v>0</v>
      </c>
      <c r="Q14" s="278"/>
      <c r="R14" s="278"/>
      <c r="S14" s="278"/>
      <c r="T14" s="278"/>
      <c r="U14" s="353"/>
    </row>
    <row r="15" spans="1:21" ht="15.75" customHeight="1">
      <c r="A15" s="766"/>
      <c r="B15" s="766"/>
      <c r="C15" s="277"/>
      <c r="D15" s="277"/>
      <c r="E15" s="277"/>
      <c r="F15" s="278"/>
      <c r="G15" s="278"/>
      <c r="H15" s="352"/>
      <c r="I15" s="278"/>
      <c r="J15" s="352"/>
      <c r="K15" s="354"/>
      <c r="L15" s="352"/>
      <c r="M15" s="278"/>
      <c r="N15" s="352"/>
      <c r="O15" s="393">
        <f t="shared" si="1"/>
        <v>0</v>
      </c>
      <c r="P15" s="394">
        <f t="shared" si="2"/>
        <v>0</v>
      </c>
      <c r="Q15" s="278"/>
      <c r="R15" s="278"/>
      <c r="S15" s="278"/>
      <c r="T15" s="278"/>
      <c r="U15" s="278"/>
    </row>
    <row r="16" spans="1:21" ht="15.75">
      <c r="A16" s="766"/>
      <c r="B16" s="766"/>
      <c r="C16" s="277"/>
      <c r="D16" s="277"/>
      <c r="E16" s="277"/>
      <c r="F16" s="278"/>
      <c r="G16" s="278"/>
      <c r="H16" s="352"/>
      <c r="I16" s="278"/>
      <c r="J16" s="352"/>
      <c r="K16" s="354"/>
      <c r="L16" s="352"/>
      <c r="M16" s="278"/>
      <c r="N16" s="352"/>
      <c r="O16" s="393">
        <f t="shared" si="1"/>
        <v>0</v>
      </c>
      <c r="P16" s="394">
        <f t="shared" si="2"/>
        <v>0</v>
      </c>
      <c r="Q16" s="278"/>
      <c r="R16" s="278"/>
      <c r="S16" s="278"/>
      <c r="T16" s="278"/>
      <c r="U16" s="278"/>
    </row>
    <row r="17" spans="1:21" ht="15.75">
      <c r="A17" s="766"/>
      <c r="B17" s="766"/>
      <c r="C17" s="277"/>
      <c r="D17" s="277"/>
      <c r="E17" s="277"/>
      <c r="F17" s="278"/>
      <c r="G17" s="278"/>
      <c r="H17" s="352"/>
      <c r="I17" s="278"/>
      <c r="J17" s="352"/>
      <c r="K17" s="354"/>
      <c r="L17" s="352"/>
      <c r="M17" s="278"/>
      <c r="N17" s="352"/>
      <c r="O17" s="393">
        <f t="shared" si="1"/>
        <v>0</v>
      </c>
      <c r="P17" s="394">
        <f t="shared" si="2"/>
        <v>0</v>
      </c>
      <c r="Q17" s="278"/>
      <c r="R17" s="278"/>
      <c r="S17" s="278"/>
      <c r="T17" s="278"/>
      <c r="U17" s="278"/>
    </row>
    <row r="18" spans="1:21" ht="15.75">
      <c r="A18" s="766"/>
      <c r="B18" s="766"/>
      <c r="C18" s="277"/>
      <c r="D18" s="277"/>
      <c r="E18" s="277"/>
      <c r="F18" s="278"/>
      <c r="G18" s="278"/>
      <c r="H18" s="352"/>
      <c r="I18" s="278"/>
      <c r="J18" s="352"/>
      <c r="K18" s="354"/>
      <c r="L18" s="352"/>
      <c r="M18" s="278"/>
      <c r="N18" s="352"/>
      <c r="O18" s="393">
        <f t="shared" si="1"/>
        <v>0</v>
      </c>
      <c r="P18" s="394">
        <f t="shared" si="2"/>
        <v>0</v>
      </c>
      <c r="Q18" s="278"/>
      <c r="R18" s="278"/>
      <c r="S18" s="278"/>
      <c r="T18" s="278"/>
      <c r="U18" s="278"/>
    </row>
    <row r="19" spans="1:21" ht="15.75">
      <c r="A19" s="766"/>
      <c r="B19" s="766"/>
      <c r="C19" s="277"/>
      <c r="D19" s="277"/>
      <c r="E19" s="277"/>
      <c r="F19" s="278"/>
      <c r="G19" s="278"/>
      <c r="H19" s="352"/>
      <c r="I19" s="278"/>
      <c r="J19" s="352"/>
      <c r="K19" s="278"/>
      <c r="L19" s="352"/>
      <c r="M19" s="278"/>
      <c r="N19" s="352"/>
      <c r="O19" s="393">
        <f t="shared" si="1"/>
        <v>0</v>
      </c>
      <c r="P19" s="394">
        <f t="shared" si="2"/>
        <v>0</v>
      </c>
      <c r="Q19" s="278"/>
      <c r="R19" s="278"/>
      <c r="S19" s="278"/>
      <c r="T19" s="278"/>
      <c r="U19" s="355"/>
    </row>
    <row r="20" spans="1:21" ht="15.75">
      <c r="A20" s="767"/>
      <c r="B20" s="767"/>
      <c r="C20" s="277"/>
      <c r="D20" s="277"/>
      <c r="E20" s="277"/>
      <c r="F20" s="278"/>
      <c r="G20" s="278"/>
      <c r="H20" s="352"/>
      <c r="I20" s="278"/>
      <c r="J20" s="352"/>
      <c r="K20" s="278"/>
      <c r="L20" s="352"/>
      <c r="M20" s="278"/>
      <c r="N20" s="352"/>
      <c r="O20" s="393">
        <f t="shared" si="1"/>
        <v>0</v>
      </c>
      <c r="P20" s="394">
        <f t="shared" si="2"/>
        <v>0</v>
      </c>
      <c r="Q20" s="278"/>
      <c r="R20" s="278"/>
      <c r="S20" s="278"/>
      <c r="T20" s="278"/>
      <c r="U20" s="278"/>
    </row>
    <row r="21" spans="1:21" ht="15.75">
      <c r="A21" s="289"/>
      <c r="B21" s="290"/>
      <c r="C21" s="289" t="s">
        <v>1398</v>
      </c>
      <c r="D21" s="290"/>
      <c r="E21" s="290"/>
      <c r="F21" s="291"/>
      <c r="G21" s="279">
        <f t="shared" ref="G21:P21" si="5">SUM(G8:G20)</f>
        <v>0</v>
      </c>
      <c r="H21" s="280">
        <f t="shared" si="5"/>
        <v>0</v>
      </c>
      <c r="I21" s="279">
        <f t="shared" si="5"/>
        <v>0</v>
      </c>
      <c r="J21" s="280">
        <f t="shared" si="5"/>
        <v>0</v>
      </c>
      <c r="K21" s="279">
        <f t="shared" si="5"/>
        <v>0</v>
      </c>
      <c r="L21" s="280">
        <f t="shared" si="5"/>
        <v>0</v>
      </c>
      <c r="M21" s="279">
        <f t="shared" si="5"/>
        <v>0</v>
      </c>
      <c r="N21" s="280">
        <f t="shared" si="5"/>
        <v>0</v>
      </c>
      <c r="O21" s="280">
        <f t="shared" si="5"/>
        <v>0</v>
      </c>
      <c r="P21" s="280">
        <f t="shared" si="5"/>
        <v>0</v>
      </c>
      <c r="Q21" s="261"/>
      <c r="R21" s="261"/>
      <c r="S21" s="261"/>
      <c r="T21" s="261"/>
      <c r="U21" s="261"/>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topLeftCell="C1" zoomScale="90" zoomScaleNormal="90" workbookViewId="0">
      <pane ySplit="6" topLeftCell="A7" activePane="bottomLeft" state="frozen"/>
      <selection activeCell="A7" sqref="A7"/>
      <selection pane="bottomLeft" activeCell="C1" sqref="C1"/>
    </sheetView>
  </sheetViews>
  <sheetFormatPr baseColWidth="10" defaultRowHeight="15"/>
  <cols>
    <col min="1" max="1" width="21.7109375" style="359" customWidth="1"/>
    <col min="2" max="2" width="24.28515625" style="359" customWidth="1"/>
    <col min="3" max="6" width="27.42578125" style="359" customWidth="1"/>
    <col min="7" max="7" width="15.28515625" style="359" customWidth="1"/>
    <col min="8" max="8" width="13.7109375" style="233" bestFit="1" customWidth="1"/>
    <col min="9" max="9" width="15.28515625" style="359" customWidth="1"/>
    <col min="10" max="10" width="18.85546875" style="233" customWidth="1"/>
    <col min="11" max="11" width="11.42578125" style="359"/>
    <col min="12" max="12" width="13.7109375" style="233" bestFit="1" customWidth="1"/>
    <col min="13" max="13" width="11.42578125" style="359"/>
    <col min="14" max="14" width="13.7109375" style="233" bestFit="1" customWidth="1"/>
    <col min="15" max="15" width="15.28515625" style="359" customWidth="1"/>
    <col min="16" max="16" width="18.28515625" style="233" customWidth="1"/>
    <col min="17" max="17" width="14.140625" style="359" hidden="1" customWidth="1"/>
    <col min="18" max="20" width="14.140625" style="359" customWidth="1"/>
    <col min="21" max="21" width="17" style="359" customWidth="1"/>
    <col min="22" max="16384" width="11.42578125" style="359"/>
  </cols>
  <sheetData>
    <row r="1" spans="1:21" ht="18.75">
      <c r="B1" s="281"/>
      <c r="C1" s="281"/>
      <c r="D1" s="281"/>
      <c r="E1" s="281"/>
      <c r="F1" s="281"/>
      <c r="G1" s="281" t="s">
        <v>1439</v>
      </c>
      <c r="J1" s="281"/>
      <c r="K1" s="281"/>
      <c r="L1" s="281"/>
      <c r="M1" s="281"/>
      <c r="N1" s="281"/>
      <c r="O1" s="281"/>
      <c r="P1" s="281"/>
      <c r="Q1" s="281"/>
      <c r="R1" s="281"/>
      <c r="S1" s="281"/>
      <c r="T1" s="281"/>
      <c r="U1" s="281"/>
    </row>
    <row r="2" spans="1:21" ht="18.75">
      <c r="A2" s="267" t="s">
        <v>1347</v>
      </c>
      <c r="B2" s="281"/>
      <c r="C2" s="281"/>
      <c r="D2" s="281"/>
      <c r="E2" s="281"/>
      <c r="F2" s="281"/>
      <c r="G2" s="281"/>
      <c r="J2" s="281"/>
      <c r="K2" s="281"/>
      <c r="L2" s="281"/>
      <c r="M2" s="281"/>
      <c r="N2" s="281"/>
      <c r="O2" s="281"/>
      <c r="P2" s="281"/>
      <c r="Q2" s="281"/>
      <c r="R2" s="281"/>
      <c r="S2" s="281"/>
      <c r="T2" s="281"/>
      <c r="U2" s="281"/>
    </row>
    <row r="3" spans="1:21">
      <c r="A3" s="763" t="s">
        <v>1438</v>
      </c>
      <c r="B3" s="763"/>
      <c r="C3" s="763"/>
      <c r="D3" s="763"/>
      <c r="E3" s="763"/>
      <c r="F3" s="763"/>
      <c r="G3" s="763"/>
      <c r="H3" s="763"/>
      <c r="I3" s="763"/>
      <c r="J3" s="763"/>
      <c r="K3" s="763"/>
      <c r="L3" s="763"/>
      <c r="M3" s="763"/>
      <c r="N3" s="763"/>
      <c r="O3" s="763"/>
      <c r="P3" s="763"/>
      <c r="Q3" s="763"/>
      <c r="R3" s="763"/>
      <c r="S3" s="763"/>
      <c r="T3" s="763"/>
      <c r="U3" s="763"/>
    </row>
    <row r="4" spans="1:21" ht="1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ht="25.5">
      <c r="A6" s="733"/>
      <c r="B6" s="733"/>
      <c r="C6" s="736"/>
      <c r="D6" s="736"/>
      <c r="E6" s="736"/>
      <c r="F6" s="736"/>
      <c r="G6" s="433" t="s">
        <v>108</v>
      </c>
      <c r="H6" s="433" t="s">
        <v>12</v>
      </c>
      <c r="I6" s="433" t="s">
        <v>108</v>
      </c>
      <c r="J6" s="433" t="s">
        <v>12</v>
      </c>
      <c r="K6" s="433" t="s">
        <v>108</v>
      </c>
      <c r="L6" s="433" t="s">
        <v>12</v>
      </c>
      <c r="M6" s="433" t="s">
        <v>108</v>
      </c>
      <c r="N6" s="433" t="s">
        <v>12</v>
      </c>
      <c r="O6" s="433" t="s">
        <v>108</v>
      </c>
      <c r="P6" s="433" t="s">
        <v>12</v>
      </c>
      <c r="Q6" s="733"/>
      <c r="R6" s="733"/>
      <c r="S6" s="733"/>
      <c r="T6" s="733"/>
      <c r="U6" s="730"/>
    </row>
    <row r="7" spans="1:21" ht="15.75">
      <c r="A7" s="434"/>
      <c r="B7" s="435"/>
      <c r="C7" s="436"/>
      <c r="D7" s="436"/>
      <c r="E7" s="437"/>
      <c r="F7" s="436"/>
      <c r="G7" s="438"/>
      <c r="H7" s="438"/>
      <c r="I7" s="438"/>
      <c r="J7" s="438"/>
      <c r="K7" s="438"/>
      <c r="L7" s="438"/>
      <c r="M7" s="438"/>
      <c r="N7" s="438"/>
      <c r="O7" s="438"/>
      <c r="P7" s="438"/>
      <c r="Q7" s="439"/>
      <c r="R7" s="439"/>
      <c r="S7" s="439"/>
      <c r="T7" s="439"/>
      <c r="U7" s="440"/>
    </row>
    <row r="8" spans="1:21" ht="15.75">
      <c r="A8" s="765" t="s">
        <v>1432</v>
      </c>
      <c r="B8" s="764" t="s">
        <v>1430</v>
      </c>
      <c r="C8" s="277"/>
      <c r="D8" s="277"/>
      <c r="E8" s="277"/>
      <c r="F8" s="278"/>
      <c r="G8" s="278"/>
      <c r="H8" s="352"/>
      <c r="I8" s="278"/>
      <c r="J8" s="352"/>
      <c r="K8" s="278"/>
      <c r="L8" s="352"/>
      <c r="M8" s="278"/>
      <c r="N8" s="352"/>
      <c r="O8" s="395">
        <f t="shared" ref="O8:O22" si="0">G8+I8+K8+M8</f>
        <v>0</v>
      </c>
      <c r="P8" s="394">
        <f t="shared" ref="P8:P22" si="1">H8+J8+L8+N8</f>
        <v>0</v>
      </c>
      <c r="Q8" s="278"/>
      <c r="R8" s="278"/>
      <c r="S8" s="278"/>
      <c r="T8" s="278"/>
      <c r="U8" s="278"/>
    </row>
    <row r="9" spans="1:21" ht="15.75">
      <c r="A9" s="766"/>
      <c r="B9" s="764"/>
      <c r="C9" s="277"/>
      <c r="D9" s="277"/>
      <c r="E9" s="277"/>
      <c r="F9" s="278"/>
      <c r="G9" s="278"/>
      <c r="H9" s="352"/>
      <c r="I9" s="278"/>
      <c r="J9" s="352"/>
      <c r="K9" s="278"/>
      <c r="L9" s="352"/>
      <c r="M9" s="278"/>
      <c r="N9" s="352"/>
      <c r="O9" s="395">
        <f t="shared" si="0"/>
        <v>0</v>
      </c>
      <c r="P9" s="394">
        <f t="shared" si="1"/>
        <v>0</v>
      </c>
      <c r="Q9" s="278"/>
      <c r="R9" s="278"/>
      <c r="S9" s="278"/>
      <c r="T9" s="278"/>
      <c r="U9" s="278"/>
    </row>
    <row r="10" spans="1:21" ht="15.75">
      <c r="A10" s="766"/>
      <c r="B10" s="764"/>
      <c r="C10" s="277"/>
      <c r="D10" s="277"/>
      <c r="E10" s="277"/>
      <c r="F10" s="278"/>
      <c r="G10" s="278"/>
      <c r="H10" s="352"/>
      <c r="I10" s="278"/>
      <c r="J10" s="352"/>
      <c r="K10" s="278"/>
      <c r="L10" s="352"/>
      <c r="M10" s="278"/>
      <c r="N10" s="352"/>
      <c r="O10" s="395">
        <f t="shared" si="0"/>
        <v>0</v>
      </c>
      <c r="P10" s="394">
        <f t="shared" si="1"/>
        <v>0</v>
      </c>
      <c r="Q10" s="278"/>
      <c r="R10" s="278"/>
      <c r="S10" s="278"/>
      <c r="T10" s="278"/>
      <c r="U10" s="278"/>
    </row>
    <row r="11" spans="1:21" ht="15.75">
      <c r="A11" s="766"/>
      <c r="B11" s="764"/>
      <c r="C11" s="277"/>
      <c r="D11" s="277"/>
      <c r="E11" s="277"/>
      <c r="F11" s="278"/>
      <c r="G11" s="278"/>
      <c r="H11" s="352"/>
      <c r="I11" s="278"/>
      <c r="J11" s="352"/>
      <c r="K11" s="278"/>
      <c r="L11" s="352"/>
      <c r="M11" s="278"/>
      <c r="N11" s="352"/>
      <c r="O11" s="395">
        <f t="shared" si="0"/>
        <v>0</v>
      </c>
      <c r="P11" s="394">
        <f t="shared" si="1"/>
        <v>0</v>
      </c>
      <c r="Q11" s="278"/>
      <c r="R11" s="278"/>
      <c r="S11" s="278"/>
      <c r="T11" s="278"/>
      <c r="U11" s="278"/>
    </row>
    <row r="12" spans="1:21" ht="15.75">
      <c r="A12" s="766"/>
      <c r="B12" s="764"/>
      <c r="C12" s="277"/>
      <c r="D12" s="277"/>
      <c r="E12" s="277"/>
      <c r="F12" s="278"/>
      <c r="G12" s="278"/>
      <c r="H12" s="352"/>
      <c r="I12" s="278"/>
      <c r="J12" s="352"/>
      <c r="K12" s="278"/>
      <c r="L12" s="352"/>
      <c r="M12" s="278"/>
      <c r="N12" s="352"/>
      <c r="O12" s="395">
        <f t="shared" si="0"/>
        <v>0</v>
      </c>
      <c r="P12" s="394">
        <f t="shared" si="1"/>
        <v>0</v>
      </c>
      <c r="Q12" s="278"/>
      <c r="R12" s="278"/>
      <c r="S12" s="278"/>
      <c r="T12" s="278"/>
      <c r="U12" s="278"/>
    </row>
    <row r="13" spans="1:21" ht="15.75">
      <c r="A13" s="766"/>
      <c r="B13" s="764" t="s">
        <v>1437</v>
      </c>
      <c r="C13" s="277"/>
      <c r="D13" s="277"/>
      <c r="E13" s="277"/>
      <c r="F13" s="278"/>
      <c r="G13" s="278"/>
      <c r="H13" s="352"/>
      <c r="I13" s="278"/>
      <c r="J13" s="352"/>
      <c r="K13" s="278"/>
      <c r="L13" s="352"/>
      <c r="M13" s="278"/>
      <c r="N13" s="352"/>
      <c r="O13" s="395">
        <f t="shared" si="0"/>
        <v>0</v>
      </c>
      <c r="P13" s="394">
        <f t="shared" si="1"/>
        <v>0</v>
      </c>
      <c r="Q13" s="278"/>
      <c r="R13" s="278"/>
      <c r="S13" s="278"/>
      <c r="T13" s="278"/>
      <c r="U13" s="278"/>
    </row>
    <row r="14" spans="1:21" ht="15.75">
      <c r="A14" s="766"/>
      <c r="B14" s="764"/>
      <c r="C14" s="277"/>
      <c r="D14" s="277"/>
      <c r="E14" s="277"/>
      <c r="F14" s="278"/>
      <c r="G14" s="278"/>
      <c r="H14" s="352"/>
      <c r="I14" s="278"/>
      <c r="J14" s="352"/>
      <c r="K14" s="278"/>
      <c r="L14" s="352"/>
      <c r="M14" s="278"/>
      <c r="N14" s="352"/>
      <c r="O14" s="395">
        <f t="shared" si="0"/>
        <v>0</v>
      </c>
      <c r="P14" s="394">
        <f t="shared" si="1"/>
        <v>0</v>
      </c>
      <c r="Q14" s="278"/>
      <c r="R14" s="278"/>
      <c r="S14" s="278"/>
      <c r="T14" s="278"/>
      <c r="U14" s="353"/>
    </row>
    <row r="15" spans="1:21" ht="15.75">
      <c r="A15" s="766"/>
      <c r="B15" s="764"/>
      <c r="C15" s="277"/>
      <c r="D15" s="277"/>
      <c r="E15" s="277"/>
      <c r="F15" s="278"/>
      <c r="G15" s="278"/>
      <c r="H15" s="352"/>
      <c r="I15" s="278"/>
      <c r="J15" s="352"/>
      <c r="K15" s="278"/>
      <c r="L15" s="352"/>
      <c r="M15" s="278"/>
      <c r="N15" s="352"/>
      <c r="O15" s="395">
        <f t="shared" si="0"/>
        <v>0</v>
      </c>
      <c r="P15" s="394">
        <f t="shared" si="1"/>
        <v>0</v>
      </c>
      <c r="Q15" s="278"/>
      <c r="R15" s="278"/>
      <c r="S15" s="278"/>
      <c r="T15" s="278"/>
      <c r="U15" s="353"/>
    </row>
    <row r="16" spans="1:21" ht="15.75">
      <c r="A16" s="766"/>
      <c r="B16" s="764"/>
      <c r="C16" s="277"/>
      <c r="D16" s="277"/>
      <c r="E16" s="277"/>
      <c r="F16" s="278"/>
      <c r="G16" s="278"/>
      <c r="H16" s="352"/>
      <c r="I16" s="278"/>
      <c r="J16" s="352"/>
      <c r="K16" s="278"/>
      <c r="L16" s="352"/>
      <c r="M16" s="278"/>
      <c r="N16" s="352"/>
      <c r="O16" s="395">
        <f t="shared" si="0"/>
        <v>0</v>
      </c>
      <c r="P16" s="394">
        <f t="shared" si="1"/>
        <v>0</v>
      </c>
      <c r="Q16" s="278"/>
      <c r="R16" s="278"/>
      <c r="S16" s="278"/>
      <c r="T16" s="278"/>
      <c r="U16" s="353"/>
    </row>
    <row r="17" spans="1:21" ht="15.75">
      <c r="A17" s="766"/>
      <c r="B17" s="764"/>
      <c r="C17" s="277"/>
      <c r="D17" s="277"/>
      <c r="E17" s="277"/>
      <c r="F17" s="278"/>
      <c r="G17" s="278"/>
      <c r="H17" s="352"/>
      <c r="I17" s="278"/>
      <c r="J17" s="352"/>
      <c r="K17" s="354"/>
      <c r="L17" s="352"/>
      <c r="M17" s="278"/>
      <c r="N17" s="352"/>
      <c r="O17" s="395">
        <f t="shared" si="0"/>
        <v>0</v>
      </c>
      <c r="P17" s="394">
        <f t="shared" si="1"/>
        <v>0</v>
      </c>
      <c r="Q17" s="278"/>
      <c r="R17" s="278"/>
      <c r="S17" s="278"/>
      <c r="T17" s="278"/>
      <c r="U17" s="278"/>
    </row>
    <row r="18" spans="1:21" ht="15.75">
      <c r="A18" s="766"/>
      <c r="B18" s="764" t="s">
        <v>1431</v>
      </c>
      <c r="C18" s="277"/>
      <c r="D18" s="277"/>
      <c r="E18" s="277"/>
      <c r="F18" s="278"/>
      <c r="G18" s="278"/>
      <c r="H18" s="352"/>
      <c r="I18" s="278"/>
      <c r="J18" s="352"/>
      <c r="K18" s="354"/>
      <c r="L18" s="352"/>
      <c r="M18" s="278"/>
      <c r="N18" s="352"/>
      <c r="O18" s="395">
        <f t="shared" si="0"/>
        <v>0</v>
      </c>
      <c r="P18" s="394">
        <f t="shared" si="1"/>
        <v>0</v>
      </c>
      <c r="Q18" s="278"/>
      <c r="R18" s="278"/>
      <c r="S18" s="278"/>
      <c r="T18" s="278"/>
      <c r="U18" s="278"/>
    </row>
    <row r="19" spans="1:21" ht="15.75">
      <c r="A19" s="766"/>
      <c r="B19" s="764"/>
      <c r="C19" s="277"/>
      <c r="D19" s="277"/>
      <c r="E19" s="277"/>
      <c r="F19" s="278"/>
      <c r="G19" s="278"/>
      <c r="H19" s="352"/>
      <c r="I19" s="278"/>
      <c r="J19" s="352"/>
      <c r="K19" s="354"/>
      <c r="L19" s="352"/>
      <c r="M19" s="278"/>
      <c r="N19" s="352"/>
      <c r="O19" s="395">
        <f t="shared" si="0"/>
        <v>0</v>
      </c>
      <c r="P19" s="394">
        <f t="shared" si="1"/>
        <v>0</v>
      </c>
      <c r="Q19" s="278"/>
      <c r="R19" s="278"/>
      <c r="S19" s="278"/>
      <c r="T19" s="278"/>
      <c r="U19" s="278"/>
    </row>
    <row r="20" spans="1:21" ht="15.75">
      <c r="A20" s="766"/>
      <c r="B20" s="764"/>
      <c r="C20" s="277"/>
      <c r="D20" s="277"/>
      <c r="E20" s="277"/>
      <c r="F20" s="278"/>
      <c r="G20" s="278"/>
      <c r="H20" s="352"/>
      <c r="I20" s="278"/>
      <c r="J20" s="352"/>
      <c r="K20" s="354"/>
      <c r="L20" s="352"/>
      <c r="M20" s="278"/>
      <c r="N20" s="352"/>
      <c r="O20" s="395">
        <f t="shared" si="0"/>
        <v>0</v>
      </c>
      <c r="P20" s="394">
        <f t="shared" si="1"/>
        <v>0</v>
      </c>
      <c r="Q20" s="278"/>
      <c r="R20" s="278"/>
      <c r="S20" s="278"/>
      <c r="T20" s="278"/>
      <c r="U20" s="278"/>
    </row>
    <row r="21" spans="1:21" ht="15.75">
      <c r="A21" s="766"/>
      <c r="B21" s="764"/>
      <c r="C21" s="277"/>
      <c r="D21" s="277"/>
      <c r="E21" s="277"/>
      <c r="F21" s="278"/>
      <c r="G21" s="278"/>
      <c r="H21" s="352"/>
      <c r="I21" s="278"/>
      <c r="J21" s="352"/>
      <c r="K21" s="354"/>
      <c r="L21" s="352"/>
      <c r="M21" s="278"/>
      <c r="N21" s="352"/>
      <c r="O21" s="395">
        <f t="shared" si="0"/>
        <v>0</v>
      </c>
      <c r="P21" s="394">
        <f t="shared" si="1"/>
        <v>0</v>
      </c>
      <c r="Q21" s="278"/>
      <c r="R21" s="278"/>
      <c r="S21" s="278"/>
      <c r="T21" s="278"/>
      <c r="U21" s="278"/>
    </row>
    <row r="22" spans="1:21" ht="15.75">
      <c r="A22" s="766"/>
      <c r="B22" s="764"/>
      <c r="C22" s="277"/>
      <c r="D22" s="277"/>
      <c r="E22" s="363"/>
      <c r="F22" s="278"/>
      <c r="G22" s="278"/>
      <c r="H22" s="352"/>
      <c r="I22" s="278"/>
      <c r="J22" s="352"/>
      <c r="K22" s="354"/>
      <c r="L22" s="352"/>
      <c r="M22" s="278"/>
      <c r="N22" s="352"/>
      <c r="O22" s="395">
        <f t="shared" si="0"/>
        <v>0</v>
      </c>
      <c r="P22" s="394">
        <f t="shared" si="1"/>
        <v>0</v>
      </c>
      <c r="Q22" s="278"/>
      <c r="R22" s="278"/>
      <c r="S22" s="278"/>
      <c r="T22" s="278"/>
      <c r="U22" s="278"/>
    </row>
    <row r="23" spans="1:21" ht="15.75">
      <c r="A23" s="766"/>
      <c r="B23" s="765" t="s">
        <v>1433</v>
      </c>
      <c r="C23" s="277"/>
      <c r="D23" s="277"/>
      <c r="E23" s="363"/>
      <c r="F23" s="278"/>
      <c r="G23" s="278"/>
      <c r="H23" s="352"/>
      <c r="I23" s="278"/>
      <c r="J23" s="352"/>
      <c r="K23" s="354"/>
      <c r="L23" s="352"/>
      <c r="M23" s="278"/>
      <c r="N23" s="352"/>
      <c r="O23" s="395">
        <f t="shared" ref="O23:P23" si="2">G23+I23+K23+M23</f>
        <v>0</v>
      </c>
      <c r="P23" s="394">
        <f t="shared" si="2"/>
        <v>0</v>
      </c>
      <c r="Q23" s="278"/>
      <c r="R23" s="278"/>
      <c r="S23" s="278"/>
      <c r="T23" s="278"/>
      <c r="U23" s="278"/>
    </row>
    <row r="24" spans="1:21" ht="15.75">
      <c r="A24" s="766"/>
      <c r="B24" s="766"/>
      <c r="C24" s="277"/>
      <c r="D24" s="277"/>
      <c r="E24" s="363"/>
      <c r="F24" s="278"/>
      <c r="G24" s="278"/>
      <c r="H24" s="352"/>
      <c r="I24" s="278"/>
      <c r="J24" s="352"/>
      <c r="K24" s="354"/>
      <c r="L24" s="352"/>
      <c r="M24" s="278"/>
      <c r="N24" s="352"/>
      <c r="O24" s="395">
        <f t="shared" ref="O24:O42" si="3">G24+I24+K24+M24</f>
        <v>0</v>
      </c>
      <c r="P24" s="394">
        <f t="shared" ref="P24:P42" si="4">H24+J24+L24+N24</f>
        <v>0</v>
      </c>
      <c r="Q24" s="278"/>
      <c r="R24" s="278"/>
      <c r="S24" s="278"/>
      <c r="T24" s="278"/>
      <c r="U24" s="278"/>
    </row>
    <row r="25" spans="1:21" ht="15.75">
      <c r="A25" s="766"/>
      <c r="B25" s="766"/>
      <c r="C25" s="277"/>
      <c r="D25" s="277"/>
      <c r="E25" s="363"/>
      <c r="F25" s="278"/>
      <c r="G25" s="278"/>
      <c r="H25" s="352"/>
      <c r="I25" s="278"/>
      <c r="J25" s="352"/>
      <c r="K25" s="354"/>
      <c r="L25" s="352"/>
      <c r="M25" s="278"/>
      <c r="N25" s="352"/>
      <c r="O25" s="395">
        <f t="shared" si="3"/>
        <v>0</v>
      </c>
      <c r="P25" s="394">
        <f t="shared" si="4"/>
        <v>0</v>
      </c>
      <c r="Q25" s="278"/>
      <c r="R25" s="278"/>
      <c r="S25" s="278"/>
      <c r="T25" s="278"/>
      <c r="U25" s="278"/>
    </row>
    <row r="26" spans="1:21" ht="15.75">
      <c r="A26" s="766"/>
      <c r="B26" s="766"/>
      <c r="C26" s="277"/>
      <c r="D26" s="277"/>
      <c r="E26" s="363"/>
      <c r="F26" s="278"/>
      <c r="G26" s="278"/>
      <c r="H26" s="352"/>
      <c r="I26" s="278"/>
      <c r="J26" s="352"/>
      <c r="K26" s="354"/>
      <c r="L26" s="352"/>
      <c r="M26" s="278"/>
      <c r="N26" s="352"/>
      <c r="O26" s="395">
        <f t="shared" si="3"/>
        <v>0</v>
      </c>
      <c r="P26" s="394">
        <f t="shared" si="4"/>
        <v>0</v>
      </c>
      <c r="Q26" s="278"/>
      <c r="R26" s="278"/>
      <c r="S26" s="278"/>
      <c r="T26" s="278"/>
      <c r="U26" s="278"/>
    </row>
    <row r="27" spans="1:21" ht="15.75">
      <c r="A27" s="766"/>
      <c r="B27" s="767"/>
      <c r="C27" s="277"/>
      <c r="D27" s="277"/>
      <c r="E27" s="363"/>
      <c r="F27" s="278"/>
      <c r="G27" s="278"/>
      <c r="H27" s="352"/>
      <c r="I27" s="278"/>
      <c r="J27" s="352"/>
      <c r="K27" s="354"/>
      <c r="L27" s="352"/>
      <c r="M27" s="278"/>
      <c r="N27" s="352"/>
      <c r="O27" s="395">
        <f t="shared" si="3"/>
        <v>0</v>
      </c>
      <c r="P27" s="394">
        <f t="shared" si="4"/>
        <v>0</v>
      </c>
      <c r="Q27" s="278"/>
      <c r="R27" s="278"/>
      <c r="S27" s="278"/>
      <c r="T27" s="278"/>
      <c r="U27" s="278"/>
    </row>
    <row r="28" spans="1:21" ht="15.75">
      <c r="A28" s="766"/>
      <c r="B28" s="765" t="s">
        <v>1434</v>
      </c>
      <c r="C28" s="277"/>
      <c r="D28" s="277"/>
      <c r="E28" s="363"/>
      <c r="F28" s="278"/>
      <c r="G28" s="278"/>
      <c r="H28" s="352"/>
      <c r="I28" s="278"/>
      <c r="J28" s="352"/>
      <c r="K28" s="354"/>
      <c r="L28" s="352"/>
      <c r="M28" s="278"/>
      <c r="N28" s="352"/>
      <c r="O28" s="395">
        <f t="shared" si="3"/>
        <v>0</v>
      </c>
      <c r="P28" s="394">
        <f t="shared" si="4"/>
        <v>0</v>
      </c>
      <c r="Q28" s="278"/>
      <c r="R28" s="278"/>
      <c r="S28" s="278"/>
      <c r="T28" s="278"/>
      <c r="U28" s="278"/>
    </row>
    <row r="29" spans="1:21" ht="15.75">
      <c r="A29" s="766"/>
      <c r="B29" s="766"/>
      <c r="C29" s="277"/>
      <c r="D29" s="277"/>
      <c r="E29" s="363"/>
      <c r="F29" s="278"/>
      <c r="G29" s="278"/>
      <c r="H29" s="352"/>
      <c r="I29" s="278"/>
      <c r="J29" s="352"/>
      <c r="K29" s="354"/>
      <c r="L29" s="352"/>
      <c r="M29" s="278"/>
      <c r="N29" s="352"/>
      <c r="O29" s="395">
        <f t="shared" si="3"/>
        <v>0</v>
      </c>
      <c r="P29" s="394">
        <f t="shared" si="4"/>
        <v>0</v>
      </c>
      <c r="Q29" s="278"/>
      <c r="R29" s="278"/>
      <c r="S29" s="278"/>
      <c r="T29" s="278"/>
      <c r="U29" s="278"/>
    </row>
    <row r="30" spans="1:21" ht="15.75">
      <c r="A30" s="766"/>
      <c r="B30" s="766"/>
      <c r="C30" s="277"/>
      <c r="D30" s="277"/>
      <c r="E30" s="277"/>
      <c r="F30" s="278"/>
      <c r="G30" s="278"/>
      <c r="H30" s="352"/>
      <c r="I30" s="278"/>
      <c r="J30" s="352"/>
      <c r="K30" s="354"/>
      <c r="L30" s="352"/>
      <c r="M30" s="278"/>
      <c r="N30" s="352"/>
      <c r="O30" s="395">
        <f t="shared" si="3"/>
        <v>0</v>
      </c>
      <c r="P30" s="394">
        <f t="shared" si="4"/>
        <v>0</v>
      </c>
      <c r="Q30" s="278"/>
      <c r="R30" s="278"/>
      <c r="S30" s="278"/>
      <c r="T30" s="278"/>
      <c r="U30" s="278"/>
    </row>
    <row r="31" spans="1:21" ht="15.75">
      <c r="A31" s="766"/>
      <c r="B31" s="766"/>
      <c r="C31" s="277"/>
      <c r="D31" s="277"/>
      <c r="E31" s="277"/>
      <c r="F31" s="278"/>
      <c r="G31" s="278"/>
      <c r="H31" s="352"/>
      <c r="I31" s="278"/>
      <c r="J31" s="352"/>
      <c r="K31" s="354"/>
      <c r="L31" s="352"/>
      <c r="M31" s="278"/>
      <c r="N31" s="352"/>
      <c r="O31" s="395">
        <f t="shared" si="3"/>
        <v>0</v>
      </c>
      <c r="P31" s="394">
        <f t="shared" si="4"/>
        <v>0</v>
      </c>
      <c r="Q31" s="278"/>
      <c r="R31" s="278"/>
      <c r="S31" s="278"/>
      <c r="T31" s="278"/>
      <c r="U31" s="278"/>
    </row>
    <row r="32" spans="1:21" ht="15.75">
      <c r="A32" s="766"/>
      <c r="B32" s="767"/>
      <c r="C32" s="277"/>
      <c r="D32" s="277"/>
      <c r="E32" s="277"/>
      <c r="F32" s="278"/>
      <c r="G32" s="278"/>
      <c r="H32" s="352"/>
      <c r="I32" s="278"/>
      <c r="J32" s="352"/>
      <c r="K32" s="354"/>
      <c r="L32" s="352"/>
      <c r="M32" s="278"/>
      <c r="N32" s="352"/>
      <c r="O32" s="395">
        <f t="shared" si="3"/>
        <v>0</v>
      </c>
      <c r="P32" s="394">
        <f t="shared" si="4"/>
        <v>0</v>
      </c>
      <c r="Q32" s="278"/>
      <c r="R32" s="278"/>
      <c r="S32" s="278"/>
      <c r="T32" s="278"/>
      <c r="U32" s="278"/>
    </row>
    <row r="33" spans="1:21" ht="15.75">
      <c r="A33" s="766"/>
      <c r="B33" s="764" t="s">
        <v>1435</v>
      </c>
      <c r="C33" s="362"/>
      <c r="D33" s="277"/>
      <c r="E33" s="277"/>
      <c r="F33" s="278"/>
      <c r="G33" s="278"/>
      <c r="H33" s="352"/>
      <c r="I33" s="278"/>
      <c r="J33" s="352"/>
      <c r="K33" s="354"/>
      <c r="L33" s="352"/>
      <c r="M33" s="278"/>
      <c r="N33" s="352"/>
      <c r="O33" s="395">
        <f t="shared" si="3"/>
        <v>0</v>
      </c>
      <c r="P33" s="394">
        <f t="shared" si="4"/>
        <v>0</v>
      </c>
      <c r="Q33" s="278"/>
      <c r="R33" s="278"/>
      <c r="S33" s="278"/>
      <c r="T33" s="278"/>
      <c r="U33" s="278"/>
    </row>
    <row r="34" spans="1:21" ht="15.75">
      <c r="A34" s="766"/>
      <c r="B34" s="764"/>
      <c r="C34" s="362"/>
      <c r="D34" s="277"/>
      <c r="E34" s="277"/>
      <c r="F34" s="278"/>
      <c r="G34" s="278"/>
      <c r="H34" s="352"/>
      <c r="I34" s="278"/>
      <c r="J34" s="352"/>
      <c r="K34" s="354"/>
      <c r="L34" s="352"/>
      <c r="M34" s="278"/>
      <c r="N34" s="352"/>
      <c r="O34" s="395">
        <f t="shared" si="3"/>
        <v>0</v>
      </c>
      <c r="P34" s="394">
        <f t="shared" si="4"/>
        <v>0</v>
      </c>
      <c r="Q34" s="278"/>
      <c r="R34" s="278"/>
      <c r="S34" s="278"/>
      <c r="T34" s="278"/>
      <c r="U34" s="278"/>
    </row>
    <row r="35" spans="1:21" ht="15.75">
      <c r="A35" s="766"/>
      <c r="B35" s="764"/>
      <c r="C35" s="362"/>
      <c r="D35" s="277"/>
      <c r="E35" s="277"/>
      <c r="F35" s="278"/>
      <c r="G35" s="278"/>
      <c r="H35" s="352"/>
      <c r="I35" s="278"/>
      <c r="J35" s="352"/>
      <c r="K35" s="354"/>
      <c r="L35" s="352"/>
      <c r="M35" s="278"/>
      <c r="N35" s="352"/>
      <c r="O35" s="395">
        <f t="shared" si="3"/>
        <v>0</v>
      </c>
      <c r="P35" s="394">
        <f t="shared" si="4"/>
        <v>0</v>
      </c>
      <c r="Q35" s="278"/>
      <c r="R35" s="278"/>
      <c r="S35" s="278"/>
      <c r="T35" s="278"/>
      <c r="U35" s="278"/>
    </row>
    <row r="36" spans="1:21" ht="15.75">
      <c r="A36" s="766"/>
      <c r="B36" s="764"/>
      <c r="C36" s="362"/>
      <c r="D36" s="277"/>
      <c r="E36" s="277"/>
      <c r="F36" s="278"/>
      <c r="G36" s="278"/>
      <c r="H36" s="352"/>
      <c r="I36" s="278"/>
      <c r="J36" s="352"/>
      <c r="K36" s="354"/>
      <c r="L36" s="352"/>
      <c r="M36" s="278"/>
      <c r="N36" s="352"/>
      <c r="O36" s="395">
        <f t="shared" si="3"/>
        <v>0</v>
      </c>
      <c r="P36" s="394">
        <f t="shared" si="4"/>
        <v>0</v>
      </c>
      <c r="Q36" s="278"/>
      <c r="R36" s="278"/>
      <c r="S36" s="278"/>
      <c r="T36" s="278"/>
      <c r="U36" s="278"/>
    </row>
    <row r="37" spans="1:21" ht="15.75">
      <c r="A37" s="766"/>
      <c r="B37" s="764"/>
      <c r="C37" s="362"/>
      <c r="D37" s="277"/>
      <c r="E37" s="277"/>
      <c r="F37" s="278"/>
      <c r="G37" s="278"/>
      <c r="H37" s="352"/>
      <c r="I37" s="278"/>
      <c r="J37" s="352"/>
      <c r="K37" s="354"/>
      <c r="L37" s="352"/>
      <c r="M37" s="278"/>
      <c r="N37" s="352"/>
      <c r="O37" s="395">
        <f t="shared" si="3"/>
        <v>0</v>
      </c>
      <c r="P37" s="394">
        <f t="shared" si="4"/>
        <v>0</v>
      </c>
      <c r="Q37" s="278"/>
      <c r="R37" s="278"/>
      <c r="S37" s="278"/>
      <c r="T37" s="278"/>
      <c r="U37" s="278"/>
    </row>
    <row r="38" spans="1:21" ht="15.75">
      <c r="A38" s="766"/>
      <c r="B38" s="764" t="s">
        <v>1436</v>
      </c>
      <c r="C38" s="362"/>
      <c r="D38" s="277"/>
      <c r="E38" s="277"/>
      <c r="F38" s="278"/>
      <c r="G38" s="278"/>
      <c r="H38" s="352"/>
      <c r="I38" s="278"/>
      <c r="J38" s="352"/>
      <c r="K38" s="354"/>
      <c r="L38" s="352"/>
      <c r="M38" s="278"/>
      <c r="N38" s="352"/>
      <c r="O38" s="395">
        <f t="shared" si="3"/>
        <v>0</v>
      </c>
      <c r="P38" s="394">
        <f t="shared" si="4"/>
        <v>0</v>
      </c>
      <c r="Q38" s="278"/>
      <c r="R38" s="278"/>
      <c r="S38" s="278"/>
      <c r="T38" s="278"/>
      <c r="U38" s="278"/>
    </row>
    <row r="39" spans="1:21" ht="15.75">
      <c r="A39" s="766"/>
      <c r="B39" s="764"/>
      <c r="C39" s="362"/>
      <c r="D39" s="277"/>
      <c r="E39" s="277"/>
      <c r="F39" s="278"/>
      <c r="G39" s="278"/>
      <c r="H39" s="352"/>
      <c r="I39" s="278"/>
      <c r="J39" s="352"/>
      <c r="K39" s="354"/>
      <c r="L39" s="352"/>
      <c r="M39" s="278"/>
      <c r="N39" s="352"/>
      <c r="O39" s="395">
        <f t="shared" si="3"/>
        <v>0</v>
      </c>
      <c r="P39" s="394">
        <f t="shared" si="4"/>
        <v>0</v>
      </c>
      <c r="Q39" s="278"/>
      <c r="R39" s="278"/>
      <c r="S39" s="278"/>
      <c r="T39" s="278"/>
      <c r="U39" s="278"/>
    </row>
    <row r="40" spans="1:21" ht="15.75">
      <c r="A40" s="766"/>
      <c r="B40" s="764"/>
      <c r="C40" s="362"/>
      <c r="D40" s="277"/>
      <c r="E40" s="277"/>
      <c r="F40" s="278"/>
      <c r="G40" s="278"/>
      <c r="H40" s="352"/>
      <c r="I40" s="278"/>
      <c r="J40" s="352"/>
      <c r="K40" s="354"/>
      <c r="L40" s="352"/>
      <c r="M40" s="278"/>
      <c r="N40" s="352"/>
      <c r="O40" s="395">
        <f t="shared" si="3"/>
        <v>0</v>
      </c>
      <c r="P40" s="394">
        <f t="shared" si="4"/>
        <v>0</v>
      </c>
      <c r="Q40" s="278"/>
      <c r="R40" s="278"/>
      <c r="S40" s="278"/>
      <c r="T40" s="278"/>
      <c r="U40" s="278"/>
    </row>
    <row r="41" spans="1:21" ht="15.75">
      <c r="A41" s="766"/>
      <c r="B41" s="764"/>
      <c r="C41" s="362"/>
      <c r="D41" s="277"/>
      <c r="E41" s="277"/>
      <c r="F41" s="278"/>
      <c r="G41" s="278"/>
      <c r="H41" s="352"/>
      <c r="I41" s="278"/>
      <c r="J41" s="352"/>
      <c r="K41" s="354"/>
      <c r="L41" s="352"/>
      <c r="M41" s="278"/>
      <c r="N41" s="352"/>
      <c r="O41" s="395">
        <f t="shared" si="3"/>
        <v>0</v>
      </c>
      <c r="P41" s="394">
        <f t="shared" si="4"/>
        <v>0</v>
      </c>
      <c r="Q41" s="278"/>
      <c r="R41" s="278"/>
      <c r="S41" s="278"/>
      <c r="T41" s="278"/>
      <c r="U41" s="278"/>
    </row>
    <row r="42" spans="1:21" ht="15.75">
      <c r="A42" s="766"/>
      <c r="B42" s="764"/>
      <c r="C42" s="362"/>
      <c r="D42" s="277"/>
      <c r="E42" s="277"/>
      <c r="F42" s="278"/>
      <c r="G42" s="278"/>
      <c r="H42" s="352"/>
      <c r="I42" s="278"/>
      <c r="J42" s="352"/>
      <c r="K42" s="354"/>
      <c r="L42" s="352"/>
      <c r="M42" s="278"/>
      <c r="N42" s="352"/>
      <c r="O42" s="395">
        <f t="shared" si="3"/>
        <v>0</v>
      </c>
      <c r="P42" s="394">
        <f t="shared" si="4"/>
        <v>0</v>
      </c>
      <c r="Q42" s="278"/>
      <c r="R42" s="278"/>
      <c r="S42" s="278"/>
      <c r="T42" s="278"/>
      <c r="U42" s="278"/>
    </row>
    <row r="43" spans="1:21" ht="15.75">
      <c r="A43" s="289"/>
      <c r="B43" s="290"/>
      <c r="C43" s="289" t="s">
        <v>1440</v>
      </c>
      <c r="D43" s="290"/>
      <c r="E43" s="290"/>
      <c r="F43" s="291"/>
      <c r="G43" s="279">
        <f t="shared" ref="G43:P43" si="5">SUM(G8:G42)</f>
        <v>0</v>
      </c>
      <c r="H43" s="280">
        <f t="shared" si="5"/>
        <v>0</v>
      </c>
      <c r="I43" s="279">
        <f t="shared" si="5"/>
        <v>0</v>
      </c>
      <c r="J43" s="280">
        <f t="shared" si="5"/>
        <v>0</v>
      </c>
      <c r="K43" s="279">
        <f t="shared" si="5"/>
        <v>0</v>
      </c>
      <c r="L43" s="280">
        <f t="shared" si="5"/>
        <v>0</v>
      </c>
      <c r="M43" s="279">
        <f t="shared" si="5"/>
        <v>0</v>
      </c>
      <c r="N43" s="280">
        <f t="shared" si="5"/>
        <v>0</v>
      </c>
      <c r="O43" s="280">
        <f t="shared" si="5"/>
        <v>0</v>
      </c>
      <c r="P43" s="280">
        <f t="shared" si="5"/>
        <v>0</v>
      </c>
      <c r="Q43" s="261"/>
      <c r="R43" s="261"/>
      <c r="S43" s="261"/>
      <c r="T43" s="261"/>
      <c r="U43" s="261"/>
    </row>
    <row r="49" spans="8:16">
      <c r="H49" s="359"/>
      <c r="J49" s="359"/>
      <c r="L49" s="359"/>
      <c r="N49" s="359"/>
      <c r="P49" s="359"/>
    </row>
    <row r="50" spans="8:16">
      <c r="H50" s="359"/>
      <c r="J50" s="359"/>
      <c r="L50" s="359"/>
      <c r="N50" s="359"/>
      <c r="P50" s="359"/>
    </row>
    <row r="51" spans="8:16">
      <c r="H51" s="359"/>
      <c r="J51" s="359"/>
      <c r="L51" s="359"/>
      <c r="N51" s="359"/>
      <c r="P51" s="359"/>
    </row>
    <row r="52" spans="8:16">
      <c r="H52" s="359"/>
      <c r="J52" s="359"/>
      <c r="L52" s="359"/>
      <c r="N52" s="359"/>
      <c r="P52" s="359"/>
    </row>
    <row r="53" spans="8:16">
      <c r="H53" s="359"/>
      <c r="J53" s="359"/>
      <c r="L53" s="359"/>
      <c r="N53" s="359"/>
      <c r="P53" s="359"/>
    </row>
    <row r="54" spans="8:16">
      <c r="H54" s="359"/>
      <c r="J54" s="359"/>
      <c r="L54" s="359"/>
      <c r="N54" s="359"/>
      <c r="P54" s="359"/>
    </row>
    <row r="55" spans="8:16">
      <c r="H55" s="359"/>
      <c r="J55" s="359"/>
      <c r="L55" s="359"/>
      <c r="N55" s="359"/>
      <c r="P55" s="359"/>
    </row>
    <row r="56" spans="8:16">
      <c r="H56" s="359"/>
      <c r="J56" s="359"/>
      <c r="L56" s="359"/>
      <c r="N56" s="359"/>
      <c r="P56" s="359"/>
    </row>
    <row r="57" spans="8:16">
      <c r="H57" s="359"/>
      <c r="J57" s="359"/>
      <c r="L57" s="359"/>
      <c r="N57" s="359"/>
      <c r="P57" s="359"/>
    </row>
    <row r="58" spans="8:16">
      <c r="H58" s="359"/>
      <c r="J58" s="359"/>
      <c r="L58" s="359"/>
      <c r="N58" s="359"/>
      <c r="P58" s="359"/>
    </row>
    <row r="59" spans="8:16">
      <c r="H59" s="359"/>
      <c r="J59" s="359"/>
      <c r="L59" s="359"/>
      <c r="N59" s="359"/>
      <c r="P59" s="359"/>
    </row>
    <row r="60" spans="8:16">
      <c r="H60" s="359"/>
      <c r="J60" s="359"/>
      <c r="L60" s="359"/>
      <c r="N60" s="359"/>
      <c r="P60" s="359"/>
    </row>
    <row r="61" spans="8:16">
      <c r="H61" s="359"/>
      <c r="J61" s="359"/>
      <c r="L61" s="359"/>
      <c r="N61" s="359"/>
      <c r="P61" s="359"/>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AT72"/>
  <sheetViews>
    <sheetView zoomScale="50" zoomScaleNormal="50" workbookViewId="0">
      <pane ySplit="7" topLeftCell="A28" activePane="bottomLeft" state="frozen"/>
      <selection activeCell="Q6" sqref="Q6"/>
      <selection pane="bottomLeft" activeCell="F37" sqref="F37"/>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2" bestFit="1" customWidth="1"/>
    <col min="18" max="18" width="31.7109375" customWidth="1"/>
    <col min="19" max="20" width="14.28515625" customWidth="1"/>
    <col min="21" max="21" width="15.7109375" customWidth="1"/>
    <col min="22" max="45" width="12.5703125" style="689"/>
  </cols>
  <sheetData>
    <row r="1" spans="1:45" s="273" customFormat="1" ht="18.75">
      <c r="G1" s="276" t="s">
        <v>1402</v>
      </c>
      <c r="L1" s="276"/>
      <c r="M1" s="276"/>
      <c r="N1" s="276"/>
      <c r="O1" s="276"/>
      <c r="P1" s="276"/>
      <c r="Q1" s="276"/>
      <c r="R1" s="276"/>
      <c r="S1" s="276"/>
      <c r="T1" s="276"/>
      <c r="U1" s="276"/>
      <c r="V1" s="643"/>
      <c r="W1" s="643"/>
      <c r="X1" s="643"/>
      <c r="Y1" s="643"/>
      <c r="Z1" s="643"/>
      <c r="AA1" s="643"/>
      <c r="AB1" s="643"/>
      <c r="AC1" s="643"/>
      <c r="AD1" s="643"/>
      <c r="AE1" s="643"/>
      <c r="AF1" s="643"/>
      <c r="AG1" s="643"/>
      <c r="AH1" s="643"/>
      <c r="AI1" s="643"/>
      <c r="AJ1" s="643"/>
      <c r="AK1" s="643"/>
      <c r="AL1" s="643"/>
      <c r="AM1" s="643"/>
      <c r="AN1" s="643"/>
      <c r="AO1" s="643"/>
      <c r="AP1" s="643"/>
      <c r="AQ1" s="643"/>
      <c r="AR1" s="643"/>
      <c r="AS1" s="643"/>
    </row>
    <row r="2" spans="1:45" s="273" customFormat="1" ht="18.75">
      <c r="A2" s="316" t="s">
        <v>1352</v>
      </c>
      <c r="G2" s="276"/>
      <c r="L2" s="276"/>
      <c r="M2" s="276"/>
      <c r="N2" s="276"/>
      <c r="O2" s="276"/>
      <c r="P2" s="276"/>
      <c r="Q2" s="276"/>
      <c r="R2" s="276"/>
      <c r="S2" s="276"/>
      <c r="T2" s="276"/>
      <c r="U2" s="276"/>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row>
    <row r="3" spans="1:45" s="273" customFormat="1" ht="27.75" customHeight="1">
      <c r="A3" s="771" t="s">
        <v>1404</v>
      </c>
      <c r="B3" s="771"/>
      <c r="C3" s="771"/>
      <c r="D3" s="771"/>
      <c r="E3" s="771"/>
      <c r="F3" s="771"/>
      <c r="G3" s="771"/>
      <c r="H3" s="771"/>
      <c r="I3" s="771"/>
      <c r="J3" s="771"/>
      <c r="K3" s="771"/>
      <c r="L3" s="771"/>
      <c r="M3" s="771"/>
      <c r="N3" s="771"/>
      <c r="O3" s="771"/>
      <c r="P3" s="771"/>
      <c r="Q3" s="771"/>
      <c r="R3" s="771"/>
      <c r="S3" s="771"/>
      <c r="T3" s="771"/>
      <c r="U3" s="771"/>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row>
    <row r="4" spans="1:45" s="315" customFormat="1">
      <c r="A4" s="772" t="s">
        <v>1406</v>
      </c>
      <c r="B4" s="772"/>
      <c r="C4" s="772"/>
      <c r="D4" s="772"/>
      <c r="E4" s="772"/>
      <c r="F4" s="772"/>
      <c r="G4" s="772"/>
      <c r="H4" s="772"/>
      <c r="I4" s="772"/>
      <c r="J4" s="772"/>
      <c r="K4" s="772"/>
      <c r="L4" s="772"/>
      <c r="M4" s="772"/>
      <c r="N4" s="772"/>
      <c r="O4" s="772"/>
      <c r="P4" s="772"/>
      <c r="Q4" s="772"/>
      <c r="R4" s="772"/>
      <c r="S4" s="772"/>
      <c r="T4" s="772"/>
      <c r="U4" s="772"/>
      <c r="V4" s="686"/>
      <c r="W4" s="686"/>
      <c r="X4" s="686"/>
      <c r="Y4" s="686"/>
      <c r="Z4" s="686"/>
      <c r="AA4" s="686"/>
      <c r="AB4" s="686"/>
      <c r="AC4" s="686"/>
      <c r="AD4" s="686"/>
      <c r="AE4" s="686"/>
      <c r="AF4" s="686"/>
      <c r="AG4" s="686"/>
      <c r="AH4" s="686"/>
      <c r="AI4" s="686"/>
      <c r="AJ4" s="686"/>
      <c r="AK4" s="686"/>
      <c r="AL4" s="686"/>
      <c r="AM4" s="686"/>
      <c r="AN4" s="686"/>
      <c r="AO4" s="686"/>
      <c r="AP4" s="686"/>
      <c r="AQ4" s="686"/>
      <c r="AR4" s="686"/>
      <c r="AS4" s="686"/>
    </row>
    <row r="5" spans="1:45" s="66" customFormat="1" ht="23.25" customHeight="1">
      <c r="A5" s="732" t="s">
        <v>97</v>
      </c>
      <c r="B5" s="731" t="s">
        <v>111</v>
      </c>
      <c r="C5" s="734" t="s">
        <v>86</v>
      </c>
      <c r="D5" s="734" t="s">
        <v>87</v>
      </c>
      <c r="E5" s="734" t="s">
        <v>392</v>
      </c>
      <c r="F5" s="734" t="s">
        <v>88</v>
      </c>
      <c r="G5" s="737" t="s">
        <v>100</v>
      </c>
      <c r="H5" s="743"/>
      <c r="I5" s="743"/>
      <c r="J5" s="743"/>
      <c r="K5" s="743"/>
      <c r="L5" s="743"/>
      <c r="M5" s="743"/>
      <c r="N5" s="738"/>
      <c r="O5" s="739" t="s">
        <v>101</v>
      </c>
      <c r="P5" s="740"/>
      <c r="Q5" s="731" t="s">
        <v>102</v>
      </c>
      <c r="R5" s="731" t="s">
        <v>103</v>
      </c>
      <c r="S5" s="731" t="s">
        <v>110</v>
      </c>
      <c r="T5" s="731" t="s">
        <v>109</v>
      </c>
      <c r="U5" s="768" t="s">
        <v>89</v>
      </c>
      <c r="V5" s="687"/>
      <c r="W5" s="687"/>
      <c r="X5" s="687"/>
      <c r="Y5" s="687"/>
      <c r="Z5" s="687"/>
      <c r="AA5" s="687"/>
      <c r="AB5" s="687"/>
      <c r="AC5" s="687"/>
      <c r="AD5" s="687"/>
      <c r="AE5" s="687"/>
      <c r="AF5" s="687"/>
      <c r="AG5" s="687"/>
      <c r="AH5" s="687"/>
      <c r="AI5" s="687"/>
      <c r="AJ5" s="687"/>
      <c r="AK5" s="687"/>
      <c r="AL5" s="687"/>
      <c r="AM5" s="687"/>
      <c r="AN5" s="687"/>
      <c r="AO5" s="687"/>
      <c r="AP5" s="687"/>
      <c r="AQ5" s="687"/>
      <c r="AR5" s="687"/>
      <c r="AS5" s="687"/>
    </row>
    <row r="6" spans="1:45" s="66" customFormat="1" ht="15" customHeight="1">
      <c r="A6" s="732"/>
      <c r="B6" s="732"/>
      <c r="C6" s="735"/>
      <c r="D6" s="735"/>
      <c r="E6" s="735"/>
      <c r="F6" s="735"/>
      <c r="G6" s="737" t="s">
        <v>104</v>
      </c>
      <c r="H6" s="738"/>
      <c r="I6" s="737" t="s">
        <v>105</v>
      </c>
      <c r="J6" s="738"/>
      <c r="K6" s="737" t="s">
        <v>106</v>
      </c>
      <c r="L6" s="738"/>
      <c r="M6" s="737" t="s">
        <v>107</v>
      </c>
      <c r="N6" s="738"/>
      <c r="O6" s="741"/>
      <c r="P6" s="742"/>
      <c r="Q6" s="732"/>
      <c r="R6" s="732"/>
      <c r="S6" s="732"/>
      <c r="T6" s="732"/>
      <c r="U6" s="769"/>
      <c r="V6" s="687"/>
      <c r="W6" s="687"/>
      <c r="X6" s="687"/>
      <c r="Y6" s="687"/>
      <c r="Z6" s="687"/>
      <c r="AA6" s="687"/>
      <c r="AB6" s="687"/>
      <c r="AC6" s="687"/>
      <c r="AD6" s="687"/>
      <c r="AE6" s="687"/>
      <c r="AF6" s="687"/>
      <c r="AG6" s="687"/>
      <c r="AH6" s="687"/>
      <c r="AI6" s="687"/>
      <c r="AJ6" s="687"/>
      <c r="AK6" s="687"/>
      <c r="AL6" s="687"/>
      <c r="AM6" s="687"/>
      <c r="AN6" s="687"/>
      <c r="AO6" s="687"/>
      <c r="AP6" s="687"/>
      <c r="AQ6" s="687"/>
      <c r="AR6" s="687"/>
      <c r="AS6" s="687"/>
    </row>
    <row r="7" spans="1:45" s="67" customFormat="1" ht="24" customHeight="1">
      <c r="A7" s="733"/>
      <c r="B7" s="733"/>
      <c r="C7" s="736"/>
      <c r="D7" s="736"/>
      <c r="E7" s="736"/>
      <c r="F7" s="736"/>
      <c r="G7" s="433" t="s">
        <v>108</v>
      </c>
      <c r="H7" s="433" t="s">
        <v>12</v>
      </c>
      <c r="I7" s="433" t="s">
        <v>108</v>
      </c>
      <c r="J7" s="433" t="s">
        <v>12</v>
      </c>
      <c r="K7" s="433" t="s">
        <v>108</v>
      </c>
      <c r="L7" s="433" t="s">
        <v>12</v>
      </c>
      <c r="M7" s="433" t="s">
        <v>108</v>
      </c>
      <c r="N7" s="433" t="s">
        <v>12</v>
      </c>
      <c r="O7" s="433" t="s">
        <v>108</v>
      </c>
      <c r="P7" s="433" t="s">
        <v>12</v>
      </c>
      <c r="Q7" s="733"/>
      <c r="R7" s="733"/>
      <c r="S7" s="733"/>
      <c r="T7" s="733"/>
      <c r="U7" s="770"/>
      <c r="V7" s="688"/>
      <c r="W7" s="688"/>
      <c r="X7" s="688"/>
      <c r="Y7" s="688"/>
      <c r="Z7" s="688"/>
      <c r="AA7" s="688"/>
      <c r="AB7" s="688"/>
      <c r="AC7" s="688"/>
      <c r="AD7" s="688"/>
      <c r="AE7" s="688"/>
      <c r="AF7" s="688"/>
      <c r="AG7" s="688"/>
      <c r="AH7" s="688"/>
      <c r="AI7" s="688"/>
      <c r="AJ7" s="688"/>
      <c r="AK7" s="688"/>
      <c r="AL7" s="688"/>
      <c r="AM7" s="688"/>
      <c r="AN7" s="688"/>
      <c r="AO7" s="688"/>
      <c r="AP7" s="688"/>
      <c r="AQ7" s="688"/>
      <c r="AR7" s="688"/>
      <c r="AS7" s="688"/>
    </row>
    <row r="8" spans="1:45" s="258" customFormat="1" ht="15.75">
      <c r="A8" s="434"/>
      <c r="B8" s="435"/>
      <c r="C8" s="436"/>
      <c r="D8" s="436"/>
      <c r="E8" s="437"/>
      <c r="F8" s="436"/>
      <c r="G8" s="438"/>
      <c r="H8" s="438"/>
      <c r="I8" s="438"/>
      <c r="J8" s="438"/>
      <c r="K8" s="438"/>
      <c r="L8" s="438"/>
      <c r="M8" s="438"/>
      <c r="N8" s="438"/>
      <c r="O8" s="438"/>
      <c r="P8" s="438"/>
      <c r="Q8" s="439"/>
      <c r="R8" s="439"/>
      <c r="S8" s="439"/>
      <c r="T8" s="439"/>
      <c r="U8" s="678"/>
      <c r="V8" s="639"/>
      <c r="W8" s="639"/>
      <c r="X8" s="639"/>
      <c r="Y8" s="639"/>
      <c r="Z8" s="639"/>
      <c r="AA8" s="639"/>
      <c r="AB8" s="639"/>
      <c r="AC8" s="639"/>
      <c r="AD8" s="639"/>
      <c r="AE8" s="639"/>
      <c r="AF8" s="639"/>
      <c r="AG8" s="639"/>
      <c r="AH8" s="639"/>
      <c r="AI8" s="639"/>
      <c r="AJ8" s="639"/>
      <c r="AK8" s="639"/>
      <c r="AL8" s="639"/>
      <c r="AM8" s="639"/>
      <c r="AN8" s="639"/>
      <c r="AO8" s="639"/>
      <c r="AP8" s="639"/>
      <c r="AQ8" s="639"/>
      <c r="AR8" s="639"/>
      <c r="AS8" s="639"/>
    </row>
    <row r="9" spans="1:45" ht="15.75" hidden="1" customHeight="1">
      <c r="A9" s="803"/>
      <c r="B9" s="803" t="s">
        <v>1513</v>
      </c>
      <c r="C9" s="274"/>
      <c r="D9" s="274"/>
      <c r="E9" s="274"/>
      <c r="F9" s="274"/>
      <c r="G9" s="356"/>
      <c r="H9" s="357"/>
      <c r="I9" s="274"/>
      <c r="J9" s="357"/>
      <c r="K9" s="274"/>
      <c r="L9" s="357"/>
      <c r="M9" s="274"/>
      <c r="N9" s="357"/>
      <c r="O9" s="393">
        <f t="shared" ref="O9:P9" si="0">G9+I9+K9+M9</f>
        <v>0</v>
      </c>
      <c r="P9" s="394">
        <f t="shared" si="0"/>
        <v>0</v>
      </c>
      <c r="Q9" s="274"/>
      <c r="R9" s="274"/>
      <c r="S9" s="274"/>
      <c r="T9" s="274"/>
      <c r="U9" s="679"/>
    </row>
    <row r="10" spans="1:45" ht="189">
      <c r="A10" s="804"/>
      <c r="B10" s="752" t="s">
        <v>1514</v>
      </c>
      <c r="C10" s="274" t="s">
        <v>1510</v>
      </c>
      <c r="D10" s="834"/>
      <c r="E10" s="274" t="s">
        <v>1517</v>
      </c>
      <c r="F10" s="274" t="s">
        <v>1508</v>
      </c>
      <c r="G10" s="356">
        <v>0.2</v>
      </c>
      <c r="H10" s="357">
        <f>+G10*'7. Infraestructura'!D10</f>
        <v>367277.41399999999</v>
      </c>
      <c r="I10" s="356">
        <v>0.3</v>
      </c>
      <c r="J10" s="357">
        <f>+I10*'7. Infraestructura'!D10</f>
        <v>550916.12099999993</v>
      </c>
      <c r="K10" s="356">
        <v>0.3</v>
      </c>
      <c r="L10" s="357">
        <f>+K10*'7. Infraestructura'!D10</f>
        <v>550916.12099999993</v>
      </c>
      <c r="M10" s="356">
        <v>0.2</v>
      </c>
      <c r="N10" s="357">
        <f>+M10*'7. Infraestructura'!D10</f>
        <v>367277.41399999999</v>
      </c>
      <c r="O10" s="393">
        <f t="shared" ref="O10:O36" si="1">G10+I10+K10+M10</f>
        <v>1</v>
      </c>
      <c r="P10" s="394">
        <f t="shared" ref="P10:P36" si="2">H10+J10+L10+N10</f>
        <v>1836387.0699999998</v>
      </c>
      <c r="Q10" s="274" t="s">
        <v>1512</v>
      </c>
      <c r="R10" s="274" t="s">
        <v>1509</v>
      </c>
      <c r="S10" s="274" t="s">
        <v>2006</v>
      </c>
      <c r="T10" s="274" t="s">
        <v>1511</v>
      </c>
      <c r="U10" s="679" t="s">
        <v>2007</v>
      </c>
    </row>
    <row r="11" spans="1:45" s="359" customFormat="1" ht="189">
      <c r="A11" s="804"/>
      <c r="B11" s="753"/>
      <c r="C11" s="834"/>
      <c r="D11" s="834"/>
      <c r="E11" s="274" t="s">
        <v>2005</v>
      </c>
      <c r="F11" s="500" t="s">
        <v>2004</v>
      </c>
      <c r="G11" s="356"/>
      <c r="H11" s="357"/>
      <c r="I11" s="274"/>
      <c r="J11" s="357"/>
      <c r="K11" s="356">
        <v>1</v>
      </c>
      <c r="L11" s="357"/>
      <c r="M11" s="274"/>
      <c r="N11" s="357"/>
      <c r="O11" s="393">
        <f t="shared" si="1"/>
        <v>1</v>
      </c>
      <c r="P11" s="394">
        <f t="shared" si="2"/>
        <v>0</v>
      </c>
      <c r="Q11" s="274" t="s">
        <v>1512</v>
      </c>
      <c r="R11" s="274" t="s">
        <v>2008</v>
      </c>
      <c r="S11" s="274" t="s">
        <v>2006</v>
      </c>
      <c r="T11" s="274" t="s">
        <v>1511</v>
      </c>
      <c r="U11" s="679" t="s">
        <v>2007</v>
      </c>
      <c r="V11" s="689"/>
      <c r="W11" s="689"/>
      <c r="X11" s="689"/>
      <c r="Y11" s="689"/>
      <c r="Z11" s="689"/>
      <c r="AA11" s="689"/>
      <c r="AB11" s="689"/>
      <c r="AC11" s="689"/>
      <c r="AD11" s="689"/>
      <c r="AE11" s="689"/>
      <c r="AF11" s="689"/>
      <c r="AG11" s="689"/>
      <c r="AH11" s="689"/>
      <c r="AI11" s="689"/>
      <c r="AJ11" s="689"/>
      <c r="AK11" s="689"/>
      <c r="AL11" s="689"/>
      <c r="AM11" s="689"/>
      <c r="AN11" s="689"/>
      <c r="AO11" s="689"/>
      <c r="AP11" s="689"/>
      <c r="AQ11" s="689"/>
      <c r="AR11" s="689"/>
      <c r="AS11" s="689"/>
    </row>
    <row r="12" spans="1:45" s="359" customFormat="1" ht="102">
      <c r="A12" s="804"/>
      <c r="B12" s="752" t="s">
        <v>1515</v>
      </c>
      <c r="C12" s="274" t="s">
        <v>1539</v>
      </c>
      <c r="D12" s="274" t="s">
        <v>1540</v>
      </c>
      <c r="E12" s="274" t="s">
        <v>1541</v>
      </c>
      <c r="F12" s="493" t="s">
        <v>1542</v>
      </c>
      <c r="G12" s="356"/>
      <c r="H12" s="357"/>
      <c r="I12" s="356">
        <v>1</v>
      </c>
      <c r="J12" s="357">
        <f>+'4. EQUIPO TECNOLÓGICOS'!D10+'3. EQUIPO DE OFICINA'!D10</f>
        <v>170000</v>
      </c>
      <c r="K12" s="274"/>
      <c r="L12" s="357"/>
      <c r="M12" s="274"/>
      <c r="N12" s="357"/>
      <c r="O12" s="393">
        <f t="shared" si="1"/>
        <v>1</v>
      </c>
      <c r="P12" s="394">
        <f t="shared" si="2"/>
        <v>170000</v>
      </c>
      <c r="Q12" s="535" t="s">
        <v>1793</v>
      </c>
      <c r="R12" s="492" t="s">
        <v>1543</v>
      </c>
      <c r="S12" s="499" t="s">
        <v>1591</v>
      </c>
      <c r="T12" s="274" t="s">
        <v>1589</v>
      </c>
      <c r="U12" s="680" t="s">
        <v>1590</v>
      </c>
      <c r="V12" s="689"/>
      <c r="W12" s="689"/>
      <c r="X12" s="689"/>
      <c r="Y12" s="689"/>
      <c r="Z12" s="689"/>
      <c r="AA12" s="689"/>
      <c r="AB12" s="689"/>
      <c r="AC12" s="689"/>
      <c r="AD12" s="689"/>
      <c r="AE12" s="689"/>
      <c r="AF12" s="689"/>
      <c r="AG12" s="689"/>
      <c r="AH12" s="689"/>
      <c r="AI12" s="689"/>
      <c r="AJ12" s="689"/>
      <c r="AK12" s="689"/>
      <c r="AL12" s="689"/>
      <c r="AM12" s="689"/>
      <c r="AN12" s="689"/>
      <c r="AO12" s="689"/>
      <c r="AP12" s="689"/>
      <c r="AQ12" s="689"/>
      <c r="AR12" s="689"/>
      <c r="AS12" s="689"/>
    </row>
    <row r="13" spans="1:45" s="359" customFormat="1" ht="126">
      <c r="A13" s="804"/>
      <c r="B13" s="753"/>
      <c r="C13" s="274" t="s">
        <v>1561</v>
      </c>
      <c r="D13" s="274" t="s">
        <v>1562</v>
      </c>
      <c r="E13" s="274" t="s">
        <v>1563</v>
      </c>
      <c r="F13" s="493" t="s">
        <v>1567</v>
      </c>
      <c r="G13" s="356"/>
      <c r="H13" s="357"/>
      <c r="I13" s="356"/>
      <c r="J13" s="357"/>
      <c r="K13" s="356">
        <v>1</v>
      </c>
      <c r="L13" s="357">
        <f>+'5. ACTIVIDADES ESPECIALES'!D43</f>
        <v>40200</v>
      </c>
      <c r="M13" s="274"/>
      <c r="N13" s="357"/>
      <c r="O13" s="393">
        <f t="shared" si="1"/>
        <v>1</v>
      </c>
      <c r="P13" s="394">
        <f t="shared" si="2"/>
        <v>40200</v>
      </c>
      <c r="Q13" s="535" t="s">
        <v>1793</v>
      </c>
      <c r="R13" s="492" t="s">
        <v>1585</v>
      </c>
      <c r="S13" s="274" t="s">
        <v>1587</v>
      </c>
      <c r="T13" s="274" t="s">
        <v>1586</v>
      </c>
      <c r="U13" s="679" t="s">
        <v>1588</v>
      </c>
      <c r="V13" s="689"/>
      <c r="W13" s="689"/>
      <c r="X13" s="689"/>
      <c r="Y13" s="689"/>
      <c r="Z13" s="689"/>
      <c r="AA13" s="689"/>
      <c r="AB13" s="689"/>
      <c r="AC13" s="689"/>
      <c r="AD13" s="689"/>
      <c r="AE13" s="689"/>
      <c r="AF13" s="689"/>
      <c r="AG13" s="689"/>
      <c r="AH13" s="689"/>
      <c r="AI13" s="689"/>
      <c r="AJ13" s="689"/>
      <c r="AK13" s="689"/>
      <c r="AL13" s="689"/>
      <c r="AM13" s="689"/>
      <c r="AN13" s="689"/>
      <c r="AO13" s="689"/>
      <c r="AP13" s="689"/>
      <c r="AQ13" s="689"/>
      <c r="AR13" s="689"/>
      <c r="AS13" s="689"/>
    </row>
    <row r="14" spans="1:45" s="359" customFormat="1" ht="126">
      <c r="A14" s="804"/>
      <c r="B14" s="753"/>
      <c r="C14" s="274" t="s">
        <v>1539</v>
      </c>
      <c r="D14" s="274" t="s">
        <v>1540</v>
      </c>
      <c r="E14" s="274" t="s">
        <v>1630</v>
      </c>
      <c r="F14" s="500" t="s">
        <v>1629</v>
      </c>
      <c r="G14" s="356">
        <v>1</v>
      </c>
      <c r="H14" s="357">
        <f>+'3. EQUIPO DE OFICINA'!D24</f>
        <v>6000</v>
      </c>
      <c r="I14" s="274"/>
      <c r="J14" s="357"/>
      <c r="K14" s="274"/>
      <c r="L14" s="357"/>
      <c r="M14" s="274"/>
      <c r="N14" s="357"/>
      <c r="O14" s="393">
        <f t="shared" si="1"/>
        <v>1</v>
      </c>
      <c r="P14" s="394">
        <f t="shared" si="2"/>
        <v>6000</v>
      </c>
      <c r="Q14" s="535" t="s">
        <v>1793</v>
      </c>
      <c r="R14" s="536" t="s">
        <v>1796</v>
      </c>
      <c r="S14" s="535" t="s">
        <v>1794</v>
      </c>
      <c r="T14" s="499" t="s">
        <v>1511</v>
      </c>
      <c r="U14" s="679" t="s">
        <v>1795</v>
      </c>
      <c r="V14" s="689"/>
      <c r="W14" s="689"/>
      <c r="X14" s="689"/>
      <c r="Y14" s="689"/>
      <c r="Z14" s="689"/>
      <c r="AA14" s="689"/>
      <c r="AB14" s="689"/>
      <c r="AC14" s="689"/>
      <c r="AD14" s="689"/>
      <c r="AE14" s="689"/>
      <c r="AF14" s="689"/>
      <c r="AG14" s="689"/>
      <c r="AH14" s="689"/>
      <c r="AI14" s="689"/>
      <c r="AJ14" s="689"/>
      <c r="AK14" s="689"/>
      <c r="AL14" s="689"/>
      <c r="AM14" s="689"/>
      <c r="AN14" s="689"/>
      <c r="AO14" s="689"/>
      <c r="AP14" s="689"/>
      <c r="AQ14" s="689"/>
      <c r="AR14" s="689"/>
      <c r="AS14" s="689"/>
    </row>
    <row r="15" spans="1:45" s="359" customFormat="1" ht="126">
      <c r="A15" s="804"/>
      <c r="B15" s="753"/>
      <c r="C15" s="274" t="s">
        <v>1636</v>
      </c>
      <c r="D15" s="274" t="s">
        <v>1540</v>
      </c>
      <c r="E15" s="274" t="s">
        <v>1632</v>
      </c>
      <c r="F15" s="500" t="s">
        <v>1631</v>
      </c>
      <c r="G15" s="356"/>
      <c r="H15" s="357"/>
      <c r="I15" s="356">
        <v>1</v>
      </c>
      <c r="J15" s="357">
        <f>+'5. ACTIVIDADES ESPECIALES'!D88</f>
        <v>345000</v>
      </c>
      <c r="K15" s="274"/>
      <c r="L15" s="357"/>
      <c r="M15" s="274"/>
      <c r="N15" s="357"/>
      <c r="O15" s="393">
        <f t="shared" si="1"/>
        <v>1</v>
      </c>
      <c r="P15" s="394">
        <f t="shared" si="2"/>
        <v>345000</v>
      </c>
      <c r="Q15" s="535" t="s">
        <v>1793</v>
      </c>
      <c r="R15" s="508" t="s">
        <v>1633</v>
      </c>
      <c r="S15" s="496" t="s">
        <v>1635</v>
      </c>
      <c r="T15" s="499" t="s">
        <v>1634</v>
      </c>
      <c r="U15" s="679" t="s">
        <v>1795</v>
      </c>
      <c r="V15" s="689"/>
      <c r="W15" s="689"/>
      <c r="X15" s="689"/>
      <c r="Y15" s="689"/>
      <c r="Z15" s="689"/>
      <c r="AA15" s="689"/>
      <c r="AB15" s="689"/>
      <c r="AC15" s="689"/>
      <c r="AD15" s="689"/>
      <c r="AE15" s="689"/>
      <c r="AF15" s="689"/>
      <c r="AG15" s="689"/>
      <c r="AH15" s="689"/>
      <c r="AI15" s="689"/>
      <c r="AJ15" s="689"/>
      <c r="AK15" s="689"/>
      <c r="AL15" s="689"/>
      <c r="AM15" s="689"/>
      <c r="AN15" s="689"/>
      <c r="AO15" s="689"/>
      <c r="AP15" s="689"/>
      <c r="AQ15" s="689"/>
      <c r="AR15" s="689"/>
      <c r="AS15" s="689"/>
    </row>
    <row r="16" spans="1:45" s="359" customFormat="1" ht="126">
      <c r="A16" s="804"/>
      <c r="B16" s="753"/>
      <c r="C16" s="834"/>
      <c r="D16" s="834"/>
      <c r="E16" s="274" t="s">
        <v>1792</v>
      </c>
      <c r="F16" s="500" t="s">
        <v>1791</v>
      </c>
      <c r="G16" s="356"/>
      <c r="H16" s="357"/>
      <c r="I16" s="356">
        <v>1</v>
      </c>
      <c r="J16" s="357">
        <f>+'3. EQUIPO DE OFICINA'!D34+'4. EQUIPO TECNOLÓGICOS'!D23</f>
        <v>78000</v>
      </c>
      <c r="K16" s="274"/>
      <c r="L16" s="357"/>
      <c r="M16" s="274"/>
      <c r="N16" s="357"/>
      <c r="O16" s="393">
        <f t="shared" si="1"/>
        <v>1</v>
      </c>
      <c r="P16" s="394">
        <f t="shared" si="2"/>
        <v>78000</v>
      </c>
      <c r="Q16" s="535" t="s">
        <v>1793</v>
      </c>
      <c r="R16" s="536" t="s">
        <v>1797</v>
      </c>
      <c r="S16" s="535" t="s">
        <v>1794</v>
      </c>
      <c r="T16" s="499" t="s">
        <v>1511</v>
      </c>
      <c r="U16" s="679" t="s">
        <v>1795</v>
      </c>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c r="AR16" s="689"/>
      <c r="AS16" s="689"/>
    </row>
    <row r="17" spans="1:46" ht="141.75">
      <c r="A17" s="805"/>
      <c r="B17" s="754"/>
      <c r="C17" s="274" t="s">
        <v>1561</v>
      </c>
      <c r="D17" s="274" t="s">
        <v>1562</v>
      </c>
      <c r="E17" s="274" t="s">
        <v>1799</v>
      </c>
      <c r="F17" s="493" t="s">
        <v>1798</v>
      </c>
      <c r="G17" s="274"/>
      <c r="H17" s="357"/>
      <c r="I17" s="274"/>
      <c r="J17" s="357"/>
      <c r="K17" s="356">
        <v>1</v>
      </c>
      <c r="L17" s="357">
        <f>+'5. ACTIVIDADES ESPECIALES'!D159</f>
        <v>80250</v>
      </c>
      <c r="M17" s="274"/>
      <c r="N17" s="357"/>
      <c r="O17" s="393">
        <f t="shared" si="1"/>
        <v>1</v>
      </c>
      <c r="P17" s="394">
        <f t="shared" si="2"/>
        <v>80250</v>
      </c>
      <c r="Q17" s="535" t="s">
        <v>1793</v>
      </c>
      <c r="R17" s="492" t="s">
        <v>1585</v>
      </c>
      <c r="S17" s="274" t="s">
        <v>1587</v>
      </c>
      <c r="T17" s="274" t="s">
        <v>1586</v>
      </c>
      <c r="U17" s="679" t="s">
        <v>1800</v>
      </c>
    </row>
    <row r="18" spans="1:46" s="457" customFormat="1" ht="141.75">
      <c r="A18" s="518"/>
      <c r="B18" s="517"/>
      <c r="C18" s="834"/>
      <c r="D18" s="834"/>
      <c r="E18" s="274" t="s">
        <v>2010</v>
      </c>
      <c r="F18" s="493" t="s">
        <v>2011</v>
      </c>
      <c r="G18" s="356"/>
      <c r="H18" s="357"/>
      <c r="I18" s="356">
        <v>1</v>
      </c>
      <c r="J18" s="357">
        <f>+'4. EQUIPO TECNOLÓGICOS'!D35</f>
        <v>52000</v>
      </c>
      <c r="K18" s="274"/>
      <c r="L18" s="357"/>
      <c r="M18" s="274"/>
      <c r="N18" s="357"/>
      <c r="O18" s="393">
        <f>G18+I18+K18+M18</f>
        <v>1</v>
      </c>
      <c r="P18" s="394">
        <f>H18+J18+L18+N18</f>
        <v>52000</v>
      </c>
      <c r="Q18" s="535" t="s">
        <v>1793</v>
      </c>
      <c r="R18" s="516" t="s">
        <v>1821</v>
      </c>
      <c r="S18" s="535" t="s">
        <v>1794</v>
      </c>
      <c r="T18" s="499" t="s">
        <v>1511</v>
      </c>
      <c r="U18" s="679" t="s">
        <v>2009</v>
      </c>
      <c r="V18" s="689"/>
      <c r="W18" s="689"/>
      <c r="X18" s="689"/>
      <c r="Y18" s="689"/>
      <c r="Z18" s="689"/>
      <c r="AA18" s="689"/>
      <c r="AB18" s="689"/>
      <c r="AC18" s="689"/>
      <c r="AD18" s="689"/>
      <c r="AE18" s="689"/>
      <c r="AF18" s="689"/>
      <c r="AG18" s="689"/>
      <c r="AH18" s="689"/>
      <c r="AI18" s="689"/>
      <c r="AJ18" s="689"/>
      <c r="AK18" s="689"/>
      <c r="AL18" s="689"/>
      <c r="AM18" s="689"/>
      <c r="AN18" s="689"/>
      <c r="AO18" s="689"/>
      <c r="AP18" s="689"/>
      <c r="AQ18" s="689"/>
      <c r="AR18" s="689"/>
      <c r="AS18" s="689"/>
    </row>
    <row r="19" spans="1:46" s="457" customFormat="1" ht="141.75">
      <c r="A19" s="518"/>
      <c r="B19" s="517"/>
      <c r="C19" s="834"/>
      <c r="D19" s="834"/>
      <c r="E19" s="274" t="s">
        <v>1822</v>
      </c>
      <c r="F19" s="493" t="s">
        <v>1823</v>
      </c>
      <c r="G19" s="356"/>
      <c r="H19" s="357"/>
      <c r="I19" s="356">
        <v>1</v>
      </c>
      <c r="J19" s="357">
        <f>+'3. EQUIPO DE OFICINA'!D47+'4. EQUIPO TECNOLÓGICOS'!D47+'5. ACTIVIDADES ESPECIALES'!D190</f>
        <v>463378</v>
      </c>
      <c r="K19" s="274"/>
      <c r="L19" s="357"/>
      <c r="M19" s="274"/>
      <c r="N19" s="357"/>
      <c r="O19" s="393">
        <f>G19+I19+K19+M19</f>
        <v>1</v>
      </c>
      <c r="P19" s="394">
        <f>H19+J19+L19+N19</f>
        <v>463378</v>
      </c>
      <c r="Q19" s="535" t="s">
        <v>1793</v>
      </c>
      <c r="R19" s="536" t="s">
        <v>1824</v>
      </c>
      <c r="S19" s="535" t="s">
        <v>1794</v>
      </c>
      <c r="T19" s="499" t="s">
        <v>1511</v>
      </c>
      <c r="U19" s="679" t="s">
        <v>1825</v>
      </c>
      <c r="V19" s="689"/>
      <c r="W19" s="689"/>
      <c r="X19" s="689"/>
      <c r="Y19" s="689"/>
      <c r="Z19" s="689"/>
      <c r="AA19" s="689"/>
      <c r="AB19" s="689"/>
      <c r="AC19" s="689"/>
      <c r="AD19" s="689"/>
      <c r="AE19" s="689"/>
      <c r="AF19" s="689"/>
      <c r="AG19" s="689"/>
      <c r="AH19" s="689"/>
      <c r="AI19" s="689"/>
      <c r="AJ19" s="689"/>
      <c r="AK19" s="689"/>
      <c r="AL19" s="689"/>
      <c r="AM19" s="689"/>
      <c r="AN19" s="689"/>
      <c r="AO19" s="689"/>
      <c r="AP19" s="689"/>
      <c r="AQ19" s="689"/>
      <c r="AR19" s="689"/>
      <c r="AS19" s="689"/>
    </row>
    <row r="20" spans="1:46" s="457" customFormat="1" ht="64.5" customHeight="1">
      <c r="A20" s="518"/>
      <c r="B20" s="517"/>
      <c r="C20" s="834"/>
      <c r="D20" s="834"/>
      <c r="E20" s="549" t="s">
        <v>1920</v>
      </c>
      <c r="F20" s="500" t="s">
        <v>1923</v>
      </c>
      <c r="G20" s="274"/>
      <c r="H20" s="357"/>
      <c r="I20" s="356">
        <v>1</v>
      </c>
      <c r="J20" s="357">
        <f>+'4. EQUIPO TECNOLÓGICOS'!D60</f>
        <v>21000</v>
      </c>
      <c r="K20" s="356"/>
      <c r="L20" s="357"/>
      <c r="M20" s="274"/>
      <c r="N20" s="357"/>
      <c r="O20" s="555">
        <f t="shared" ref="O20:P34" si="3">G20+I20+K20+M20</f>
        <v>1</v>
      </c>
      <c r="P20" s="556">
        <f t="shared" ref="P20:P34" si="4">H20+J20+L20+N20</f>
        <v>21000</v>
      </c>
      <c r="Q20" s="535" t="s">
        <v>1793</v>
      </c>
      <c r="R20" s="516" t="s">
        <v>1922</v>
      </c>
      <c r="S20" s="535" t="s">
        <v>1794</v>
      </c>
      <c r="T20" s="499" t="s">
        <v>1511</v>
      </c>
      <c r="U20" s="679" t="s">
        <v>1921</v>
      </c>
      <c r="V20" s="689"/>
      <c r="W20" s="689"/>
      <c r="X20" s="689"/>
      <c r="Y20" s="689"/>
      <c r="Z20" s="689"/>
      <c r="AA20" s="689"/>
      <c r="AB20" s="689"/>
      <c r="AC20" s="689"/>
      <c r="AD20" s="689"/>
      <c r="AE20" s="689"/>
      <c r="AF20" s="689"/>
      <c r="AG20" s="689"/>
      <c r="AH20" s="689"/>
      <c r="AI20" s="689"/>
      <c r="AJ20" s="689"/>
      <c r="AK20" s="689"/>
      <c r="AL20" s="689"/>
      <c r="AM20" s="689"/>
      <c r="AN20" s="689"/>
      <c r="AO20" s="689"/>
      <c r="AP20" s="689"/>
      <c r="AQ20" s="689"/>
      <c r="AR20" s="689"/>
      <c r="AS20" s="689"/>
    </row>
    <row r="21" spans="1:46" s="457" customFormat="1" ht="90" customHeight="1">
      <c r="A21" s="518"/>
      <c r="B21" s="517"/>
      <c r="C21" s="837"/>
      <c r="D21" s="837"/>
      <c r="E21" s="549" t="s">
        <v>1946</v>
      </c>
      <c r="F21" s="568" t="s">
        <v>1945</v>
      </c>
      <c r="G21" s="549"/>
      <c r="H21" s="550"/>
      <c r="I21" s="551">
        <v>1</v>
      </c>
      <c r="J21" s="550">
        <f>+'4. EQUIPO TECNOLÓGICOS'!D73</f>
        <v>13000</v>
      </c>
      <c r="K21" s="551"/>
      <c r="L21" s="550"/>
      <c r="M21" s="549"/>
      <c r="N21" s="550"/>
      <c r="O21" s="570">
        <f t="shared" si="3"/>
        <v>1</v>
      </c>
      <c r="P21" s="571">
        <f t="shared" si="4"/>
        <v>13000</v>
      </c>
      <c r="Q21" s="535" t="s">
        <v>1793</v>
      </c>
      <c r="R21" s="516" t="s">
        <v>1821</v>
      </c>
      <c r="S21" s="535" t="s">
        <v>1794</v>
      </c>
      <c r="T21" s="499" t="s">
        <v>1511</v>
      </c>
      <c r="U21" s="679" t="s">
        <v>1947</v>
      </c>
      <c r="V21" s="689"/>
      <c r="W21" s="689"/>
      <c r="X21" s="689"/>
      <c r="Y21" s="689"/>
      <c r="Z21" s="689"/>
      <c r="AA21" s="689"/>
      <c r="AB21" s="689"/>
      <c r="AC21" s="689"/>
      <c r="AD21" s="689"/>
      <c r="AE21" s="689"/>
      <c r="AF21" s="689"/>
      <c r="AG21" s="689"/>
      <c r="AH21" s="689"/>
      <c r="AI21" s="689"/>
      <c r="AJ21" s="689"/>
      <c r="AK21" s="689"/>
      <c r="AL21" s="689"/>
      <c r="AM21" s="689"/>
      <c r="AN21" s="689"/>
      <c r="AO21" s="689"/>
      <c r="AP21" s="689"/>
      <c r="AQ21" s="689"/>
      <c r="AR21" s="689"/>
      <c r="AS21" s="689"/>
    </row>
    <row r="22" spans="1:46" s="557" customFormat="1" ht="81" customHeight="1">
      <c r="A22" s="539"/>
      <c r="B22" s="539"/>
      <c r="C22" s="834"/>
      <c r="D22" s="834"/>
      <c r="E22" s="274" t="s">
        <v>2013</v>
      </c>
      <c r="F22" s="500" t="s">
        <v>2016</v>
      </c>
      <c r="G22" s="274"/>
      <c r="H22" s="357"/>
      <c r="I22" s="356">
        <v>1</v>
      </c>
      <c r="J22" s="357">
        <f>+'4. EQUIPO TECNOLÓGICOS'!D85+'3. EQUIPO DE OFICINA'!D60</f>
        <v>77400</v>
      </c>
      <c r="K22" s="356"/>
      <c r="L22" s="357"/>
      <c r="M22" s="274"/>
      <c r="N22" s="357"/>
      <c r="O22" s="393">
        <f t="shared" si="3"/>
        <v>1</v>
      </c>
      <c r="P22" s="394">
        <f t="shared" si="4"/>
        <v>77400</v>
      </c>
      <c r="Q22" s="535" t="s">
        <v>1793</v>
      </c>
      <c r="R22" s="536" t="s">
        <v>2014</v>
      </c>
      <c r="S22" s="535" t="s">
        <v>1794</v>
      </c>
      <c r="T22" s="499" t="s">
        <v>1511</v>
      </c>
      <c r="U22" s="679" t="s">
        <v>2015</v>
      </c>
      <c r="V22" s="689"/>
      <c r="W22" s="689"/>
      <c r="X22" s="689"/>
      <c r="Y22" s="689"/>
      <c r="Z22" s="689"/>
      <c r="AA22" s="689"/>
      <c r="AB22" s="689"/>
      <c r="AC22" s="689"/>
      <c r="AD22" s="689"/>
      <c r="AE22" s="689"/>
      <c r="AF22" s="689"/>
      <c r="AG22" s="689"/>
      <c r="AH22" s="689"/>
      <c r="AI22" s="689"/>
      <c r="AJ22" s="689"/>
      <c r="AK22" s="689"/>
      <c r="AL22" s="689"/>
      <c r="AM22" s="689"/>
      <c r="AN22" s="689"/>
      <c r="AO22" s="689"/>
      <c r="AP22" s="689"/>
      <c r="AQ22" s="689"/>
      <c r="AR22" s="689"/>
      <c r="AS22" s="689"/>
      <c r="AT22" s="685"/>
    </row>
    <row r="23" spans="1:46" s="557" customFormat="1" ht="53.25" customHeight="1">
      <c r="A23" s="539"/>
      <c r="B23" s="539"/>
      <c r="C23" s="834"/>
      <c r="D23" s="834"/>
      <c r="E23" s="274" t="s">
        <v>2017</v>
      </c>
      <c r="F23" s="568" t="s">
        <v>2012</v>
      </c>
      <c r="G23" s="274"/>
      <c r="H23" s="357"/>
      <c r="I23" s="356">
        <v>1</v>
      </c>
      <c r="J23" s="357">
        <f>+'5. ACTIVIDADES ESPECIALES'!D293</f>
        <v>462901.89999999979</v>
      </c>
      <c r="K23" s="356"/>
      <c r="L23" s="357"/>
      <c r="M23" s="274"/>
      <c r="N23" s="357"/>
      <c r="O23" s="393">
        <f t="shared" si="3"/>
        <v>1</v>
      </c>
      <c r="P23" s="394">
        <f t="shared" si="4"/>
        <v>462901.89999999979</v>
      </c>
      <c r="Q23" s="535" t="s">
        <v>1793</v>
      </c>
      <c r="R23" s="536" t="s">
        <v>2018</v>
      </c>
      <c r="S23" s="535" t="s">
        <v>1794</v>
      </c>
      <c r="T23" s="499" t="s">
        <v>1511</v>
      </c>
      <c r="U23" s="679" t="s">
        <v>2015</v>
      </c>
      <c r="V23" s="689"/>
      <c r="W23" s="689"/>
      <c r="X23" s="689"/>
      <c r="Y23" s="689"/>
      <c r="Z23" s="689"/>
      <c r="AA23" s="689"/>
      <c r="AB23" s="689"/>
      <c r="AC23" s="689"/>
      <c r="AD23" s="689"/>
      <c r="AE23" s="689"/>
      <c r="AF23" s="689"/>
      <c r="AG23" s="689"/>
      <c r="AH23" s="689"/>
      <c r="AI23" s="689"/>
      <c r="AJ23" s="689"/>
      <c r="AK23" s="689"/>
      <c r="AL23" s="689"/>
      <c r="AM23" s="689"/>
      <c r="AN23" s="689"/>
      <c r="AO23" s="689"/>
      <c r="AP23" s="689"/>
      <c r="AQ23" s="689"/>
      <c r="AR23" s="689"/>
      <c r="AS23" s="689"/>
      <c r="AT23" s="685"/>
    </row>
    <row r="24" spans="1:46" s="557" customFormat="1" ht="72" customHeight="1">
      <c r="A24" s="539"/>
      <c r="B24" s="539"/>
      <c r="C24" s="834"/>
      <c r="D24" s="834"/>
      <c r="E24" s="274" t="s">
        <v>2202</v>
      </c>
      <c r="F24" s="493" t="s">
        <v>2200</v>
      </c>
      <c r="G24" s="345"/>
      <c r="H24" s="348"/>
      <c r="I24" s="351">
        <v>0.33</v>
      </c>
      <c r="J24" s="348">
        <f>+I24*'5. ACTIVIDADES ESPECIALES'!D483</f>
        <v>1104026.6985995763</v>
      </c>
      <c r="K24" s="351">
        <v>0.33</v>
      </c>
      <c r="L24" s="348">
        <f>+K24*'5. ACTIVIDADES ESPECIALES'!D483</f>
        <v>1104026.6985995763</v>
      </c>
      <c r="M24" s="351">
        <v>0.34</v>
      </c>
      <c r="N24" s="348">
        <f>+M24*'5. ACTIVIDADES ESPECIALES'!D483</f>
        <v>1137482.0531025939</v>
      </c>
      <c r="O24" s="396">
        <f t="shared" si="3"/>
        <v>1</v>
      </c>
      <c r="P24" s="394">
        <f t="shared" si="3"/>
        <v>3345535.4503017464</v>
      </c>
      <c r="Q24" s="664" t="s">
        <v>1793</v>
      </c>
      <c r="R24" s="516" t="s">
        <v>2201</v>
      </c>
      <c r="S24" s="274" t="s">
        <v>2203</v>
      </c>
      <c r="T24" s="666" t="s">
        <v>1511</v>
      </c>
      <c r="U24" s="679"/>
      <c r="V24" s="689"/>
      <c r="W24" s="689"/>
      <c r="X24" s="689"/>
      <c r="Y24" s="689"/>
      <c r="Z24" s="689"/>
      <c r="AA24" s="689"/>
      <c r="AB24" s="689"/>
      <c r="AC24" s="689"/>
      <c r="AD24" s="689"/>
      <c r="AE24" s="689"/>
      <c r="AF24" s="689"/>
      <c r="AG24" s="689"/>
      <c r="AH24" s="689"/>
      <c r="AI24" s="689"/>
      <c r="AJ24" s="689"/>
      <c r="AK24" s="689"/>
      <c r="AL24" s="689"/>
      <c r="AM24" s="689"/>
      <c r="AN24" s="689"/>
      <c r="AO24" s="689"/>
      <c r="AP24" s="689"/>
      <c r="AQ24" s="689"/>
      <c r="AR24" s="689"/>
      <c r="AS24" s="689"/>
      <c r="AT24" s="685"/>
    </row>
    <row r="25" spans="1:46" s="557" customFormat="1" ht="65.25" customHeight="1">
      <c r="A25" s="539"/>
      <c r="B25" s="539"/>
      <c r="C25" s="834"/>
      <c r="D25" s="834"/>
      <c r="E25" s="274" t="s">
        <v>2208</v>
      </c>
      <c r="F25" s="493" t="s">
        <v>2204</v>
      </c>
      <c r="G25" s="274"/>
      <c r="H25" s="357"/>
      <c r="I25" s="274"/>
      <c r="J25" s="357"/>
      <c r="K25" s="356">
        <v>1</v>
      </c>
      <c r="L25" s="357">
        <f>+'3. EQUIPO DE OFICINA'!D72+'4. EQUIPO TECNOLÓGICOS'!D97</f>
        <v>38600</v>
      </c>
      <c r="M25" s="274"/>
      <c r="N25" s="357"/>
      <c r="O25" s="396">
        <f t="shared" ref="O25:O32" si="5">G25+I25+K25+M25</f>
        <v>1</v>
      </c>
      <c r="P25" s="394">
        <f t="shared" ref="P25:P32" si="6">H25+J25+L25+N25</f>
        <v>38600</v>
      </c>
      <c r="Q25" s="664" t="s">
        <v>1793</v>
      </c>
      <c r="R25" s="516" t="s">
        <v>2210</v>
      </c>
      <c r="S25" s="664" t="s">
        <v>1794</v>
      </c>
      <c r="T25" s="666" t="s">
        <v>1511</v>
      </c>
      <c r="U25" s="679" t="s">
        <v>2271</v>
      </c>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c r="AR25" s="689"/>
      <c r="AS25" s="689"/>
      <c r="AT25" s="685"/>
    </row>
    <row r="26" spans="1:46" s="557" customFormat="1" ht="63" customHeight="1">
      <c r="A26" s="539"/>
      <c r="B26" s="539"/>
      <c r="C26" s="834"/>
      <c r="D26" s="834"/>
      <c r="E26" s="641" t="s">
        <v>2209</v>
      </c>
      <c r="F26" s="493" t="s">
        <v>2206</v>
      </c>
      <c r="G26" s="274"/>
      <c r="H26" s="357"/>
      <c r="I26" s="274"/>
      <c r="J26" s="357"/>
      <c r="K26" s="356">
        <v>1</v>
      </c>
      <c r="L26" s="357">
        <f>+'5. ACTIVIDADES ESPECIALES'!D494</f>
        <v>3487883.550301746</v>
      </c>
      <c r="M26" s="274"/>
      <c r="N26" s="357"/>
      <c r="O26" s="396">
        <f t="shared" si="5"/>
        <v>1</v>
      </c>
      <c r="P26" s="394">
        <f t="shared" si="6"/>
        <v>3487883.550301746</v>
      </c>
      <c r="Q26" s="664" t="s">
        <v>1793</v>
      </c>
      <c r="R26" s="516" t="s">
        <v>2212</v>
      </c>
      <c r="S26" s="664" t="s">
        <v>1794</v>
      </c>
      <c r="T26" s="666" t="s">
        <v>1511</v>
      </c>
      <c r="U26" s="679" t="s">
        <v>2271</v>
      </c>
      <c r="V26" s="689"/>
      <c r="W26" s="689"/>
      <c r="X26" s="689"/>
      <c r="Y26" s="689"/>
      <c r="Z26" s="689"/>
      <c r="AA26" s="689"/>
      <c r="AB26" s="689"/>
      <c r="AC26" s="689"/>
      <c r="AD26" s="689"/>
      <c r="AE26" s="689"/>
      <c r="AF26" s="689"/>
      <c r="AG26" s="689"/>
      <c r="AH26" s="689"/>
      <c r="AI26" s="689"/>
      <c r="AJ26" s="689"/>
      <c r="AK26" s="689"/>
      <c r="AL26" s="689"/>
      <c r="AM26" s="689"/>
      <c r="AN26" s="689"/>
      <c r="AO26" s="689"/>
      <c r="AP26" s="689"/>
      <c r="AQ26" s="689"/>
      <c r="AR26" s="689"/>
      <c r="AS26" s="689"/>
      <c r="AT26" s="685"/>
    </row>
    <row r="27" spans="1:46" s="557" customFormat="1" ht="63.75">
      <c r="A27" s="539"/>
      <c r="B27" s="539"/>
      <c r="C27" s="834"/>
      <c r="D27" s="834"/>
      <c r="E27" s="641" t="s">
        <v>2214</v>
      </c>
      <c r="F27" s="529" t="s">
        <v>2207</v>
      </c>
      <c r="G27" s="274"/>
      <c r="H27" s="357"/>
      <c r="I27" s="274"/>
      <c r="J27" s="357"/>
      <c r="K27" s="356">
        <v>1</v>
      </c>
      <c r="L27" s="357">
        <f>+'7. Infraestructura'!D30</f>
        <v>7971588</v>
      </c>
      <c r="M27" s="274"/>
      <c r="N27" s="357"/>
      <c r="O27" s="396">
        <f t="shared" si="5"/>
        <v>1</v>
      </c>
      <c r="P27" s="394">
        <f t="shared" si="6"/>
        <v>7971588</v>
      </c>
      <c r="Q27" s="664" t="s">
        <v>1793</v>
      </c>
      <c r="R27" s="664" t="s">
        <v>2268</v>
      </c>
      <c r="S27" s="664" t="s">
        <v>2269</v>
      </c>
      <c r="T27" s="664" t="s">
        <v>1589</v>
      </c>
      <c r="U27" s="664" t="s">
        <v>2270</v>
      </c>
      <c r="V27" s="689"/>
      <c r="W27" s="689"/>
      <c r="X27" s="689"/>
      <c r="Y27" s="689"/>
      <c r="Z27" s="689"/>
      <c r="AA27" s="689"/>
      <c r="AB27" s="689"/>
      <c r="AC27" s="689"/>
      <c r="AD27" s="689"/>
      <c r="AE27" s="689"/>
      <c r="AF27" s="689"/>
      <c r="AG27" s="689"/>
      <c r="AH27" s="689"/>
      <c r="AI27" s="689"/>
      <c r="AJ27" s="689"/>
      <c r="AK27" s="689"/>
      <c r="AL27" s="689"/>
      <c r="AM27" s="689"/>
      <c r="AN27" s="689"/>
      <c r="AO27" s="689"/>
      <c r="AP27" s="689"/>
      <c r="AQ27" s="689"/>
      <c r="AR27" s="689"/>
      <c r="AS27" s="689"/>
      <c r="AT27" s="685"/>
    </row>
    <row r="28" spans="1:46" s="652" customFormat="1" ht="69.75" customHeight="1">
      <c r="A28" s="640"/>
      <c r="B28" s="640"/>
      <c r="C28" s="834"/>
      <c r="D28" s="834"/>
      <c r="E28" s="641" t="s">
        <v>2347</v>
      </c>
      <c r="F28" s="641" t="s">
        <v>2333</v>
      </c>
      <c r="G28" s="641"/>
      <c r="H28" s="648"/>
      <c r="I28" s="641"/>
      <c r="J28" s="648"/>
      <c r="K28" s="356">
        <v>1</v>
      </c>
      <c r="L28" s="648">
        <f>+'7. Infraestructura'!D40</f>
        <v>1767950</v>
      </c>
      <c r="M28" s="641"/>
      <c r="N28" s="648"/>
      <c r="O28" s="396">
        <f t="shared" si="5"/>
        <v>1</v>
      </c>
      <c r="P28" s="394">
        <f t="shared" si="6"/>
        <v>1767950</v>
      </c>
      <c r="Q28" s="664" t="s">
        <v>1512</v>
      </c>
      <c r="R28" s="664" t="s">
        <v>2335</v>
      </c>
      <c r="S28" s="664" t="s">
        <v>2336</v>
      </c>
      <c r="T28" s="664" t="s">
        <v>1763</v>
      </c>
      <c r="U28" s="666" t="s">
        <v>2337</v>
      </c>
      <c r="V28" s="689"/>
      <c r="W28" s="689"/>
      <c r="X28" s="689"/>
      <c r="Y28" s="689"/>
      <c r="Z28" s="689"/>
      <c r="AA28" s="689"/>
      <c r="AB28" s="689"/>
      <c r="AC28" s="689"/>
      <c r="AD28" s="689"/>
      <c r="AE28" s="689"/>
      <c r="AF28" s="689"/>
      <c r="AG28" s="689"/>
      <c r="AH28" s="689"/>
      <c r="AI28" s="689"/>
      <c r="AJ28" s="689"/>
      <c r="AK28" s="689"/>
      <c r="AL28" s="689"/>
      <c r="AM28" s="689"/>
      <c r="AN28" s="689"/>
      <c r="AO28" s="689"/>
      <c r="AP28" s="689"/>
      <c r="AQ28" s="689"/>
      <c r="AR28" s="689"/>
      <c r="AS28" s="689"/>
      <c r="AT28" s="685"/>
    </row>
    <row r="29" spans="1:46" s="652" customFormat="1" ht="75" customHeight="1">
      <c r="A29" s="640"/>
      <c r="B29" s="640"/>
      <c r="C29" s="834"/>
      <c r="D29" s="834"/>
      <c r="E29" s="641" t="s">
        <v>2346</v>
      </c>
      <c r="F29" s="641" t="s">
        <v>2334</v>
      </c>
      <c r="G29" s="641"/>
      <c r="H29" s="648"/>
      <c r="I29" s="641"/>
      <c r="J29" s="648"/>
      <c r="K29" s="356">
        <v>1</v>
      </c>
      <c r="L29" s="648">
        <f>+'7. Infraestructura'!D70</f>
        <v>6000000</v>
      </c>
      <c r="M29" s="641"/>
      <c r="N29" s="648"/>
      <c r="O29" s="396">
        <f t="shared" si="5"/>
        <v>1</v>
      </c>
      <c r="P29" s="394">
        <f t="shared" si="6"/>
        <v>6000000</v>
      </c>
      <c r="Q29" s="664" t="s">
        <v>1512</v>
      </c>
      <c r="R29" s="641" t="s">
        <v>2338</v>
      </c>
      <c r="S29" s="641" t="s">
        <v>2339</v>
      </c>
      <c r="T29" s="664" t="s">
        <v>1763</v>
      </c>
      <c r="U29" s="666" t="s">
        <v>2337</v>
      </c>
      <c r="V29" s="689"/>
      <c r="W29" s="689"/>
      <c r="X29" s="689"/>
      <c r="Y29" s="689"/>
      <c r="Z29" s="689"/>
      <c r="AA29" s="689"/>
      <c r="AB29" s="689"/>
      <c r="AC29" s="689"/>
      <c r="AD29" s="689"/>
      <c r="AE29" s="689"/>
      <c r="AF29" s="689"/>
      <c r="AG29" s="689"/>
      <c r="AH29" s="689"/>
      <c r="AI29" s="689"/>
      <c r="AJ29" s="689"/>
      <c r="AK29" s="689"/>
      <c r="AL29" s="689"/>
      <c r="AM29" s="689"/>
      <c r="AN29" s="689"/>
      <c r="AO29" s="689"/>
      <c r="AP29" s="689"/>
      <c r="AQ29" s="689"/>
      <c r="AR29" s="689"/>
      <c r="AS29" s="689"/>
      <c r="AT29" s="685"/>
    </row>
    <row r="30" spans="1:46" s="652" customFormat="1" ht="78" customHeight="1">
      <c r="A30" s="640"/>
      <c r="B30" s="640"/>
      <c r="C30" s="834"/>
      <c r="D30" s="834"/>
      <c r="E30" s="641" t="s">
        <v>2345</v>
      </c>
      <c r="F30" s="660" t="s">
        <v>2340</v>
      </c>
      <c r="G30" s="641"/>
      <c r="H30" s="648"/>
      <c r="I30" s="641"/>
      <c r="J30" s="648"/>
      <c r="K30" s="356">
        <v>1</v>
      </c>
      <c r="L30" s="648">
        <f>+'7. Infraestructura'!D80</f>
        <v>5500000</v>
      </c>
      <c r="M30" s="641"/>
      <c r="N30" s="648"/>
      <c r="O30" s="396">
        <f t="shared" si="5"/>
        <v>1</v>
      </c>
      <c r="P30" s="394">
        <f t="shared" si="6"/>
        <v>5500000</v>
      </c>
      <c r="Q30" s="664" t="s">
        <v>1512</v>
      </c>
      <c r="R30" s="661" t="s">
        <v>2341</v>
      </c>
      <c r="S30" s="661" t="s">
        <v>2336</v>
      </c>
      <c r="T30" s="661" t="s">
        <v>2342</v>
      </c>
      <c r="U30" s="666" t="s">
        <v>2270</v>
      </c>
      <c r="V30" s="689"/>
      <c r="W30" s="689"/>
      <c r="X30" s="689"/>
      <c r="Y30" s="689"/>
      <c r="Z30" s="689"/>
      <c r="AA30" s="689"/>
      <c r="AB30" s="689"/>
      <c r="AC30" s="689"/>
      <c r="AD30" s="689"/>
      <c r="AE30" s="689"/>
      <c r="AF30" s="689"/>
      <c r="AG30" s="689"/>
      <c r="AH30" s="689"/>
      <c r="AI30" s="689"/>
      <c r="AJ30" s="689"/>
      <c r="AK30" s="689"/>
      <c r="AL30" s="689"/>
      <c r="AM30" s="689"/>
      <c r="AN30" s="689"/>
      <c r="AO30" s="689"/>
      <c r="AP30" s="689"/>
      <c r="AQ30" s="689"/>
      <c r="AR30" s="689"/>
      <c r="AS30" s="689"/>
      <c r="AT30" s="685"/>
    </row>
    <row r="31" spans="1:46" s="652" customFormat="1" ht="80.25" customHeight="1">
      <c r="A31" s="640"/>
      <c r="B31" s="640"/>
      <c r="C31" s="834"/>
      <c r="D31" s="834"/>
      <c r="E31" s="641" t="s">
        <v>2344</v>
      </c>
      <c r="F31" s="668" t="s">
        <v>2343</v>
      </c>
      <c r="G31" s="641"/>
      <c r="H31" s="648"/>
      <c r="I31" s="641"/>
      <c r="J31" s="648"/>
      <c r="K31" s="356">
        <v>1</v>
      </c>
      <c r="L31" s="648">
        <f>+'5. ACTIVIDADES ESPECIALES'!D583</f>
        <v>900000</v>
      </c>
      <c r="M31" s="641"/>
      <c r="N31" s="648"/>
      <c r="O31" s="396">
        <f t="shared" si="5"/>
        <v>1</v>
      </c>
      <c r="P31" s="394">
        <f t="shared" si="6"/>
        <v>900000</v>
      </c>
      <c r="Q31" s="664" t="s">
        <v>1512</v>
      </c>
      <c r="R31" s="665" t="s">
        <v>2348</v>
      </c>
      <c r="S31" s="665" t="s">
        <v>2349</v>
      </c>
      <c r="T31" s="665" t="s">
        <v>1511</v>
      </c>
      <c r="U31" s="667" t="s">
        <v>2350</v>
      </c>
      <c r="V31" s="689"/>
      <c r="W31" s="689"/>
      <c r="X31" s="689"/>
      <c r="Y31" s="689"/>
      <c r="Z31" s="689"/>
      <c r="AA31" s="689"/>
      <c r="AB31" s="689"/>
      <c r="AC31" s="689"/>
      <c r="AD31" s="689"/>
      <c r="AE31" s="689"/>
      <c r="AF31" s="689"/>
      <c r="AG31" s="689"/>
      <c r="AH31" s="689"/>
      <c r="AI31" s="689"/>
      <c r="AJ31" s="689"/>
      <c r="AK31" s="689"/>
      <c r="AL31" s="689"/>
      <c r="AM31" s="689"/>
      <c r="AN31" s="689"/>
      <c r="AO31" s="689"/>
      <c r="AP31" s="689"/>
      <c r="AQ31" s="689"/>
      <c r="AR31" s="689"/>
      <c r="AS31" s="689"/>
      <c r="AT31" s="685"/>
    </row>
    <row r="32" spans="1:46" s="652" customFormat="1" ht="81" customHeight="1">
      <c r="A32" s="640"/>
      <c r="B32" s="640"/>
      <c r="C32" s="834"/>
      <c r="D32" s="834"/>
      <c r="E32" s="641" t="s">
        <v>2375</v>
      </c>
      <c r="F32" s="493" t="s">
        <v>2387</v>
      </c>
      <c r="G32" s="641"/>
      <c r="H32" s="648"/>
      <c r="I32" s="641"/>
      <c r="J32" s="648"/>
      <c r="K32" s="356">
        <v>1</v>
      </c>
      <c r="L32" s="648">
        <f>+'3. EQUIPO DE OFICINA'!D84+'4. EQUIPO TECNOLÓGICOS'!D109+'5. ACTIVIDADES ESPECIALES'!D594</f>
        <v>534100</v>
      </c>
      <c r="M32" s="641"/>
      <c r="N32" s="648"/>
      <c r="O32" s="396">
        <f t="shared" si="5"/>
        <v>1</v>
      </c>
      <c r="P32" s="394">
        <f t="shared" si="6"/>
        <v>534100</v>
      </c>
      <c r="Q32" s="664" t="s">
        <v>1512</v>
      </c>
      <c r="R32" s="664" t="s">
        <v>2376</v>
      </c>
      <c r="S32" s="664" t="s">
        <v>1794</v>
      </c>
      <c r="T32" s="661" t="s">
        <v>2342</v>
      </c>
      <c r="U32" s="666" t="s">
        <v>2270</v>
      </c>
      <c r="V32" s="689"/>
      <c r="W32" s="689"/>
      <c r="X32" s="689"/>
      <c r="Y32" s="689"/>
      <c r="Z32" s="689"/>
      <c r="AA32" s="689"/>
      <c r="AB32" s="689"/>
      <c r="AC32" s="689"/>
      <c r="AD32" s="689"/>
      <c r="AE32" s="689"/>
      <c r="AF32" s="689"/>
      <c r="AG32" s="689"/>
      <c r="AH32" s="689"/>
      <c r="AI32" s="689"/>
      <c r="AJ32" s="689"/>
      <c r="AK32" s="689"/>
      <c r="AL32" s="689"/>
      <c r="AM32" s="689"/>
      <c r="AN32" s="689"/>
      <c r="AO32" s="689"/>
      <c r="AP32" s="689"/>
      <c r="AQ32" s="689"/>
      <c r="AR32" s="689"/>
      <c r="AS32" s="689"/>
      <c r="AT32" s="685"/>
    </row>
    <row r="33" spans="1:45" ht="66" customHeight="1">
      <c r="A33" s="794" t="s">
        <v>1405</v>
      </c>
      <c r="B33" s="794" t="s">
        <v>1516</v>
      </c>
      <c r="C33" s="838"/>
      <c r="D33" s="838"/>
      <c r="E33" s="563" t="s">
        <v>1902</v>
      </c>
      <c r="F33" s="564" t="s">
        <v>1901</v>
      </c>
      <c r="G33" s="572">
        <v>0.33</v>
      </c>
      <c r="H33" s="573">
        <f>+G33*'2. CONTRATACION DE PERSONAL'!D10</f>
        <v>123816.87944999999</v>
      </c>
      <c r="I33" s="572">
        <v>0.33</v>
      </c>
      <c r="J33" s="573">
        <f>+I33*'2. CONTRATACION DE PERSONAL'!D10</f>
        <v>123816.87944999999</v>
      </c>
      <c r="K33" s="572">
        <v>0.34</v>
      </c>
      <c r="L33" s="573">
        <f>+K33*'2. CONTRATACION DE PERSONAL'!D10</f>
        <v>127568.90610000001</v>
      </c>
      <c r="M33" s="574"/>
      <c r="N33" s="574"/>
      <c r="O33" s="555">
        <f t="shared" si="3"/>
        <v>1</v>
      </c>
      <c r="P33" s="556">
        <f t="shared" si="4"/>
        <v>375202.66499999998</v>
      </c>
      <c r="Q33" s="574"/>
      <c r="R33" s="575" t="s">
        <v>1903</v>
      </c>
      <c r="S33" s="576" t="s">
        <v>1904</v>
      </c>
      <c r="T33" s="577" t="s">
        <v>1511</v>
      </c>
      <c r="U33" s="681" t="s">
        <v>2276</v>
      </c>
    </row>
    <row r="34" spans="1:45" s="359" customFormat="1" ht="63">
      <c r="A34" s="753"/>
      <c r="B34" s="753"/>
      <c r="C34" s="834"/>
      <c r="D34" s="834"/>
      <c r="E34" s="540" t="s">
        <v>1925</v>
      </c>
      <c r="F34" s="567" t="s">
        <v>1924</v>
      </c>
      <c r="G34" s="558">
        <v>0.33</v>
      </c>
      <c r="H34" s="562">
        <f>+G34*'2. CONTRATACION DE PERSONAL'!D22</f>
        <v>328121.70930000005</v>
      </c>
      <c r="I34" s="558">
        <v>0.33</v>
      </c>
      <c r="J34" s="562">
        <f>+I34*'2. CONTRATACION DE PERSONAL'!D22</f>
        <v>328121.70930000005</v>
      </c>
      <c r="K34" s="558">
        <v>0.34</v>
      </c>
      <c r="L34" s="562">
        <f>+K34*'2. CONTRATACION DE PERSONAL'!D22</f>
        <v>338064.79140000005</v>
      </c>
      <c r="M34" s="557"/>
      <c r="N34" s="557"/>
      <c r="O34" s="555">
        <f t="shared" si="3"/>
        <v>1</v>
      </c>
      <c r="P34" s="556">
        <f t="shared" si="4"/>
        <v>994308.2100000002</v>
      </c>
      <c r="Q34" s="557"/>
      <c r="R34" s="501" t="s">
        <v>1926</v>
      </c>
      <c r="S34" s="528" t="s">
        <v>1904</v>
      </c>
      <c r="T34" s="499" t="s">
        <v>1511</v>
      </c>
      <c r="U34" s="682" t="s">
        <v>2275</v>
      </c>
      <c r="V34" s="689"/>
      <c r="W34" s="689"/>
      <c r="X34" s="689"/>
      <c r="Y34" s="689"/>
      <c r="Z34" s="689"/>
      <c r="AA34" s="689"/>
      <c r="AB34" s="689"/>
      <c r="AC34" s="689"/>
      <c r="AD34" s="689"/>
      <c r="AE34" s="689"/>
      <c r="AF34" s="689"/>
      <c r="AG34" s="689"/>
      <c r="AH34" s="689"/>
      <c r="AI34" s="689"/>
      <c r="AJ34" s="689"/>
      <c r="AK34" s="689"/>
      <c r="AL34" s="689"/>
      <c r="AM34" s="689"/>
      <c r="AN34" s="689"/>
      <c r="AO34" s="689"/>
      <c r="AP34" s="689"/>
      <c r="AQ34" s="689"/>
      <c r="AR34" s="689"/>
      <c r="AS34" s="689"/>
    </row>
    <row r="35" spans="1:45" s="359" customFormat="1" ht="63">
      <c r="A35" s="753"/>
      <c r="B35" s="753"/>
      <c r="C35" s="834"/>
      <c r="D35" s="838"/>
      <c r="E35" s="540" t="s">
        <v>1937</v>
      </c>
      <c r="F35" s="568" t="s">
        <v>1936</v>
      </c>
      <c r="G35" s="553">
        <v>1</v>
      </c>
      <c r="H35" s="554">
        <f>+'5. ACTIVIDADES ESPECIALES'!D266</f>
        <v>3671</v>
      </c>
      <c r="I35" s="552"/>
      <c r="J35" s="554"/>
      <c r="K35" s="552"/>
      <c r="L35" s="554"/>
      <c r="M35" s="552"/>
      <c r="N35" s="554"/>
      <c r="O35" s="555">
        <f t="shared" si="1"/>
        <v>1</v>
      </c>
      <c r="P35" s="556">
        <f t="shared" si="2"/>
        <v>3671</v>
      </c>
      <c r="Q35" s="552"/>
      <c r="R35" s="505" t="s">
        <v>1938</v>
      </c>
      <c r="S35" s="552" t="s">
        <v>2273</v>
      </c>
      <c r="T35" s="499" t="s">
        <v>1511</v>
      </c>
      <c r="U35" s="683" t="s">
        <v>2274</v>
      </c>
      <c r="V35" s="689"/>
      <c r="W35" s="689"/>
      <c r="X35" s="689"/>
      <c r="Y35" s="689"/>
      <c r="Z35" s="689"/>
      <c r="AA35" s="689"/>
      <c r="AB35" s="689"/>
      <c r="AC35" s="689"/>
      <c r="AD35" s="689"/>
      <c r="AE35" s="689"/>
      <c r="AF35" s="689"/>
      <c r="AG35" s="689"/>
      <c r="AH35" s="689"/>
      <c r="AI35" s="689"/>
      <c r="AJ35" s="689"/>
      <c r="AK35" s="689"/>
      <c r="AL35" s="689"/>
      <c r="AM35" s="689"/>
      <c r="AN35" s="689"/>
      <c r="AO35" s="689"/>
      <c r="AP35" s="689"/>
      <c r="AQ35" s="689"/>
      <c r="AR35" s="689"/>
      <c r="AS35" s="689"/>
    </row>
    <row r="36" spans="1:45" s="359" customFormat="1" ht="81.75" customHeight="1">
      <c r="A36" s="754"/>
      <c r="B36" s="754"/>
      <c r="C36" s="834"/>
      <c r="D36" s="834"/>
      <c r="E36" s="274" t="s">
        <v>2277</v>
      </c>
      <c r="F36" s="493" t="s">
        <v>2205</v>
      </c>
      <c r="G36" s="356">
        <v>0.33</v>
      </c>
      <c r="H36" s="357">
        <f>+G36*'2. CONTRATACION DE PERSONAL'!D37</f>
        <v>300015.78255</v>
      </c>
      <c r="I36" s="356">
        <v>0.33</v>
      </c>
      <c r="J36" s="648">
        <f>+I36*'2. CONTRATACION DE PERSONAL'!D37</f>
        <v>300015.78255</v>
      </c>
      <c r="K36" s="356">
        <v>0.34</v>
      </c>
      <c r="L36" s="648">
        <f>+K36*'2. CONTRATACION DE PERSONAL'!D37</f>
        <v>309107.16990000004</v>
      </c>
      <c r="M36" s="274"/>
      <c r="N36" s="357"/>
      <c r="O36" s="393">
        <f t="shared" si="1"/>
        <v>1</v>
      </c>
      <c r="P36" s="394">
        <f t="shared" si="2"/>
        <v>909138.7350000001</v>
      </c>
      <c r="Q36" s="274"/>
      <c r="R36" s="673" t="s">
        <v>2211</v>
      </c>
      <c r="S36" s="274"/>
      <c r="T36" s="274"/>
      <c r="U36" s="679"/>
      <c r="V36" s="689"/>
      <c r="W36" s="689"/>
      <c r="X36" s="689"/>
      <c r="Y36" s="689"/>
      <c r="Z36" s="689"/>
      <c r="AA36" s="689"/>
      <c r="AB36" s="689"/>
      <c r="AC36" s="689"/>
      <c r="AD36" s="689"/>
      <c r="AE36" s="689"/>
      <c r="AF36" s="689"/>
      <c r="AG36" s="689"/>
      <c r="AH36" s="689"/>
      <c r="AI36" s="689"/>
      <c r="AJ36" s="689"/>
      <c r="AK36" s="689"/>
      <c r="AL36" s="689"/>
      <c r="AM36" s="689"/>
      <c r="AN36" s="689"/>
      <c r="AO36" s="689"/>
      <c r="AP36" s="689"/>
      <c r="AQ36" s="689"/>
      <c r="AR36" s="689"/>
      <c r="AS36" s="689"/>
    </row>
    <row r="37" spans="1:45" ht="15.75">
      <c r="A37" s="295"/>
      <c r="B37" s="296"/>
      <c r="C37" s="295" t="s">
        <v>1403</v>
      </c>
      <c r="D37" s="296"/>
      <c r="E37" s="296"/>
      <c r="F37" s="297"/>
      <c r="G37" s="262">
        <f>SUM(G9:G36)</f>
        <v>3.1900000000000004</v>
      </c>
      <c r="H37" s="232">
        <f>SUM(H9:H36)</f>
        <v>1128902.7853000001</v>
      </c>
      <c r="I37" s="262">
        <f>SUM(I9:I36)</f>
        <v>10.620000000000001</v>
      </c>
      <c r="J37" s="232">
        <f>SUM(J9:J36)</f>
        <v>4089577.090899576</v>
      </c>
      <c r="K37" s="262">
        <f>SUM(K9:K36)</f>
        <v>12.649999999999999</v>
      </c>
      <c r="L37" s="232">
        <f>SUM(L9:L36)</f>
        <v>28750255.237301324</v>
      </c>
      <c r="M37" s="262">
        <f>SUM(M9:M36)</f>
        <v>0.54</v>
      </c>
      <c r="N37" s="232">
        <f>SUM(N9:N36)</f>
        <v>1504759.4671025937</v>
      </c>
      <c r="O37" s="232">
        <f>SUM(O9:O36)</f>
        <v>27</v>
      </c>
      <c r="P37" s="232">
        <f>SUM(P9:P36)</f>
        <v>35473494.580603495</v>
      </c>
      <c r="Q37" s="262"/>
      <c r="R37" s="262"/>
      <c r="S37" s="262"/>
      <c r="T37" s="262"/>
      <c r="U37" s="684"/>
    </row>
    <row r="57" spans="22:45" s="258" customFormat="1" ht="12">
      <c r="V57" s="639"/>
      <c r="W57" s="639"/>
      <c r="X57" s="639"/>
      <c r="Y57" s="639"/>
      <c r="Z57" s="639"/>
      <c r="AA57" s="639"/>
      <c r="AB57" s="639"/>
      <c r="AC57" s="639"/>
      <c r="AD57" s="639"/>
      <c r="AE57" s="639"/>
      <c r="AF57" s="639"/>
      <c r="AG57" s="639"/>
      <c r="AH57" s="639"/>
      <c r="AI57" s="639"/>
      <c r="AJ57" s="639"/>
      <c r="AK57" s="639"/>
      <c r="AL57" s="639"/>
      <c r="AM57" s="639"/>
      <c r="AN57" s="639"/>
      <c r="AO57" s="639"/>
      <c r="AP57" s="639"/>
      <c r="AQ57" s="639"/>
      <c r="AR57" s="639"/>
      <c r="AS57" s="639"/>
    </row>
    <row r="58" spans="22:45" s="258" customFormat="1" ht="12">
      <c r="V58" s="639"/>
      <c r="W58" s="639"/>
      <c r="X58" s="639"/>
      <c r="Y58" s="639"/>
      <c r="Z58" s="639"/>
      <c r="AA58" s="639"/>
      <c r="AB58" s="639"/>
      <c r="AC58" s="639"/>
      <c r="AD58" s="639"/>
      <c r="AE58" s="639"/>
      <c r="AF58" s="639"/>
      <c r="AG58" s="639"/>
      <c r="AH58" s="639"/>
      <c r="AI58" s="639"/>
      <c r="AJ58" s="639"/>
      <c r="AK58" s="639"/>
      <c r="AL58" s="639"/>
      <c r="AM58" s="639"/>
      <c r="AN58" s="639"/>
      <c r="AO58" s="639"/>
      <c r="AP58" s="639"/>
      <c r="AQ58" s="639"/>
      <c r="AR58" s="639"/>
      <c r="AS58" s="639"/>
    </row>
    <row r="71" spans="22:45" s="258" customFormat="1" ht="12">
      <c r="V71" s="639"/>
      <c r="W71" s="639"/>
      <c r="X71" s="639"/>
      <c r="Y71" s="639"/>
      <c r="Z71" s="639"/>
      <c r="AA71" s="639"/>
      <c r="AB71" s="639"/>
      <c r="AC71" s="639"/>
      <c r="AD71" s="639"/>
      <c r="AE71" s="639"/>
      <c r="AF71" s="639"/>
      <c r="AG71" s="639"/>
      <c r="AH71" s="639"/>
      <c r="AI71" s="639"/>
      <c r="AJ71" s="639"/>
      <c r="AK71" s="639"/>
      <c r="AL71" s="639"/>
      <c r="AM71" s="639"/>
      <c r="AN71" s="639"/>
      <c r="AO71" s="639"/>
      <c r="AP71" s="639"/>
      <c r="AQ71" s="639"/>
      <c r="AR71" s="639"/>
      <c r="AS71" s="639"/>
    </row>
    <row r="72" spans="22:45" s="258" customFormat="1" ht="12">
      <c r="V72" s="639"/>
      <c r="W72" s="639"/>
      <c r="X72" s="639"/>
      <c r="Y72" s="639"/>
      <c r="Z72" s="639"/>
      <c r="AA72" s="639"/>
      <c r="AB72" s="639"/>
      <c r="AC72" s="639"/>
      <c r="AD72" s="639"/>
      <c r="AE72" s="639"/>
      <c r="AF72" s="639"/>
      <c r="AG72" s="639"/>
      <c r="AH72" s="639"/>
      <c r="AI72" s="639"/>
      <c r="AJ72" s="639"/>
      <c r="AK72" s="639"/>
      <c r="AL72" s="639"/>
      <c r="AM72" s="639"/>
      <c r="AN72" s="639"/>
      <c r="AO72" s="639"/>
      <c r="AP72" s="639"/>
      <c r="AQ72" s="639"/>
      <c r="AR72" s="639"/>
      <c r="AS72" s="639"/>
    </row>
  </sheetData>
  <mergeCells count="23">
    <mergeCell ref="B33:B36"/>
    <mergeCell ref="A33:A36"/>
    <mergeCell ref="A3:U3"/>
    <mergeCell ref="B10:B11"/>
    <mergeCell ref="B12:B17"/>
    <mergeCell ref="A5:A7"/>
    <mergeCell ref="B5:B7"/>
    <mergeCell ref="C5:C7"/>
    <mergeCell ref="D5:D7"/>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1" sqref="D1"/>
    </sheetView>
  </sheetViews>
  <sheetFormatPr baseColWidth="10" defaultRowHeight="15"/>
  <cols>
    <col min="1" max="2" width="21.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81"/>
      <c r="C1" s="281"/>
      <c r="D1" s="281"/>
      <c r="E1" s="281"/>
      <c r="G1" s="281" t="s">
        <v>1407</v>
      </c>
      <c r="I1" s="281"/>
      <c r="J1" s="281"/>
      <c r="K1" s="281"/>
      <c r="L1" s="281"/>
      <c r="M1" s="281"/>
      <c r="N1" s="281"/>
      <c r="O1" s="281"/>
      <c r="P1" s="281"/>
      <c r="Q1" s="281"/>
      <c r="R1" s="281"/>
      <c r="S1" s="281"/>
      <c r="T1" s="281"/>
      <c r="U1" s="281"/>
    </row>
    <row r="2" spans="1:21" s="359" customFormat="1" ht="18.75">
      <c r="A2" s="359" t="s">
        <v>1348</v>
      </c>
      <c r="B2" s="281"/>
      <c r="C2" s="281"/>
      <c r="D2" s="281"/>
      <c r="E2" s="281"/>
      <c r="G2" s="281"/>
      <c r="H2" s="233"/>
      <c r="I2" s="281"/>
      <c r="J2" s="281"/>
      <c r="K2" s="281"/>
      <c r="L2" s="281"/>
      <c r="M2" s="281"/>
      <c r="N2" s="281"/>
      <c r="O2" s="281"/>
      <c r="P2" s="281"/>
      <c r="Q2" s="281"/>
      <c r="R2" s="281"/>
      <c r="S2" s="281"/>
      <c r="T2" s="281"/>
      <c r="U2" s="281"/>
    </row>
    <row r="3" spans="1:21">
      <c r="A3" s="267" t="s">
        <v>1410</v>
      </c>
      <c r="B3" s="267"/>
      <c r="C3" s="267"/>
      <c r="D3" s="267"/>
      <c r="E3" s="267"/>
      <c r="F3" s="267"/>
      <c r="G3" s="267"/>
      <c r="H3" s="267"/>
      <c r="I3" s="267"/>
      <c r="J3" s="267"/>
      <c r="K3" s="267"/>
      <c r="L3" s="267"/>
      <c r="M3" s="267"/>
      <c r="N3" s="267"/>
      <c r="O3" s="267"/>
      <c r="P3" s="267"/>
      <c r="Q3" s="267"/>
      <c r="R3" s="267"/>
      <c r="S3" s="267"/>
      <c r="T3" s="267"/>
      <c r="U3" s="267"/>
    </row>
    <row r="4" spans="1:21" ht="1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ht="25.5">
      <c r="A6" s="733"/>
      <c r="B6" s="733"/>
      <c r="C6" s="736"/>
      <c r="D6" s="736"/>
      <c r="E6" s="736"/>
      <c r="F6" s="736"/>
      <c r="G6" s="433" t="s">
        <v>108</v>
      </c>
      <c r="H6" s="433" t="s">
        <v>12</v>
      </c>
      <c r="I6" s="433" t="s">
        <v>108</v>
      </c>
      <c r="J6" s="433" t="s">
        <v>12</v>
      </c>
      <c r="K6" s="433" t="s">
        <v>108</v>
      </c>
      <c r="L6" s="433" t="s">
        <v>12</v>
      </c>
      <c r="M6" s="433" t="s">
        <v>108</v>
      </c>
      <c r="N6" s="433" t="s">
        <v>12</v>
      </c>
      <c r="O6" s="433" t="s">
        <v>108</v>
      </c>
      <c r="P6" s="433" t="s">
        <v>12</v>
      </c>
      <c r="Q6" s="733"/>
      <c r="R6" s="733"/>
      <c r="S6" s="733"/>
      <c r="T6" s="733"/>
      <c r="U6" s="730"/>
    </row>
    <row r="7" spans="1:21" s="359"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ustomHeight="1">
      <c r="A8" s="755" t="s">
        <v>1408</v>
      </c>
      <c r="B8" s="752" t="s">
        <v>1409</v>
      </c>
      <c r="C8" s="321"/>
      <c r="D8" s="321"/>
      <c r="E8" s="321"/>
      <c r="F8" s="321"/>
      <c r="G8" s="349"/>
      <c r="H8" s="350"/>
      <c r="I8" s="349"/>
      <c r="J8" s="350"/>
      <c r="K8" s="349"/>
      <c r="L8" s="350"/>
      <c r="M8" s="349"/>
      <c r="N8" s="350"/>
      <c r="O8" s="393">
        <f t="shared" ref="O8:P8" si="0">G8+I8+K8+M8</f>
        <v>0</v>
      </c>
      <c r="P8" s="394">
        <f t="shared" si="0"/>
        <v>0</v>
      </c>
      <c r="Q8" s="321"/>
      <c r="R8" s="321"/>
      <c r="S8" s="321"/>
      <c r="T8" s="321"/>
      <c r="U8" s="321"/>
    </row>
    <row r="9" spans="1:21" ht="15.75">
      <c r="A9" s="755"/>
      <c r="B9" s="753"/>
      <c r="C9" s="321"/>
      <c r="D9" s="321"/>
      <c r="E9" s="321"/>
      <c r="F9" s="321"/>
      <c r="G9" s="349"/>
      <c r="H9" s="350"/>
      <c r="I9" s="349"/>
      <c r="J9" s="350"/>
      <c r="K9" s="349"/>
      <c r="L9" s="350"/>
      <c r="M9" s="349"/>
      <c r="N9" s="350"/>
      <c r="O9" s="393">
        <f t="shared" ref="O9:O20" si="1">G9+I9+K9+M9</f>
        <v>0</v>
      </c>
      <c r="P9" s="394">
        <f t="shared" ref="P9:P20" si="2">H9+J9+L9+N9</f>
        <v>0</v>
      </c>
      <c r="Q9" s="321"/>
      <c r="R9" s="321"/>
      <c r="S9" s="321"/>
      <c r="T9" s="321"/>
      <c r="U9" s="321"/>
    </row>
    <row r="10" spans="1:21" s="359" customFormat="1" ht="15.75">
      <c r="A10" s="755"/>
      <c r="B10" s="753"/>
      <c r="C10" s="321"/>
      <c r="D10" s="321"/>
      <c r="E10" s="321"/>
      <c r="F10" s="321"/>
      <c r="G10" s="349"/>
      <c r="H10" s="350"/>
      <c r="I10" s="349"/>
      <c r="J10" s="350"/>
      <c r="K10" s="349"/>
      <c r="L10" s="350"/>
      <c r="M10" s="349"/>
      <c r="N10" s="350"/>
      <c r="O10" s="393">
        <f t="shared" ref="O10:O15" si="3">G10+I10+K10+M10</f>
        <v>0</v>
      </c>
      <c r="P10" s="394">
        <f t="shared" ref="P10:P15" si="4">H10+J10+L10+N10</f>
        <v>0</v>
      </c>
      <c r="Q10" s="321"/>
      <c r="R10" s="321"/>
      <c r="S10" s="321"/>
      <c r="T10" s="321"/>
      <c r="U10" s="321"/>
    </row>
    <row r="11" spans="1:21" s="359" customFormat="1" ht="15.75">
      <c r="A11" s="755"/>
      <c r="B11" s="753"/>
      <c r="C11" s="321"/>
      <c r="D11" s="321"/>
      <c r="E11" s="321"/>
      <c r="F11" s="321"/>
      <c r="G11" s="349"/>
      <c r="H11" s="350"/>
      <c r="I11" s="349"/>
      <c r="J11" s="350"/>
      <c r="K11" s="349"/>
      <c r="L11" s="350"/>
      <c r="M11" s="349"/>
      <c r="N11" s="350"/>
      <c r="O11" s="393">
        <f t="shared" si="3"/>
        <v>0</v>
      </c>
      <c r="P11" s="394">
        <f t="shared" si="4"/>
        <v>0</v>
      </c>
      <c r="Q11" s="321"/>
      <c r="R11" s="321"/>
      <c r="S11" s="321"/>
      <c r="T11" s="321"/>
      <c r="U11" s="321"/>
    </row>
    <row r="12" spans="1:21" s="359" customFormat="1" ht="15.75">
      <c r="A12" s="755"/>
      <c r="B12" s="753"/>
      <c r="C12" s="321"/>
      <c r="D12" s="321"/>
      <c r="E12" s="321"/>
      <c r="F12" s="321"/>
      <c r="G12" s="349"/>
      <c r="H12" s="350"/>
      <c r="I12" s="349"/>
      <c r="J12" s="350"/>
      <c r="K12" s="349"/>
      <c r="L12" s="350"/>
      <c r="M12" s="349"/>
      <c r="N12" s="350"/>
      <c r="O12" s="393">
        <f t="shared" si="3"/>
        <v>0</v>
      </c>
      <c r="P12" s="394">
        <f t="shared" si="4"/>
        <v>0</v>
      </c>
      <c r="Q12" s="321"/>
      <c r="R12" s="321"/>
      <c r="S12" s="321"/>
      <c r="T12" s="321"/>
      <c r="U12" s="321"/>
    </row>
    <row r="13" spans="1:21" s="359" customFormat="1" ht="15.75">
      <c r="A13" s="755"/>
      <c r="B13" s="753"/>
      <c r="C13" s="321"/>
      <c r="D13" s="321"/>
      <c r="E13" s="321"/>
      <c r="F13" s="321"/>
      <c r="G13" s="349"/>
      <c r="H13" s="350"/>
      <c r="I13" s="349"/>
      <c r="J13" s="350"/>
      <c r="K13" s="349"/>
      <c r="L13" s="350"/>
      <c r="M13" s="349"/>
      <c r="N13" s="350"/>
      <c r="O13" s="393">
        <f t="shared" ref="O13:O14" si="5">G13+I13+K13+M13</f>
        <v>0</v>
      </c>
      <c r="P13" s="394">
        <f t="shared" ref="P13:P14" si="6">H13+J13+L13+N13</f>
        <v>0</v>
      </c>
      <c r="Q13" s="321"/>
      <c r="R13" s="321"/>
      <c r="S13" s="321"/>
      <c r="T13" s="321"/>
      <c r="U13" s="321"/>
    </row>
    <row r="14" spans="1:21" s="359" customFormat="1" ht="15.75">
      <c r="A14" s="755"/>
      <c r="B14" s="753"/>
      <c r="C14" s="321"/>
      <c r="D14" s="321"/>
      <c r="E14" s="321"/>
      <c r="F14" s="321"/>
      <c r="G14" s="349"/>
      <c r="H14" s="350"/>
      <c r="I14" s="349"/>
      <c r="J14" s="350"/>
      <c r="K14" s="349"/>
      <c r="L14" s="350"/>
      <c r="M14" s="349"/>
      <c r="N14" s="350"/>
      <c r="O14" s="393">
        <f t="shared" si="5"/>
        <v>0</v>
      </c>
      <c r="P14" s="394">
        <f t="shared" si="6"/>
        <v>0</v>
      </c>
      <c r="Q14" s="321"/>
      <c r="R14" s="321"/>
      <c r="S14" s="321"/>
      <c r="T14" s="321"/>
      <c r="U14" s="321"/>
    </row>
    <row r="15" spans="1:21" ht="15.75">
      <c r="A15" s="755"/>
      <c r="B15" s="753"/>
      <c r="C15" s="321"/>
      <c r="D15" s="321"/>
      <c r="E15" s="321"/>
      <c r="F15" s="321"/>
      <c r="G15" s="349"/>
      <c r="H15" s="350"/>
      <c r="I15" s="349"/>
      <c r="J15" s="350"/>
      <c r="K15" s="349"/>
      <c r="L15" s="350"/>
      <c r="M15" s="349"/>
      <c r="N15" s="350"/>
      <c r="O15" s="393">
        <f t="shared" si="3"/>
        <v>0</v>
      </c>
      <c r="P15" s="394">
        <f t="shared" si="4"/>
        <v>0</v>
      </c>
      <c r="Q15" s="321"/>
      <c r="R15" s="321"/>
      <c r="S15" s="321"/>
      <c r="T15" s="321"/>
      <c r="U15" s="321"/>
    </row>
    <row r="16" spans="1:21" ht="15.75">
      <c r="A16" s="755"/>
      <c r="B16" s="753"/>
      <c r="C16" s="321"/>
      <c r="D16" s="321"/>
      <c r="E16" s="321"/>
      <c r="F16" s="321"/>
      <c r="G16" s="349"/>
      <c r="H16" s="350"/>
      <c r="I16" s="349"/>
      <c r="J16" s="350"/>
      <c r="K16" s="349"/>
      <c r="L16" s="350"/>
      <c r="M16" s="349"/>
      <c r="N16" s="350"/>
      <c r="O16" s="393">
        <f t="shared" si="1"/>
        <v>0</v>
      </c>
      <c r="P16" s="394">
        <f t="shared" si="2"/>
        <v>0</v>
      </c>
      <c r="Q16" s="321"/>
      <c r="R16" s="321"/>
      <c r="S16" s="321"/>
      <c r="T16" s="321"/>
      <c r="U16" s="321"/>
    </row>
    <row r="17" spans="1:21" ht="15.75">
      <c r="A17" s="755"/>
      <c r="B17" s="753"/>
      <c r="C17" s="321"/>
      <c r="D17" s="321"/>
      <c r="E17" s="321"/>
      <c r="F17" s="321"/>
      <c r="G17" s="349"/>
      <c r="H17" s="350"/>
      <c r="I17" s="349"/>
      <c r="J17" s="350"/>
      <c r="K17" s="349"/>
      <c r="L17" s="350"/>
      <c r="M17" s="349"/>
      <c r="N17" s="350"/>
      <c r="O17" s="393">
        <f t="shared" si="1"/>
        <v>0</v>
      </c>
      <c r="P17" s="394">
        <f t="shared" si="2"/>
        <v>0</v>
      </c>
      <c r="Q17" s="321"/>
      <c r="R17" s="321"/>
      <c r="S17" s="321"/>
      <c r="T17" s="321"/>
      <c r="U17" s="321"/>
    </row>
    <row r="18" spans="1:21" ht="15.75">
      <c r="A18" s="755"/>
      <c r="B18" s="753"/>
      <c r="C18" s="321"/>
      <c r="D18" s="321"/>
      <c r="E18" s="321"/>
      <c r="F18" s="321"/>
      <c r="G18" s="349"/>
      <c r="H18" s="350"/>
      <c r="I18" s="349"/>
      <c r="J18" s="350"/>
      <c r="K18" s="349"/>
      <c r="L18" s="350"/>
      <c r="M18" s="349"/>
      <c r="N18" s="350"/>
      <c r="O18" s="393">
        <f t="shared" si="1"/>
        <v>0</v>
      </c>
      <c r="P18" s="394">
        <f t="shared" si="2"/>
        <v>0</v>
      </c>
      <c r="Q18" s="321"/>
      <c r="R18" s="321"/>
      <c r="S18" s="321"/>
      <c r="T18" s="321"/>
      <c r="U18" s="321"/>
    </row>
    <row r="19" spans="1:21" ht="15.75">
      <c r="A19" s="755"/>
      <c r="B19" s="753"/>
      <c r="C19" s="321"/>
      <c r="D19" s="321"/>
      <c r="E19" s="321"/>
      <c r="F19" s="321"/>
      <c r="G19" s="349"/>
      <c r="H19" s="350"/>
      <c r="I19" s="349"/>
      <c r="J19" s="350"/>
      <c r="K19" s="349"/>
      <c r="L19" s="350"/>
      <c r="M19" s="349"/>
      <c r="N19" s="350"/>
      <c r="O19" s="393">
        <f t="shared" si="1"/>
        <v>0</v>
      </c>
      <c r="P19" s="394">
        <f t="shared" si="2"/>
        <v>0</v>
      </c>
      <c r="Q19" s="321"/>
      <c r="R19" s="321"/>
      <c r="S19" s="321"/>
      <c r="T19" s="321"/>
      <c r="U19" s="321"/>
    </row>
    <row r="20" spans="1:21" ht="15.75">
      <c r="A20" s="755"/>
      <c r="B20" s="754"/>
      <c r="C20" s="321"/>
      <c r="D20" s="321"/>
      <c r="E20" s="321"/>
      <c r="F20" s="321"/>
      <c r="G20" s="349"/>
      <c r="H20" s="350"/>
      <c r="I20" s="349"/>
      <c r="J20" s="350"/>
      <c r="K20" s="349"/>
      <c r="L20" s="350"/>
      <c r="M20" s="349"/>
      <c r="N20" s="350"/>
      <c r="O20" s="393">
        <f t="shared" si="1"/>
        <v>0</v>
      </c>
      <c r="P20" s="394">
        <f t="shared" si="2"/>
        <v>0</v>
      </c>
      <c r="Q20" s="321"/>
      <c r="R20" s="321"/>
      <c r="S20" s="321"/>
      <c r="T20" s="321"/>
      <c r="U20" s="321"/>
    </row>
    <row r="21" spans="1:21" ht="15.6" customHeight="1">
      <c r="A21" s="289"/>
      <c r="B21" s="290"/>
      <c r="C21" s="289" t="s">
        <v>1497</v>
      </c>
      <c r="D21" s="290"/>
      <c r="E21" s="290"/>
      <c r="F21" s="291"/>
      <c r="G21" s="284">
        <f t="shared" ref="G21:P21" si="7">SUM(G8:G20)</f>
        <v>0</v>
      </c>
      <c r="H21" s="235">
        <f t="shared" si="7"/>
        <v>0</v>
      </c>
      <c r="I21" s="284">
        <f t="shared" si="7"/>
        <v>0</v>
      </c>
      <c r="J21" s="235">
        <f t="shared" si="7"/>
        <v>0</v>
      </c>
      <c r="K21" s="284">
        <f t="shared" si="7"/>
        <v>0</v>
      </c>
      <c r="L21" s="235">
        <f t="shared" si="7"/>
        <v>0</v>
      </c>
      <c r="M21" s="284">
        <f t="shared" si="7"/>
        <v>0</v>
      </c>
      <c r="N21" s="235">
        <f t="shared" si="7"/>
        <v>0</v>
      </c>
      <c r="O21" s="235">
        <f t="shared" si="7"/>
        <v>0</v>
      </c>
      <c r="P21" s="235">
        <f t="shared" si="7"/>
        <v>0</v>
      </c>
      <c r="Q21" s="262"/>
      <c r="R21" s="262"/>
      <c r="S21" s="262"/>
      <c r="T21" s="262"/>
      <c r="U21" s="262"/>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topLeftCell="D1" workbookViewId="0">
      <pane ySplit="7" topLeftCell="A8" activePane="bottomLeft" state="frozen"/>
      <selection activeCell="A7" sqref="A7"/>
      <selection pane="bottomLeft" activeCell="D9" sqref="D9"/>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3" bestFit="1" customWidth="1"/>
    <col min="9" max="9" width="15.28515625" customWidth="1"/>
    <col min="10" max="10" width="18.85546875" style="233" customWidth="1"/>
    <col min="12" max="12" width="14.85546875" style="233" bestFit="1" customWidth="1"/>
    <col min="14" max="14" width="14.855468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 customHeight="1">
      <c r="B1" s="241"/>
      <c r="C1" s="241"/>
      <c r="D1" s="241"/>
      <c r="E1" s="243"/>
      <c r="F1" s="241"/>
      <c r="G1" s="288" t="s">
        <v>1354</v>
      </c>
      <c r="J1" s="241"/>
      <c r="K1" s="241"/>
      <c r="L1" s="241"/>
      <c r="M1" s="241"/>
      <c r="N1" s="241"/>
      <c r="O1" s="241"/>
      <c r="P1" s="241"/>
      <c r="Q1" s="241"/>
      <c r="R1" s="241"/>
      <c r="S1" s="241"/>
      <c r="T1" s="241"/>
      <c r="U1" s="241"/>
    </row>
    <row r="2" spans="1:21" ht="18" customHeight="1">
      <c r="B2" s="243"/>
      <c r="C2" s="243"/>
      <c r="D2" s="243"/>
      <c r="E2" s="243"/>
      <c r="F2" s="243"/>
      <c r="G2" s="288"/>
      <c r="J2" s="243"/>
      <c r="K2" s="243"/>
      <c r="L2" s="243"/>
      <c r="M2" s="243"/>
      <c r="N2" s="243"/>
      <c r="O2" s="243"/>
      <c r="P2" s="243"/>
      <c r="Q2" s="243"/>
      <c r="R2" s="243"/>
      <c r="S2" s="243"/>
      <c r="T2" s="243"/>
      <c r="U2" s="243"/>
    </row>
    <row r="3" spans="1:21" ht="18" customHeight="1">
      <c r="A3" s="311" t="s">
        <v>1347</v>
      </c>
      <c r="B3" s="243"/>
      <c r="C3" s="243"/>
      <c r="D3" s="243"/>
      <c r="E3" s="243"/>
      <c r="F3" s="243"/>
      <c r="G3" s="288"/>
      <c r="J3" s="243"/>
      <c r="K3" s="243"/>
      <c r="L3" s="243"/>
      <c r="M3" s="243"/>
      <c r="N3" s="243"/>
      <c r="O3" s="243"/>
      <c r="P3" s="243"/>
      <c r="Q3" s="243"/>
      <c r="R3" s="243"/>
      <c r="S3" s="243"/>
      <c r="T3" s="243"/>
      <c r="U3" s="243"/>
    </row>
    <row r="4" spans="1:21" ht="33" customHeight="1">
      <c r="A4" s="773" t="s">
        <v>1353</v>
      </c>
      <c r="B4" s="773"/>
      <c r="C4" s="773"/>
      <c r="D4" s="773"/>
      <c r="E4" s="773"/>
      <c r="F4" s="773"/>
      <c r="G4" s="773"/>
      <c r="H4" s="773"/>
      <c r="I4" s="773"/>
      <c r="J4" s="773"/>
      <c r="K4" s="773"/>
      <c r="L4" s="773"/>
      <c r="M4" s="773"/>
      <c r="N4" s="773"/>
      <c r="O4" s="773"/>
      <c r="P4" s="773"/>
      <c r="Q4" s="773"/>
      <c r="R4" s="773"/>
      <c r="S4" s="773"/>
      <c r="T4" s="773"/>
      <c r="U4" s="773"/>
    </row>
    <row r="5" spans="1:21" ht="14.45" customHeight="1">
      <c r="A5" s="732" t="s">
        <v>97</v>
      </c>
      <c r="B5" s="731" t="s">
        <v>111</v>
      </c>
      <c r="C5" s="734" t="s">
        <v>86</v>
      </c>
      <c r="D5" s="734" t="s">
        <v>87</v>
      </c>
      <c r="E5" s="734" t="s">
        <v>392</v>
      </c>
      <c r="F5" s="734" t="s">
        <v>88</v>
      </c>
      <c r="G5" s="737" t="s">
        <v>100</v>
      </c>
      <c r="H5" s="743"/>
      <c r="I5" s="743"/>
      <c r="J5" s="743"/>
      <c r="K5" s="743"/>
      <c r="L5" s="743"/>
      <c r="M5" s="743"/>
      <c r="N5" s="738"/>
      <c r="O5" s="739" t="s">
        <v>101</v>
      </c>
      <c r="P5" s="740"/>
      <c r="Q5" s="731" t="s">
        <v>102</v>
      </c>
      <c r="R5" s="731" t="s">
        <v>103</v>
      </c>
      <c r="S5" s="731" t="s">
        <v>110</v>
      </c>
      <c r="T5" s="731" t="s">
        <v>109</v>
      </c>
      <c r="U5" s="728" t="s">
        <v>89</v>
      </c>
    </row>
    <row r="6" spans="1:21" ht="14.45" customHeight="1">
      <c r="A6" s="732"/>
      <c r="B6" s="732"/>
      <c r="C6" s="735"/>
      <c r="D6" s="735"/>
      <c r="E6" s="735"/>
      <c r="F6" s="735"/>
      <c r="G6" s="737" t="s">
        <v>104</v>
      </c>
      <c r="H6" s="738"/>
      <c r="I6" s="737" t="s">
        <v>105</v>
      </c>
      <c r="J6" s="738"/>
      <c r="K6" s="737" t="s">
        <v>106</v>
      </c>
      <c r="L6" s="738"/>
      <c r="M6" s="737" t="s">
        <v>107</v>
      </c>
      <c r="N6" s="738"/>
      <c r="O6" s="741"/>
      <c r="P6" s="742"/>
      <c r="Q6" s="732"/>
      <c r="R6" s="732"/>
      <c r="S6" s="732"/>
      <c r="T6" s="732"/>
      <c r="U6" s="729"/>
    </row>
    <row r="7" spans="1:21" ht="25.5">
      <c r="A7" s="733"/>
      <c r="B7" s="733"/>
      <c r="C7" s="736"/>
      <c r="D7" s="736"/>
      <c r="E7" s="736"/>
      <c r="F7" s="736"/>
      <c r="G7" s="433" t="s">
        <v>108</v>
      </c>
      <c r="H7" s="433" t="s">
        <v>12</v>
      </c>
      <c r="I7" s="433" t="s">
        <v>108</v>
      </c>
      <c r="J7" s="433" t="s">
        <v>12</v>
      </c>
      <c r="K7" s="433" t="s">
        <v>108</v>
      </c>
      <c r="L7" s="433" t="s">
        <v>12</v>
      </c>
      <c r="M7" s="433" t="s">
        <v>108</v>
      </c>
      <c r="N7" s="433" t="s">
        <v>12</v>
      </c>
      <c r="O7" s="433" t="s">
        <v>108</v>
      </c>
      <c r="P7" s="433" t="s">
        <v>12</v>
      </c>
      <c r="Q7" s="733"/>
      <c r="R7" s="733"/>
      <c r="S7" s="733"/>
      <c r="T7" s="733"/>
      <c r="U7" s="730"/>
    </row>
    <row r="8" spans="1:21" ht="15.6" customHeight="1">
      <c r="A8" s="434"/>
      <c r="B8" s="435"/>
      <c r="C8" s="436"/>
      <c r="D8" s="436"/>
      <c r="E8" s="437"/>
      <c r="F8" s="436"/>
      <c r="G8" s="438"/>
      <c r="H8" s="438"/>
      <c r="I8" s="438"/>
      <c r="J8" s="438"/>
      <c r="K8" s="438"/>
      <c r="L8" s="438"/>
      <c r="M8" s="438"/>
      <c r="N8" s="438"/>
      <c r="O8" s="438"/>
      <c r="P8" s="438"/>
      <c r="Q8" s="439"/>
      <c r="R8" s="439"/>
      <c r="S8" s="439"/>
      <c r="T8" s="439"/>
      <c r="U8" s="440"/>
    </row>
    <row r="9" spans="1:21" ht="15.75">
      <c r="A9" s="774" t="s">
        <v>1411</v>
      </c>
      <c r="B9" s="744" t="s">
        <v>1412</v>
      </c>
      <c r="C9" s="321"/>
      <c r="D9" s="321"/>
      <c r="E9" s="321"/>
      <c r="F9" s="493"/>
      <c r="G9" s="345"/>
      <c r="H9" s="348"/>
      <c r="I9" s="351"/>
      <c r="J9" s="348"/>
      <c r="K9" s="351"/>
      <c r="L9" s="348"/>
      <c r="M9" s="351"/>
      <c r="N9" s="348"/>
      <c r="O9" s="396"/>
      <c r="P9" s="394"/>
      <c r="Q9" s="321"/>
      <c r="R9" s="673"/>
      <c r="S9" s="321"/>
      <c r="T9" s="321"/>
      <c r="U9" s="321"/>
    </row>
    <row r="10" spans="1:21" ht="15.75">
      <c r="A10" s="775"/>
      <c r="B10" s="745"/>
      <c r="C10" s="321"/>
      <c r="D10" s="321"/>
      <c r="E10" s="321"/>
      <c r="F10" s="321"/>
      <c r="G10" s="345"/>
      <c r="H10" s="348"/>
      <c r="I10" s="345"/>
      <c r="J10" s="348"/>
      <c r="K10" s="345"/>
      <c r="L10" s="348"/>
      <c r="M10" s="345"/>
      <c r="N10" s="348"/>
      <c r="O10" s="396">
        <f t="shared" ref="O10:P20" si="0">G10+I10+K10+M10</f>
        <v>0</v>
      </c>
      <c r="P10" s="394">
        <f t="shared" si="0"/>
        <v>0</v>
      </c>
      <c r="Q10" s="321"/>
      <c r="R10" s="321"/>
      <c r="S10" s="321"/>
      <c r="T10" s="321"/>
      <c r="U10" s="321"/>
    </row>
    <row r="11" spans="1:21" ht="15.75">
      <c r="A11" s="775"/>
      <c r="B11" s="745"/>
      <c r="C11" s="321"/>
      <c r="D11" s="321"/>
      <c r="E11" s="321"/>
      <c r="F11" s="321"/>
      <c r="G11" s="345"/>
      <c r="H11" s="348"/>
      <c r="I11" s="345"/>
      <c r="J11" s="348"/>
      <c r="K11" s="345"/>
      <c r="L11" s="348"/>
      <c r="M11" s="345"/>
      <c r="N11" s="348"/>
      <c r="O11" s="396">
        <f t="shared" si="0"/>
        <v>0</v>
      </c>
      <c r="P11" s="394">
        <f t="shared" si="0"/>
        <v>0</v>
      </c>
      <c r="Q11" s="321"/>
      <c r="R11" s="321"/>
      <c r="S11" s="321"/>
      <c r="T11" s="321"/>
      <c r="U11" s="321"/>
    </row>
    <row r="12" spans="1:21" ht="15.75">
      <c r="A12" s="775"/>
      <c r="B12" s="745"/>
      <c r="C12" s="321"/>
      <c r="D12" s="321"/>
      <c r="E12" s="321"/>
      <c r="F12" s="321"/>
      <c r="G12" s="345"/>
      <c r="H12" s="348"/>
      <c r="I12" s="345"/>
      <c r="J12" s="348"/>
      <c r="K12" s="345"/>
      <c r="L12" s="348"/>
      <c r="M12" s="345"/>
      <c r="N12" s="348"/>
      <c r="O12" s="396">
        <f t="shared" si="0"/>
        <v>0</v>
      </c>
      <c r="P12" s="394">
        <f t="shared" si="0"/>
        <v>0</v>
      </c>
      <c r="Q12" s="321"/>
      <c r="R12" s="321"/>
      <c r="S12" s="321"/>
      <c r="T12" s="321"/>
      <c r="U12" s="72"/>
    </row>
    <row r="13" spans="1:21" ht="15.75">
      <c r="A13" s="775"/>
      <c r="B13" s="745"/>
      <c r="C13" s="321"/>
      <c r="D13" s="321"/>
      <c r="E13" s="321"/>
      <c r="F13" s="274"/>
      <c r="G13" s="351"/>
      <c r="H13" s="348"/>
      <c r="I13" s="351"/>
      <c r="J13" s="348"/>
      <c r="K13" s="351"/>
      <c r="L13" s="348"/>
      <c r="M13" s="351"/>
      <c r="N13" s="348"/>
      <c r="O13" s="396">
        <f t="shared" si="0"/>
        <v>0</v>
      </c>
      <c r="P13" s="394">
        <f t="shared" si="0"/>
        <v>0</v>
      </c>
      <c r="Q13" s="321"/>
      <c r="R13" s="321"/>
      <c r="S13" s="321"/>
      <c r="T13" s="321"/>
      <c r="U13" s="274"/>
    </row>
    <row r="14" spans="1:21" ht="15.75">
      <c r="A14" s="775"/>
      <c r="B14" s="745"/>
      <c r="C14" s="321"/>
      <c r="D14" s="321"/>
      <c r="E14" s="321"/>
      <c r="F14" s="321"/>
      <c r="G14" s="345"/>
      <c r="H14" s="348"/>
      <c r="I14" s="345"/>
      <c r="J14" s="348"/>
      <c r="K14" s="345"/>
      <c r="L14" s="348"/>
      <c r="M14" s="345"/>
      <c r="N14" s="348"/>
      <c r="O14" s="396">
        <f t="shared" si="0"/>
        <v>0</v>
      </c>
      <c r="P14" s="394">
        <f t="shared" si="0"/>
        <v>0</v>
      </c>
      <c r="Q14" s="321"/>
      <c r="R14" s="321"/>
      <c r="S14" s="321"/>
      <c r="T14" s="321"/>
      <c r="U14" s="321"/>
    </row>
    <row r="15" spans="1:21" ht="15.75">
      <c r="A15" s="775"/>
      <c r="B15" s="745"/>
      <c r="C15" s="321"/>
      <c r="D15" s="321"/>
      <c r="E15" s="321"/>
      <c r="F15" s="73"/>
      <c r="G15" s="345"/>
      <c r="H15" s="348"/>
      <c r="I15" s="345"/>
      <c r="J15" s="348"/>
      <c r="K15" s="345"/>
      <c r="L15" s="348"/>
      <c r="M15" s="345"/>
      <c r="N15" s="348"/>
      <c r="O15" s="396">
        <f t="shared" si="0"/>
        <v>0</v>
      </c>
      <c r="P15" s="394">
        <f t="shared" si="0"/>
        <v>0</v>
      </c>
      <c r="Q15" s="321"/>
      <c r="R15" s="321"/>
      <c r="S15" s="321"/>
      <c r="T15" s="321"/>
      <c r="U15" s="321"/>
    </row>
    <row r="16" spans="1:21" ht="15.75">
      <c r="A16" s="775"/>
      <c r="B16" s="745"/>
      <c r="C16" s="321"/>
      <c r="D16" s="321"/>
      <c r="E16" s="321"/>
      <c r="F16" s="321"/>
      <c r="G16" s="345"/>
      <c r="H16" s="348"/>
      <c r="I16" s="345"/>
      <c r="J16" s="348"/>
      <c r="K16" s="345"/>
      <c r="L16" s="348"/>
      <c r="M16" s="345"/>
      <c r="N16" s="348"/>
      <c r="O16" s="396">
        <f t="shared" si="0"/>
        <v>0</v>
      </c>
      <c r="P16" s="394">
        <f t="shared" si="0"/>
        <v>0</v>
      </c>
      <c r="Q16" s="321"/>
      <c r="R16" s="321"/>
      <c r="S16" s="321"/>
      <c r="T16" s="321"/>
      <c r="U16" s="321"/>
    </row>
    <row r="17" spans="1:21" ht="15.75">
      <c r="A17" s="775"/>
      <c r="B17" s="745"/>
      <c r="C17" s="321"/>
      <c r="D17" s="321"/>
      <c r="E17" s="321"/>
      <c r="F17" s="321"/>
      <c r="G17" s="351"/>
      <c r="H17" s="348"/>
      <c r="I17" s="351"/>
      <c r="J17" s="348"/>
      <c r="K17" s="351"/>
      <c r="L17" s="348"/>
      <c r="M17" s="351"/>
      <c r="N17" s="348"/>
      <c r="O17" s="396">
        <f t="shared" si="0"/>
        <v>0</v>
      </c>
      <c r="P17" s="394">
        <f t="shared" si="0"/>
        <v>0</v>
      </c>
      <c r="Q17" s="345"/>
      <c r="R17" s="345"/>
      <c r="S17" s="345"/>
      <c r="T17" s="345"/>
      <c r="U17" s="321"/>
    </row>
    <row r="18" spans="1:21" ht="15.75">
      <c r="A18" s="775"/>
      <c r="B18" s="745"/>
      <c r="C18" s="321"/>
      <c r="D18" s="321"/>
      <c r="E18" s="321"/>
      <c r="F18" s="321"/>
      <c r="G18" s="345"/>
      <c r="H18" s="348"/>
      <c r="I18" s="345"/>
      <c r="J18" s="348"/>
      <c r="K18" s="345"/>
      <c r="L18" s="348"/>
      <c r="M18" s="345"/>
      <c r="N18" s="348"/>
      <c r="O18" s="397">
        <f t="shared" si="0"/>
        <v>0</v>
      </c>
      <c r="P18" s="398">
        <f t="shared" si="0"/>
        <v>0</v>
      </c>
      <c r="Q18" s="321"/>
      <c r="R18" s="321"/>
      <c r="S18" s="321"/>
      <c r="T18" s="321"/>
      <c r="U18" s="321"/>
    </row>
    <row r="19" spans="1:21" ht="15.75">
      <c r="A19" s="775"/>
      <c r="B19" s="745"/>
      <c r="C19" s="321"/>
      <c r="D19" s="321"/>
      <c r="E19" s="321"/>
      <c r="F19" s="321"/>
      <c r="G19" s="345"/>
      <c r="H19" s="348"/>
      <c r="I19" s="345"/>
      <c r="J19" s="348"/>
      <c r="K19" s="345"/>
      <c r="L19" s="348"/>
      <c r="M19" s="345"/>
      <c r="N19" s="348"/>
      <c r="O19" s="397">
        <f t="shared" si="0"/>
        <v>0</v>
      </c>
      <c r="P19" s="398">
        <f t="shared" si="0"/>
        <v>0</v>
      </c>
      <c r="Q19" s="321"/>
      <c r="R19" s="321"/>
      <c r="S19" s="321"/>
      <c r="T19" s="321"/>
      <c r="U19" s="360"/>
    </row>
    <row r="20" spans="1:21" ht="15.75">
      <c r="A20" s="776"/>
      <c r="B20" s="746"/>
      <c r="C20" s="321"/>
      <c r="D20" s="321"/>
      <c r="E20" s="321"/>
      <c r="F20" s="321"/>
      <c r="G20" s="345"/>
      <c r="H20" s="348"/>
      <c r="I20" s="345"/>
      <c r="J20" s="348"/>
      <c r="K20" s="345"/>
      <c r="L20" s="348"/>
      <c r="M20" s="345"/>
      <c r="N20" s="348"/>
      <c r="O20" s="396">
        <f t="shared" si="0"/>
        <v>0</v>
      </c>
      <c r="P20" s="394">
        <f t="shared" si="0"/>
        <v>0</v>
      </c>
      <c r="Q20" s="345"/>
      <c r="R20" s="345"/>
      <c r="S20" s="345"/>
      <c r="T20" s="345"/>
      <c r="U20" s="321"/>
    </row>
    <row r="21" spans="1:21" ht="15.6" customHeight="1">
      <c r="A21" s="298"/>
      <c r="B21" s="242"/>
      <c r="C21" s="298" t="s">
        <v>116</v>
      </c>
      <c r="D21" s="242"/>
      <c r="E21" s="242"/>
      <c r="F21" s="242"/>
      <c r="G21" s="80">
        <f t="shared" ref="G21:P21" si="1">SUM(G9:G20)</f>
        <v>0</v>
      </c>
      <c r="H21" s="234">
        <f t="shared" si="1"/>
        <v>0</v>
      </c>
      <c r="I21" s="80">
        <f t="shared" si="1"/>
        <v>0</v>
      </c>
      <c r="J21" s="234">
        <f t="shared" si="1"/>
        <v>0</v>
      </c>
      <c r="K21" s="80">
        <f t="shared" si="1"/>
        <v>0</v>
      </c>
      <c r="L21" s="234">
        <f t="shared" si="1"/>
        <v>0</v>
      </c>
      <c r="M21" s="80">
        <f t="shared" si="1"/>
        <v>0</v>
      </c>
      <c r="N21" s="234">
        <f t="shared" si="1"/>
        <v>0</v>
      </c>
      <c r="O21" s="234">
        <f t="shared" si="1"/>
        <v>0</v>
      </c>
      <c r="P21" s="234">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12"/>
  <sheetViews>
    <sheetView zoomScale="60" zoomScaleNormal="60" workbookViewId="0">
      <pane ySplit="6" topLeftCell="A7" activePane="bottomLeft" state="frozen"/>
      <selection activeCell="R7" sqref="R7"/>
      <selection pane="bottomLeft" activeCell="N17" sqref="N17"/>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style="844" customWidth="1"/>
    <col min="16" max="16" width="19.85546875" customWidth="1"/>
    <col min="17" max="17" width="11.42578125" bestFit="1" customWidth="1"/>
    <col min="18" max="20" width="14.28515625" customWidth="1"/>
    <col min="21" max="21" width="15.7109375" customWidth="1"/>
  </cols>
  <sheetData>
    <row r="1" spans="1:21" ht="18.75">
      <c r="A1" s="780" t="s">
        <v>1345</v>
      </c>
      <c r="B1" s="780"/>
      <c r="C1" s="780"/>
      <c r="D1" s="780"/>
      <c r="E1" s="780"/>
      <c r="F1" s="780"/>
      <c r="G1" s="780"/>
      <c r="H1" s="780"/>
      <c r="I1" s="780"/>
      <c r="J1" s="780"/>
      <c r="K1" s="780"/>
      <c r="L1" s="780"/>
      <c r="M1" s="780"/>
      <c r="N1" s="780"/>
      <c r="O1" s="780"/>
      <c r="P1" s="780"/>
      <c r="Q1" s="780"/>
      <c r="R1" s="780"/>
      <c r="S1" s="780"/>
      <c r="T1" s="780"/>
      <c r="U1" s="780"/>
    </row>
    <row r="2" spans="1:21">
      <c r="A2" s="781" t="s">
        <v>1413</v>
      </c>
      <c r="B2" s="781"/>
      <c r="C2" s="781"/>
      <c r="D2" s="781"/>
      <c r="E2" s="781"/>
      <c r="F2" s="781"/>
      <c r="G2" s="781"/>
      <c r="H2" s="781"/>
      <c r="I2" s="781"/>
      <c r="J2" s="781"/>
      <c r="K2" s="781"/>
      <c r="L2" s="781"/>
      <c r="M2" s="781"/>
      <c r="N2" s="781"/>
      <c r="O2" s="781"/>
      <c r="P2" s="781"/>
      <c r="Q2" s="781"/>
      <c r="R2" s="781"/>
      <c r="S2" s="781"/>
      <c r="T2" s="781"/>
      <c r="U2" s="781"/>
    </row>
    <row r="3" spans="1:21" ht="13.5" customHeight="1">
      <c r="A3" s="308" t="s">
        <v>1414</v>
      </c>
      <c r="B3" s="309"/>
      <c r="C3" s="309"/>
      <c r="D3" s="309"/>
      <c r="E3" s="309"/>
      <c r="F3" s="309"/>
      <c r="G3" s="309"/>
      <c r="H3" s="309"/>
      <c r="I3" s="309"/>
      <c r="J3" s="309"/>
      <c r="K3" s="309"/>
      <c r="L3" s="309"/>
      <c r="M3" s="309"/>
      <c r="N3" s="309"/>
      <c r="O3" s="839"/>
      <c r="P3" s="309"/>
      <c r="Q3" s="309"/>
      <c r="R3" s="309"/>
      <c r="S3" s="309"/>
      <c r="T3" s="309"/>
      <c r="U3" s="309"/>
    </row>
    <row r="4" spans="1:21" ht="15" customHeight="1">
      <c r="A4" s="732" t="s">
        <v>97</v>
      </c>
      <c r="B4" s="731" t="s">
        <v>111</v>
      </c>
      <c r="C4" s="734" t="s">
        <v>86</v>
      </c>
      <c r="D4" s="734" t="s">
        <v>87</v>
      </c>
      <c r="E4" s="734" t="s">
        <v>392</v>
      </c>
      <c r="F4" s="734" t="s">
        <v>88</v>
      </c>
      <c r="G4" s="737" t="s">
        <v>100</v>
      </c>
      <c r="H4" s="743"/>
      <c r="I4" s="743"/>
      <c r="J4" s="743"/>
      <c r="K4" s="743"/>
      <c r="L4" s="743"/>
      <c r="M4" s="743"/>
      <c r="N4" s="738"/>
      <c r="O4" s="739" t="s">
        <v>101</v>
      </c>
      <c r="P4" s="740"/>
      <c r="Q4" s="731" t="s">
        <v>102</v>
      </c>
      <c r="R4" s="731" t="s">
        <v>103</v>
      </c>
      <c r="S4" s="731" t="s">
        <v>110</v>
      </c>
      <c r="T4" s="731" t="s">
        <v>109</v>
      </c>
      <c r="U4" s="728" t="s">
        <v>89</v>
      </c>
    </row>
    <row r="5" spans="1:21" ht="15" customHeight="1">
      <c r="A5" s="732"/>
      <c r="B5" s="732"/>
      <c r="C5" s="735"/>
      <c r="D5" s="735"/>
      <c r="E5" s="735"/>
      <c r="F5" s="735"/>
      <c r="G5" s="737" t="s">
        <v>104</v>
      </c>
      <c r="H5" s="738"/>
      <c r="I5" s="737" t="s">
        <v>105</v>
      </c>
      <c r="J5" s="738"/>
      <c r="K5" s="737" t="s">
        <v>106</v>
      </c>
      <c r="L5" s="738"/>
      <c r="M5" s="737" t="s">
        <v>107</v>
      </c>
      <c r="N5" s="738"/>
      <c r="O5" s="741"/>
      <c r="P5" s="742"/>
      <c r="Q5" s="732"/>
      <c r="R5" s="732"/>
      <c r="S5" s="732"/>
      <c r="T5" s="732"/>
      <c r="U5" s="729"/>
    </row>
    <row r="6" spans="1:21" ht="25.5">
      <c r="A6" s="733"/>
      <c r="B6" s="733"/>
      <c r="C6" s="736"/>
      <c r="D6" s="736"/>
      <c r="E6" s="736"/>
      <c r="F6" s="736"/>
      <c r="G6" s="433" t="s">
        <v>108</v>
      </c>
      <c r="H6" s="433" t="s">
        <v>12</v>
      </c>
      <c r="I6" s="433" t="s">
        <v>108</v>
      </c>
      <c r="J6" s="433" t="s">
        <v>12</v>
      </c>
      <c r="K6" s="433" t="s">
        <v>108</v>
      </c>
      <c r="L6" s="433" t="s">
        <v>12</v>
      </c>
      <c r="M6" s="433" t="s">
        <v>108</v>
      </c>
      <c r="N6" s="433" t="s">
        <v>12</v>
      </c>
      <c r="O6" s="840" t="s">
        <v>108</v>
      </c>
      <c r="P6" s="433" t="s">
        <v>12</v>
      </c>
      <c r="Q6" s="733"/>
      <c r="R6" s="733"/>
      <c r="S6" s="733"/>
      <c r="T6" s="733"/>
      <c r="U6" s="730"/>
    </row>
    <row r="7" spans="1:21" ht="15.75">
      <c r="A7" s="434"/>
      <c r="B7" s="435"/>
      <c r="C7" s="436"/>
      <c r="D7" s="436"/>
      <c r="E7" s="437"/>
      <c r="F7" s="436"/>
      <c r="G7" s="438"/>
      <c r="H7" s="438"/>
      <c r="I7" s="438"/>
      <c r="J7" s="438"/>
      <c r="K7" s="438"/>
      <c r="L7" s="438"/>
      <c r="M7" s="438"/>
      <c r="N7" s="438"/>
      <c r="O7" s="841"/>
      <c r="P7" s="438"/>
      <c r="Q7" s="439"/>
      <c r="R7" s="439"/>
      <c r="S7" s="439"/>
      <c r="T7" s="439"/>
      <c r="U7" s="440"/>
    </row>
    <row r="8" spans="1:21" ht="120.75" customHeight="1">
      <c r="A8" s="795" t="s">
        <v>1498</v>
      </c>
      <c r="B8" s="795" t="s">
        <v>1499</v>
      </c>
      <c r="C8" s="834"/>
      <c r="D8" s="834"/>
      <c r="E8" s="305" t="s">
        <v>2187</v>
      </c>
      <c r="F8" s="493" t="s">
        <v>2180</v>
      </c>
      <c r="G8" s="356">
        <v>0.5</v>
      </c>
      <c r="H8" s="357"/>
      <c r="I8" s="274"/>
      <c r="J8" s="676"/>
      <c r="K8" s="356">
        <v>0.5</v>
      </c>
      <c r="L8" s="357"/>
      <c r="M8" s="274"/>
      <c r="N8" s="357"/>
      <c r="O8" s="842">
        <f t="shared" ref="O8:P8" si="0">G8+I8+K8+M8</f>
        <v>1</v>
      </c>
      <c r="P8" s="394">
        <f t="shared" si="0"/>
        <v>0</v>
      </c>
      <c r="Q8" s="274"/>
      <c r="R8" s="510" t="s">
        <v>2193</v>
      </c>
      <c r="S8" s="274" t="s">
        <v>2191</v>
      </c>
      <c r="T8" s="274" t="s">
        <v>2192</v>
      </c>
      <c r="U8" s="274" t="s">
        <v>2194</v>
      </c>
    </row>
    <row r="9" spans="1:21" s="359" customFormat="1" ht="126">
      <c r="A9" s="747"/>
      <c r="B9" s="747"/>
      <c r="C9" s="834"/>
      <c r="D9" s="834"/>
      <c r="E9" s="305" t="s">
        <v>2188</v>
      </c>
      <c r="F9" s="672" t="s">
        <v>2181</v>
      </c>
      <c r="G9" s="356">
        <v>0.16669999999999999</v>
      </c>
      <c r="H9" s="357">
        <f>+G9*'5. ACTIVIDADES ESPECIALES'!D459</f>
        <v>7145.0098828999999</v>
      </c>
      <c r="I9" s="677">
        <v>0.33329999999999999</v>
      </c>
      <c r="J9" s="648">
        <f>+I9*'5. ACTIVIDADES ESPECIALES'!D459</f>
        <v>14285.733617099999</v>
      </c>
      <c r="K9" s="677">
        <v>0.33329999999999999</v>
      </c>
      <c r="L9" s="648">
        <f>+K9*'5. ACTIVIDADES ESPECIALES'!D459</f>
        <v>14285.733617099999</v>
      </c>
      <c r="M9" s="677">
        <v>0.16669999999999999</v>
      </c>
      <c r="N9" s="648">
        <f>+M9*'5. ACTIVIDADES ESPECIALES'!D459</f>
        <v>7145.0098828999999</v>
      </c>
      <c r="O9" s="842">
        <f t="shared" ref="O9:O10" si="1">G9+I9+K9+M9</f>
        <v>0.99999999999999989</v>
      </c>
      <c r="P9" s="394">
        <f t="shared" ref="P9:P10" si="2">H9+J9+L9+N9</f>
        <v>42861.486999999994</v>
      </c>
      <c r="Q9" s="274"/>
      <c r="R9" s="674" t="s">
        <v>2184</v>
      </c>
      <c r="S9" s="274" t="s">
        <v>2195</v>
      </c>
      <c r="T9" s="274" t="s">
        <v>1589</v>
      </c>
      <c r="U9" s="641" t="s">
        <v>2194</v>
      </c>
    </row>
    <row r="10" spans="1:21" s="359" customFormat="1" ht="78.75">
      <c r="A10" s="747"/>
      <c r="B10" s="747"/>
      <c r="C10" s="834"/>
      <c r="D10" s="834"/>
      <c r="E10" s="305" t="s">
        <v>2190</v>
      </c>
      <c r="F10" s="493" t="s">
        <v>2182</v>
      </c>
      <c r="G10" s="356"/>
      <c r="H10" s="357"/>
      <c r="I10" s="274"/>
      <c r="J10" s="357"/>
      <c r="K10" s="356">
        <v>1</v>
      </c>
      <c r="L10" s="357">
        <f>+'5. ACTIVIDADES ESPECIALES'!D470</f>
        <v>53861.487000000001</v>
      </c>
      <c r="M10" s="274"/>
      <c r="N10" s="357"/>
      <c r="O10" s="842">
        <f t="shared" si="1"/>
        <v>1</v>
      </c>
      <c r="P10" s="394">
        <f t="shared" si="2"/>
        <v>53861.487000000001</v>
      </c>
      <c r="Q10" s="274"/>
      <c r="R10" s="516" t="s">
        <v>2185</v>
      </c>
      <c r="S10" s="274" t="s">
        <v>2197</v>
      </c>
      <c r="T10" s="274" t="s">
        <v>2196</v>
      </c>
      <c r="U10" s="641" t="s">
        <v>2194</v>
      </c>
    </row>
    <row r="11" spans="1:21" s="457" customFormat="1" ht="126">
      <c r="A11" s="748"/>
      <c r="B11" s="748"/>
      <c r="C11" s="834"/>
      <c r="D11" s="834"/>
      <c r="E11" s="305" t="s">
        <v>2189</v>
      </c>
      <c r="F11" s="525" t="s">
        <v>2183</v>
      </c>
      <c r="G11" s="356">
        <v>0.33</v>
      </c>
      <c r="H11" s="357"/>
      <c r="I11" s="356">
        <v>0.33</v>
      </c>
      <c r="J11" s="357"/>
      <c r="K11" s="274"/>
      <c r="L11" s="357"/>
      <c r="M11" s="356">
        <v>0.34</v>
      </c>
      <c r="N11" s="357"/>
      <c r="O11" s="842">
        <f t="shared" ref="O11" si="3">G11+I11+K11+M11</f>
        <v>1</v>
      </c>
      <c r="P11" s="394">
        <f t="shared" ref="P11" si="4">H11+J11+L11+N11</f>
        <v>0</v>
      </c>
      <c r="Q11" s="274"/>
      <c r="R11" s="675" t="s">
        <v>2186</v>
      </c>
      <c r="S11" s="274" t="s">
        <v>2198</v>
      </c>
      <c r="T11" s="641" t="s">
        <v>1589</v>
      </c>
      <c r="U11" s="641" t="s">
        <v>2194</v>
      </c>
    </row>
    <row r="12" spans="1:21" ht="15.75">
      <c r="A12" s="777" t="s">
        <v>1346</v>
      </c>
      <c r="B12" s="778"/>
      <c r="C12" s="778"/>
      <c r="D12" s="778"/>
      <c r="E12" s="778"/>
      <c r="F12" s="779"/>
      <c r="G12" s="232">
        <f>SUM(G8:G11)</f>
        <v>0.99669999999999992</v>
      </c>
      <c r="H12" s="232">
        <f>SUM(H8:H11)</f>
        <v>7145.0098828999999</v>
      </c>
      <c r="I12" s="232">
        <f>SUM(I8:I11)</f>
        <v>0.6633</v>
      </c>
      <c r="J12" s="232">
        <f>SUM(J8:J11)</f>
        <v>14285.733617099999</v>
      </c>
      <c r="K12" s="232">
        <f>SUM(K8:K11)</f>
        <v>1.8332999999999999</v>
      </c>
      <c r="L12" s="232">
        <f>SUM(L8:L11)</f>
        <v>68147.2206171</v>
      </c>
      <c r="M12" s="232">
        <f>SUM(M8:M11)</f>
        <v>0.50670000000000004</v>
      </c>
      <c r="N12" s="232">
        <f>SUM(N8:N11)</f>
        <v>7145.0098828999999</v>
      </c>
      <c r="O12" s="843">
        <f>SUM(O8:O11)</f>
        <v>4</v>
      </c>
      <c r="P12" s="232">
        <f>SUM(P8:P11)</f>
        <v>96722.973999999987</v>
      </c>
      <c r="Q12" s="262"/>
      <c r="R12" s="262"/>
      <c r="S12" s="262"/>
      <c r="T12" s="262"/>
      <c r="U12" s="275"/>
    </row>
  </sheetData>
  <mergeCells count="22">
    <mergeCell ref="A8:A11"/>
    <mergeCell ref="B8:B11"/>
    <mergeCell ref="Q4:Q6"/>
    <mergeCell ref="F4:F6"/>
    <mergeCell ref="B4:B6"/>
    <mergeCell ref="C4:C6"/>
    <mergeCell ref="D4:D6"/>
    <mergeCell ref="E4:E6"/>
    <mergeCell ref="A4:A6"/>
    <mergeCell ref="A12:F12"/>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B23" sqref="B23:B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7" ht="24.75" customHeight="1">
      <c r="E1" s="782" t="s">
        <v>1356</v>
      </c>
      <c r="F1" s="782"/>
      <c r="G1" s="782"/>
      <c r="H1" s="782"/>
      <c r="I1" s="782"/>
      <c r="J1" s="782"/>
      <c r="K1" s="782"/>
      <c r="L1" s="782"/>
      <c r="M1" s="287"/>
      <c r="N1" s="287"/>
      <c r="O1" s="287"/>
      <c r="P1" s="287"/>
      <c r="Q1" s="287"/>
      <c r="R1" s="287"/>
      <c r="S1" s="287"/>
      <c r="T1" s="287"/>
      <c r="U1" s="287"/>
      <c r="V1" s="287"/>
      <c r="W1" s="287"/>
      <c r="X1" s="287"/>
      <c r="Y1" s="287"/>
      <c r="Z1" s="287"/>
      <c r="AA1" s="287"/>
    </row>
    <row r="2" spans="1:27" ht="18.75">
      <c r="A2" s="313" t="s">
        <v>1355</v>
      </c>
      <c r="G2" s="287"/>
      <c r="I2" s="287"/>
      <c r="J2" s="287"/>
      <c r="K2" s="287"/>
      <c r="L2" s="287"/>
      <c r="M2" s="287"/>
      <c r="N2" s="287"/>
      <c r="O2" s="287"/>
      <c r="P2" s="287"/>
      <c r="Q2" s="287"/>
      <c r="R2" s="287"/>
      <c r="S2" s="287"/>
      <c r="T2" s="287"/>
      <c r="U2" s="287"/>
      <c r="V2" s="287"/>
      <c r="W2" s="287"/>
      <c r="X2" s="287"/>
      <c r="Y2" s="287"/>
      <c r="Z2" s="287"/>
      <c r="AA2" s="287"/>
    </row>
    <row r="3" spans="1:27" s="359" customFormat="1" ht="18.75">
      <c r="A3" s="313" t="s">
        <v>1415</v>
      </c>
      <c r="G3" s="287"/>
      <c r="H3" s="233"/>
      <c r="I3" s="287"/>
      <c r="J3" s="287"/>
      <c r="K3" s="287"/>
      <c r="L3" s="287"/>
      <c r="M3" s="287"/>
      <c r="N3" s="287"/>
      <c r="O3" s="287"/>
      <c r="P3" s="287"/>
      <c r="Q3" s="287"/>
      <c r="R3" s="287"/>
      <c r="S3" s="287"/>
      <c r="T3" s="287"/>
      <c r="U3" s="287"/>
      <c r="V3" s="287"/>
      <c r="W3" s="287"/>
      <c r="X3" s="287"/>
      <c r="Y3" s="287"/>
      <c r="Z3" s="287"/>
      <c r="AA3" s="287"/>
    </row>
    <row r="4" spans="1:27" s="359" customFormat="1" ht="18.75">
      <c r="A4" s="313" t="s">
        <v>1416</v>
      </c>
      <c r="G4" s="287"/>
      <c r="H4" s="233"/>
      <c r="I4" s="287"/>
      <c r="J4" s="287"/>
      <c r="K4" s="287"/>
      <c r="L4" s="287"/>
      <c r="M4" s="287"/>
      <c r="N4" s="287"/>
      <c r="O4" s="287"/>
      <c r="P4" s="287"/>
      <c r="Q4" s="287"/>
      <c r="R4" s="287"/>
      <c r="S4" s="287"/>
      <c r="T4" s="287"/>
      <c r="U4" s="287"/>
      <c r="V4" s="287"/>
      <c r="W4" s="287"/>
      <c r="X4" s="287"/>
      <c r="Y4" s="287"/>
      <c r="Z4" s="287"/>
      <c r="AA4" s="287"/>
    </row>
    <row r="5" spans="1:27" ht="18.75" customHeight="1">
      <c r="A5" s="773" t="s">
        <v>1417</v>
      </c>
      <c r="B5" s="783"/>
      <c r="C5" s="783"/>
      <c r="D5" s="783"/>
      <c r="E5" s="783"/>
      <c r="F5" s="783"/>
      <c r="G5" s="783"/>
      <c r="H5" s="783"/>
      <c r="I5" s="783"/>
      <c r="J5" s="783"/>
      <c r="K5" s="783"/>
      <c r="L5" s="783"/>
      <c r="M5" s="783"/>
      <c r="N5" s="783"/>
      <c r="O5" s="783"/>
      <c r="P5" s="783"/>
      <c r="Q5" s="783"/>
      <c r="R5" s="783"/>
      <c r="S5" s="783"/>
      <c r="T5" s="783"/>
      <c r="U5" s="783"/>
    </row>
    <row r="6" spans="1:27" ht="15" customHeight="1">
      <c r="A6" s="732" t="s">
        <v>97</v>
      </c>
      <c r="B6" s="731" t="s">
        <v>111</v>
      </c>
      <c r="C6" s="734" t="s">
        <v>86</v>
      </c>
      <c r="D6" s="734" t="s">
        <v>87</v>
      </c>
      <c r="E6" s="734" t="s">
        <v>392</v>
      </c>
      <c r="F6" s="734" t="s">
        <v>88</v>
      </c>
      <c r="G6" s="737" t="s">
        <v>100</v>
      </c>
      <c r="H6" s="743"/>
      <c r="I6" s="743"/>
      <c r="J6" s="743"/>
      <c r="K6" s="743"/>
      <c r="L6" s="743"/>
      <c r="M6" s="743"/>
      <c r="N6" s="738"/>
      <c r="O6" s="739" t="s">
        <v>101</v>
      </c>
      <c r="P6" s="740"/>
      <c r="Q6" s="731" t="s">
        <v>102</v>
      </c>
      <c r="R6" s="731" t="s">
        <v>103</v>
      </c>
      <c r="S6" s="731" t="s">
        <v>110</v>
      </c>
      <c r="T6" s="731" t="s">
        <v>109</v>
      </c>
      <c r="U6" s="728" t="s">
        <v>89</v>
      </c>
    </row>
    <row r="7" spans="1:27" ht="15" customHeight="1">
      <c r="A7" s="732"/>
      <c r="B7" s="732"/>
      <c r="C7" s="735"/>
      <c r="D7" s="735"/>
      <c r="E7" s="735"/>
      <c r="F7" s="735"/>
      <c r="G7" s="737" t="s">
        <v>104</v>
      </c>
      <c r="H7" s="738"/>
      <c r="I7" s="737" t="s">
        <v>105</v>
      </c>
      <c r="J7" s="738"/>
      <c r="K7" s="737" t="s">
        <v>106</v>
      </c>
      <c r="L7" s="738"/>
      <c r="M7" s="737" t="s">
        <v>107</v>
      </c>
      <c r="N7" s="738"/>
      <c r="O7" s="741"/>
      <c r="P7" s="742"/>
      <c r="Q7" s="732"/>
      <c r="R7" s="732"/>
      <c r="S7" s="732"/>
      <c r="T7" s="732"/>
      <c r="U7" s="729"/>
    </row>
    <row r="8" spans="1:27" ht="25.5">
      <c r="A8" s="733"/>
      <c r="B8" s="733"/>
      <c r="C8" s="736"/>
      <c r="D8" s="736"/>
      <c r="E8" s="736"/>
      <c r="F8" s="736"/>
      <c r="G8" s="433" t="s">
        <v>108</v>
      </c>
      <c r="H8" s="433" t="s">
        <v>12</v>
      </c>
      <c r="I8" s="433" t="s">
        <v>108</v>
      </c>
      <c r="J8" s="433" t="s">
        <v>12</v>
      </c>
      <c r="K8" s="433" t="s">
        <v>108</v>
      </c>
      <c r="L8" s="433" t="s">
        <v>12</v>
      </c>
      <c r="M8" s="433" t="s">
        <v>108</v>
      </c>
      <c r="N8" s="433" t="s">
        <v>12</v>
      </c>
      <c r="O8" s="433" t="s">
        <v>108</v>
      </c>
      <c r="P8" s="433" t="s">
        <v>12</v>
      </c>
      <c r="Q8" s="733"/>
      <c r="R8" s="733"/>
      <c r="S8" s="733"/>
      <c r="T8" s="733"/>
      <c r="U8" s="730"/>
    </row>
    <row r="9" spans="1:27" s="359" customFormat="1" ht="15.75">
      <c r="A9" s="434"/>
      <c r="B9" s="435"/>
      <c r="C9" s="436"/>
      <c r="D9" s="436"/>
      <c r="E9" s="437"/>
      <c r="F9" s="436"/>
      <c r="G9" s="438"/>
      <c r="H9" s="438"/>
      <c r="I9" s="438"/>
      <c r="J9" s="438"/>
      <c r="K9" s="438"/>
      <c r="L9" s="438"/>
      <c r="M9" s="438"/>
      <c r="N9" s="438"/>
      <c r="O9" s="438"/>
      <c r="P9" s="438"/>
      <c r="Q9" s="439"/>
      <c r="R9" s="439"/>
      <c r="S9" s="439"/>
      <c r="T9" s="439"/>
      <c r="U9" s="440"/>
    </row>
    <row r="10" spans="1:27" ht="15.75">
      <c r="A10" s="784" t="s">
        <v>1419</v>
      </c>
      <c r="B10" s="784" t="s">
        <v>1418</v>
      </c>
      <c r="C10" s="321"/>
      <c r="D10" s="321"/>
      <c r="E10" s="321"/>
      <c r="F10" s="321"/>
      <c r="G10" s="349"/>
      <c r="H10" s="350"/>
      <c r="I10" s="349"/>
      <c r="J10" s="350"/>
      <c r="K10" s="349"/>
      <c r="L10" s="350"/>
      <c r="M10" s="349"/>
      <c r="N10" s="350"/>
      <c r="O10" s="396">
        <f t="shared" ref="O10:P10" si="0">G10+I10+K10+M10</f>
        <v>0</v>
      </c>
      <c r="P10" s="394">
        <f t="shared" si="0"/>
        <v>0</v>
      </c>
      <c r="Q10" s="321"/>
      <c r="R10" s="321"/>
      <c r="S10" s="321"/>
      <c r="T10" s="321"/>
      <c r="U10" s="321"/>
    </row>
    <row r="11" spans="1:27" s="359" customFormat="1" ht="15.75">
      <c r="A11" s="784"/>
      <c r="B11" s="784"/>
      <c r="C11" s="321"/>
      <c r="D11" s="321"/>
      <c r="E11" s="321"/>
      <c r="F11" s="321"/>
      <c r="G11" s="349"/>
      <c r="H11" s="350"/>
      <c r="I11" s="349"/>
      <c r="J11" s="350"/>
      <c r="K11" s="349"/>
      <c r="L11" s="350"/>
      <c r="M11" s="349"/>
      <c r="N11" s="350"/>
      <c r="O11" s="396">
        <f t="shared" ref="O11:O28" si="1">G11+I11+K11+M11</f>
        <v>0</v>
      </c>
      <c r="P11" s="394">
        <f t="shared" ref="P11:P28" si="2">H11+J11+L11+N11</f>
        <v>0</v>
      </c>
      <c r="Q11" s="321"/>
      <c r="R11" s="321"/>
      <c r="S11" s="321"/>
      <c r="T11" s="321"/>
      <c r="U11" s="321"/>
    </row>
    <row r="12" spans="1:27" s="359" customFormat="1" ht="15.75">
      <c r="A12" s="784"/>
      <c r="B12" s="784"/>
      <c r="C12" s="321"/>
      <c r="D12" s="321"/>
      <c r="E12" s="321"/>
      <c r="F12" s="321"/>
      <c r="G12" s="349"/>
      <c r="H12" s="350"/>
      <c r="I12" s="349"/>
      <c r="J12" s="350"/>
      <c r="K12" s="349"/>
      <c r="L12" s="350"/>
      <c r="M12" s="349"/>
      <c r="N12" s="350"/>
      <c r="O12" s="396">
        <f t="shared" si="1"/>
        <v>0</v>
      </c>
      <c r="P12" s="394">
        <f t="shared" si="2"/>
        <v>0</v>
      </c>
      <c r="Q12" s="321"/>
      <c r="R12" s="321"/>
      <c r="S12" s="321"/>
      <c r="T12" s="321"/>
      <c r="U12" s="321"/>
    </row>
    <row r="13" spans="1:27" s="359" customFormat="1" ht="15.75">
      <c r="A13" s="784"/>
      <c r="B13" s="784"/>
      <c r="C13" s="321"/>
      <c r="D13" s="321"/>
      <c r="E13" s="321"/>
      <c r="F13" s="321"/>
      <c r="G13" s="349"/>
      <c r="H13" s="350"/>
      <c r="I13" s="349"/>
      <c r="J13" s="350"/>
      <c r="K13" s="349"/>
      <c r="L13" s="350"/>
      <c r="M13" s="349"/>
      <c r="N13" s="350"/>
      <c r="O13" s="396">
        <f t="shared" si="1"/>
        <v>0</v>
      </c>
      <c r="P13" s="394">
        <f t="shared" si="2"/>
        <v>0</v>
      </c>
      <c r="Q13" s="321"/>
      <c r="R13" s="321"/>
      <c r="S13" s="321"/>
      <c r="T13" s="321"/>
      <c r="U13" s="321"/>
    </row>
    <row r="14" spans="1:27" s="359" customFormat="1" ht="15.75">
      <c r="A14" s="784"/>
      <c r="B14" s="784"/>
      <c r="C14" s="321"/>
      <c r="D14" s="321"/>
      <c r="E14" s="321"/>
      <c r="F14" s="321"/>
      <c r="G14" s="349"/>
      <c r="H14" s="350"/>
      <c r="I14" s="349"/>
      <c r="J14" s="350"/>
      <c r="K14" s="349"/>
      <c r="L14" s="350"/>
      <c r="M14" s="349"/>
      <c r="N14" s="350"/>
      <c r="O14" s="396">
        <f t="shared" si="1"/>
        <v>0</v>
      </c>
      <c r="P14" s="394">
        <f t="shared" si="2"/>
        <v>0</v>
      </c>
      <c r="Q14" s="321"/>
      <c r="R14" s="321"/>
      <c r="S14" s="321"/>
      <c r="T14" s="321"/>
      <c r="U14" s="321"/>
    </row>
    <row r="15" spans="1:27" s="359" customFormat="1" ht="15.75">
      <c r="A15" s="784"/>
      <c r="B15" s="784"/>
      <c r="C15" s="321"/>
      <c r="D15" s="321"/>
      <c r="E15" s="321"/>
      <c r="F15" s="321"/>
      <c r="G15" s="349"/>
      <c r="H15" s="350"/>
      <c r="I15" s="349"/>
      <c r="J15" s="350"/>
      <c r="K15" s="349"/>
      <c r="L15" s="350"/>
      <c r="M15" s="349"/>
      <c r="N15" s="350"/>
      <c r="O15" s="396">
        <f t="shared" si="1"/>
        <v>0</v>
      </c>
      <c r="P15" s="394">
        <f t="shared" si="2"/>
        <v>0</v>
      </c>
      <c r="Q15" s="321"/>
      <c r="R15" s="321"/>
      <c r="S15" s="321"/>
      <c r="T15" s="321"/>
      <c r="U15" s="321"/>
    </row>
    <row r="16" spans="1:27" ht="15.75">
      <c r="A16" s="784"/>
      <c r="B16" s="784"/>
      <c r="C16" s="321"/>
      <c r="D16" s="321"/>
      <c r="E16" s="321"/>
      <c r="F16" s="321"/>
      <c r="G16" s="349"/>
      <c r="H16" s="350"/>
      <c r="I16" s="349"/>
      <c r="J16" s="350"/>
      <c r="K16" s="349"/>
      <c r="L16" s="350"/>
      <c r="M16" s="349"/>
      <c r="N16" s="350"/>
      <c r="O16" s="396">
        <f t="shared" si="1"/>
        <v>0</v>
      </c>
      <c r="P16" s="394">
        <f t="shared" si="2"/>
        <v>0</v>
      </c>
      <c r="Q16" s="321"/>
      <c r="R16" s="321"/>
      <c r="S16" s="321"/>
      <c r="T16" s="321"/>
      <c r="U16" s="321"/>
    </row>
    <row r="17" spans="1:21" s="359" customFormat="1" ht="15.75">
      <c r="A17" s="744" t="s">
        <v>1421</v>
      </c>
      <c r="B17" s="744" t="s">
        <v>117</v>
      </c>
      <c r="C17" s="321"/>
      <c r="D17" s="321"/>
      <c r="E17" s="321"/>
      <c r="F17" s="321"/>
      <c r="G17" s="349"/>
      <c r="H17" s="350"/>
      <c r="I17" s="349"/>
      <c r="J17" s="350"/>
      <c r="K17" s="349"/>
      <c r="L17" s="350"/>
      <c r="M17" s="349"/>
      <c r="N17" s="350"/>
      <c r="O17" s="396">
        <f t="shared" si="1"/>
        <v>0</v>
      </c>
      <c r="P17" s="394">
        <f t="shared" si="2"/>
        <v>0</v>
      </c>
      <c r="Q17" s="321"/>
      <c r="R17" s="321"/>
      <c r="S17" s="321"/>
      <c r="T17" s="321"/>
      <c r="U17" s="321"/>
    </row>
    <row r="18" spans="1:21" s="359" customFormat="1" ht="15.75">
      <c r="A18" s="745"/>
      <c r="B18" s="745"/>
      <c r="C18" s="321"/>
      <c r="D18" s="321"/>
      <c r="E18" s="321"/>
      <c r="F18" s="321"/>
      <c r="G18" s="349"/>
      <c r="H18" s="350"/>
      <c r="I18" s="349"/>
      <c r="J18" s="350"/>
      <c r="K18" s="349"/>
      <c r="L18" s="350"/>
      <c r="M18" s="349"/>
      <c r="N18" s="350"/>
      <c r="O18" s="396">
        <f t="shared" si="1"/>
        <v>0</v>
      </c>
      <c r="P18" s="394">
        <f t="shared" si="2"/>
        <v>0</v>
      </c>
      <c r="Q18" s="321"/>
      <c r="R18" s="321"/>
      <c r="S18" s="321"/>
      <c r="T18" s="321"/>
      <c r="U18" s="321"/>
    </row>
    <row r="19" spans="1:21" s="359" customFormat="1" ht="15.75">
      <c r="A19" s="745"/>
      <c r="B19" s="745"/>
      <c r="C19" s="321"/>
      <c r="D19" s="321"/>
      <c r="E19" s="321"/>
      <c r="F19" s="321"/>
      <c r="G19" s="349"/>
      <c r="H19" s="350"/>
      <c r="I19" s="349"/>
      <c r="J19" s="350"/>
      <c r="K19" s="349"/>
      <c r="L19" s="350"/>
      <c r="M19" s="349"/>
      <c r="N19" s="350"/>
      <c r="O19" s="396">
        <f t="shared" si="1"/>
        <v>0</v>
      </c>
      <c r="P19" s="394">
        <f t="shared" si="2"/>
        <v>0</v>
      </c>
      <c r="Q19" s="321"/>
      <c r="R19" s="321"/>
      <c r="S19" s="321"/>
      <c r="T19" s="321"/>
      <c r="U19" s="321"/>
    </row>
    <row r="20" spans="1:21" s="359" customFormat="1" ht="15.75">
      <c r="A20" s="745"/>
      <c r="B20" s="745"/>
      <c r="C20" s="321"/>
      <c r="D20" s="321"/>
      <c r="E20" s="321"/>
      <c r="F20" s="321"/>
      <c r="G20" s="349"/>
      <c r="H20" s="350"/>
      <c r="I20" s="349"/>
      <c r="J20" s="350"/>
      <c r="K20" s="349"/>
      <c r="L20" s="350"/>
      <c r="M20" s="349"/>
      <c r="N20" s="350"/>
      <c r="O20" s="396">
        <f t="shared" si="1"/>
        <v>0</v>
      </c>
      <c r="P20" s="394">
        <f t="shared" si="2"/>
        <v>0</v>
      </c>
      <c r="Q20" s="321"/>
      <c r="R20" s="321"/>
      <c r="S20" s="321"/>
      <c r="T20" s="321"/>
      <c r="U20" s="321"/>
    </row>
    <row r="21" spans="1:21" s="359" customFormat="1" ht="15.75">
      <c r="A21" s="745"/>
      <c r="B21" s="745"/>
      <c r="C21" s="321"/>
      <c r="D21" s="321"/>
      <c r="E21" s="321"/>
      <c r="F21" s="321"/>
      <c r="G21" s="349"/>
      <c r="H21" s="350"/>
      <c r="I21" s="349"/>
      <c r="J21" s="350"/>
      <c r="K21" s="349"/>
      <c r="L21" s="350"/>
      <c r="M21" s="349"/>
      <c r="N21" s="350"/>
      <c r="O21" s="396">
        <f t="shared" si="1"/>
        <v>0</v>
      </c>
      <c r="P21" s="394">
        <f t="shared" si="2"/>
        <v>0</v>
      </c>
      <c r="Q21" s="321"/>
      <c r="R21" s="321"/>
      <c r="S21" s="321"/>
      <c r="T21" s="321"/>
      <c r="U21" s="321"/>
    </row>
    <row r="22" spans="1:21" s="359" customFormat="1" ht="15.75">
      <c r="A22" s="746"/>
      <c r="B22" s="746"/>
      <c r="C22" s="321"/>
      <c r="D22" s="321"/>
      <c r="E22" s="321"/>
      <c r="F22" s="321"/>
      <c r="G22" s="349"/>
      <c r="H22" s="350"/>
      <c r="I22" s="349"/>
      <c r="J22" s="350"/>
      <c r="K22" s="349"/>
      <c r="L22" s="350"/>
      <c r="M22" s="349"/>
      <c r="N22" s="350"/>
      <c r="O22" s="396">
        <f t="shared" si="1"/>
        <v>0</v>
      </c>
      <c r="P22" s="394">
        <f t="shared" si="2"/>
        <v>0</v>
      </c>
      <c r="Q22" s="321"/>
      <c r="R22" s="321"/>
      <c r="S22" s="321"/>
      <c r="T22" s="321"/>
      <c r="U22" s="321"/>
    </row>
    <row r="23" spans="1:21" s="359" customFormat="1" ht="15.75">
      <c r="A23" s="784" t="s">
        <v>1422</v>
      </c>
      <c r="B23" s="744"/>
      <c r="C23" s="321"/>
      <c r="D23" s="321"/>
      <c r="E23" s="321"/>
      <c r="F23" s="321"/>
      <c r="G23" s="349"/>
      <c r="H23" s="350"/>
      <c r="I23" s="349"/>
      <c r="J23" s="350"/>
      <c r="K23" s="349"/>
      <c r="L23" s="350"/>
      <c r="M23" s="349"/>
      <c r="N23" s="350"/>
      <c r="O23" s="396">
        <f t="shared" si="1"/>
        <v>0</v>
      </c>
      <c r="P23" s="394">
        <f t="shared" si="2"/>
        <v>0</v>
      </c>
      <c r="Q23" s="321"/>
      <c r="R23" s="321"/>
      <c r="S23" s="321"/>
      <c r="T23" s="321"/>
      <c r="U23" s="321"/>
    </row>
    <row r="24" spans="1:21" s="359" customFormat="1" ht="15.75">
      <c r="A24" s="784"/>
      <c r="B24" s="745"/>
      <c r="C24" s="321"/>
      <c r="D24" s="321"/>
      <c r="E24" s="321"/>
      <c r="F24" s="321"/>
      <c r="G24" s="349"/>
      <c r="H24" s="350"/>
      <c r="I24" s="349"/>
      <c r="J24" s="350"/>
      <c r="K24" s="349"/>
      <c r="L24" s="350"/>
      <c r="M24" s="349"/>
      <c r="N24" s="350"/>
      <c r="O24" s="396">
        <f t="shared" si="1"/>
        <v>0</v>
      </c>
      <c r="P24" s="394">
        <f t="shared" si="2"/>
        <v>0</v>
      </c>
      <c r="Q24" s="321"/>
      <c r="R24" s="321"/>
      <c r="S24" s="321"/>
      <c r="T24" s="321"/>
      <c r="U24" s="321"/>
    </row>
    <row r="25" spans="1:21" s="359" customFormat="1" ht="15.75">
      <c r="A25" s="784"/>
      <c r="B25" s="745"/>
      <c r="C25" s="321"/>
      <c r="D25" s="321"/>
      <c r="E25" s="321"/>
      <c r="F25" s="321"/>
      <c r="G25" s="349"/>
      <c r="H25" s="350"/>
      <c r="I25" s="349"/>
      <c r="J25" s="350"/>
      <c r="K25" s="349"/>
      <c r="L25" s="350"/>
      <c r="M25" s="349"/>
      <c r="N25" s="350"/>
      <c r="O25" s="396">
        <f t="shared" si="1"/>
        <v>0</v>
      </c>
      <c r="P25" s="394">
        <f t="shared" si="2"/>
        <v>0</v>
      </c>
      <c r="Q25" s="321"/>
      <c r="R25" s="321"/>
      <c r="S25" s="321"/>
      <c r="T25" s="321"/>
      <c r="U25" s="321"/>
    </row>
    <row r="26" spans="1:21" s="359" customFormat="1" ht="15.75">
      <c r="A26" s="784"/>
      <c r="B26" s="745"/>
      <c r="C26" s="321"/>
      <c r="D26" s="321"/>
      <c r="E26" s="321"/>
      <c r="F26" s="321"/>
      <c r="G26" s="349"/>
      <c r="H26" s="350"/>
      <c r="I26" s="349"/>
      <c r="J26" s="350"/>
      <c r="K26" s="349"/>
      <c r="L26" s="350"/>
      <c r="M26" s="349"/>
      <c r="N26" s="350"/>
      <c r="O26" s="396">
        <f t="shared" si="1"/>
        <v>0</v>
      </c>
      <c r="P26" s="394">
        <f t="shared" si="2"/>
        <v>0</v>
      </c>
      <c r="Q26" s="321"/>
      <c r="R26" s="321"/>
      <c r="S26" s="321"/>
      <c r="T26" s="321"/>
      <c r="U26" s="321"/>
    </row>
    <row r="27" spans="1:21" s="359" customFormat="1" ht="15.75">
      <c r="A27" s="784"/>
      <c r="B27" s="745"/>
      <c r="C27" s="321"/>
      <c r="D27" s="321"/>
      <c r="E27" s="321"/>
      <c r="F27" s="321"/>
      <c r="G27" s="349"/>
      <c r="H27" s="350"/>
      <c r="I27" s="349"/>
      <c r="J27" s="350"/>
      <c r="K27" s="349"/>
      <c r="L27" s="350"/>
      <c r="M27" s="349"/>
      <c r="N27" s="350"/>
      <c r="O27" s="396">
        <f t="shared" si="1"/>
        <v>0</v>
      </c>
      <c r="P27" s="394">
        <f t="shared" si="2"/>
        <v>0</v>
      </c>
      <c r="Q27" s="321"/>
      <c r="R27" s="321"/>
      <c r="S27" s="321"/>
      <c r="T27" s="321"/>
      <c r="U27" s="321"/>
    </row>
    <row r="28" spans="1:21" ht="15.75">
      <c r="A28" s="784"/>
      <c r="B28" s="746"/>
      <c r="C28" s="321"/>
      <c r="D28" s="321"/>
      <c r="E28" s="321"/>
      <c r="F28" s="321"/>
      <c r="G28" s="321"/>
      <c r="H28" s="350"/>
      <c r="I28" s="321"/>
      <c r="J28" s="350"/>
      <c r="K28" s="321"/>
      <c r="L28" s="350"/>
      <c r="M28" s="321"/>
      <c r="N28" s="350"/>
      <c r="O28" s="396">
        <f t="shared" si="1"/>
        <v>0</v>
      </c>
      <c r="P28" s="394">
        <f t="shared" si="2"/>
        <v>0</v>
      </c>
      <c r="Q28" s="321"/>
      <c r="R28" s="71"/>
      <c r="S28" s="321"/>
      <c r="T28" s="321"/>
      <c r="U28" s="321"/>
    </row>
    <row r="29" spans="1:21" ht="15.75">
      <c r="A29" s="292"/>
      <c r="B29" s="293"/>
      <c r="C29" s="293"/>
      <c r="D29" s="292" t="s">
        <v>1420</v>
      </c>
      <c r="E29" s="293"/>
      <c r="F29" s="294"/>
      <c r="G29" s="75">
        <f t="shared" ref="G29:P29" si="3">SUM(G10:G28)</f>
        <v>0</v>
      </c>
      <c r="H29" s="235">
        <f t="shared" si="3"/>
        <v>0</v>
      </c>
      <c r="I29" s="75">
        <f t="shared" si="3"/>
        <v>0</v>
      </c>
      <c r="J29" s="235">
        <f t="shared" si="3"/>
        <v>0</v>
      </c>
      <c r="K29" s="75">
        <f t="shared" si="3"/>
        <v>0</v>
      </c>
      <c r="L29" s="235">
        <f t="shared" si="3"/>
        <v>0</v>
      </c>
      <c r="M29" s="75">
        <f t="shared" si="3"/>
        <v>0</v>
      </c>
      <c r="N29" s="235">
        <f t="shared" si="3"/>
        <v>0</v>
      </c>
      <c r="O29" s="235">
        <f t="shared" si="3"/>
        <v>0</v>
      </c>
      <c r="P29" s="235">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9" activePane="bottomLeft" state="frozen"/>
      <selection activeCell="K7" sqref="K7"/>
      <selection pane="bottomLeft" activeCell="D43" sqref="D43"/>
    </sheetView>
  </sheetViews>
  <sheetFormatPr baseColWidth="10" defaultRowHeight="15"/>
  <cols>
    <col min="1" max="1" width="35.7109375" style="359" customWidth="1"/>
    <col min="2" max="2" width="35.85546875" style="359" customWidth="1"/>
    <col min="3" max="6" width="27.42578125" style="359" customWidth="1"/>
    <col min="7" max="7" width="15.28515625" style="359" customWidth="1"/>
    <col min="8" max="8" width="11.42578125" style="233"/>
    <col min="9" max="9" width="15.28515625" style="359" customWidth="1"/>
    <col min="10" max="10" width="18.85546875" style="233" customWidth="1"/>
    <col min="11" max="11" width="11.42578125" style="359"/>
    <col min="12" max="12" width="11.42578125" style="233"/>
    <col min="13" max="13" width="11.42578125" style="359"/>
    <col min="14" max="14" width="11.42578125" style="233"/>
    <col min="15" max="15" width="15.28515625" style="359" customWidth="1"/>
    <col min="16" max="16" width="18.28515625" style="233" customWidth="1"/>
    <col min="17" max="17" width="14.140625" style="359" hidden="1" customWidth="1"/>
    <col min="18" max="20" width="14.140625" style="359" customWidth="1"/>
    <col min="21" max="21" width="17" style="359" customWidth="1"/>
    <col min="22" max="16384" width="11.42578125" style="359"/>
  </cols>
  <sheetData>
    <row r="1" spans="1:42" ht="24.75" customHeight="1">
      <c r="A1" s="402"/>
      <c r="B1" s="402"/>
      <c r="C1" s="402"/>
      <c r="D1" s="402"/>
      <c r="E1" s="786" t="s">
        <v>1457</v>
      </c>
      <c r="F1" s="786"/>
      <c r="G1" s="786"/>
      <c r="H1" s="786"/>
      <c r="I1" s="786"/>
      <c r="J1" s="786"/>
      <c r="K1" s="786"/>
      <c r="L1" s="786"/>
      <c r="M1" s="403"/>
      <c r="N1" s="403"/>
      <c r="O1" s="403"/>
      <c r="P1" s="403"/>
      <c r="Q1" s="403"/>
      <c r="R1" s="403"/>
      <c r="S1" s="403"/>
      <c r="T1" s="403"/>
      <c r="U1" s="403"/>
      <c r="V1" s="403"/>
      <c r="W1" s="403"/>
      <c r="X1" s="403"/>
      <c r="Y1" s="403"/>
      <c r="Z1" s="403"/>
      <c r="AA1" s="403"/>
      <c r="AB1" s="402"/>
      <c r="AC1" s="402"/>
      <c r="AD1" s="402"/>
      <c r="AE1" s="402"/>
      <c r="AF1" s="402"/>
      <c r="AG1" s="402"/>
      <c r="AH1" s="402"/>
      <c r="AI1" s="402"/>
      <c r="AJ1" s="402"/>
      <c r="AK1" s="402"/>
      <c r="AL1" s="402"/>
      <c r="AM1" s="402"/>
      <c r="AN1" s="402"/>
      <c r="AO1" s="402"/>
      <c r="AP1" s="402"/>
    </row>
    <row r="2" spans="1:42" ht="18.75">
      <c r="A2" s="401" t="s">
        <v>1355</v>
      </c>
      <c r="B2" s="402"/>
      <c r="C2" s="402"/>
      <c r="D2" s="402"/>
      <c r="E2" s="402"/>
      <c r="F2" s="402"/>
      <c r="G2" s="403"/>
      <c r="H2" s="404"/>
      <c r="I2" s="403"/>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c r="A3" s="401" t="s">
        <v>1463</v>
      </c>
      <c r="B3" s="402"/>
      <c r="C3" s="402"/>
      <c r="D3" s="402"/>
      <c r="E3" s="402"/>
      <c r="F3" s="402"/>
      <c r="G3" s="403"/>
      <c r="H3" s="404"/>
      <c r="I3" s="403"/>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c r="A4" s="401" t="s">
        <v>1474</v>
      </c>
      <c r="G4" s="403"/>
      <c r="H4" s="404"/>
      <c r="I4" s="403"/>
      <c r="J4" s="403"/>
      <c r="K4" s="403"/>
      <c r="L4" s="403"/>
      <c r="M4" s="403"/>
      <c r="N4" s="403"/>
      <c r="O4" s="403"/>
      <c r="P4" s="403"/>
      <c r="Q4" s="403"/>
      <c r="R4" s="403"/>
      <c r="S4" s="403"/>
      <c r="T4" s="403"/>
      <c r="U4" s="403"/>
      <c r="V4" s="403"/>
      <c r="W4" s="403"/>
      <c r="X4" s="403"/>
      <c r="Y4" s="403"/>
      <c r="Z4" s="403"/>
      <c r="AA4" s="403"/>
    </row>
    <row r="5" spans="1:42" s="402" customFormat="1" ht="18.75" customHeight="1">
      <c r="A5" s="405" t="s">
        <v>1464</v>
      </c>
      <c r="B5" s="406"/>
      <c r="C5" s="406"/>
      <c r="D5" s="406"/>
      <c r="E5" s="406"/>
      <c r="F5" s="406"/>
      <c r="G5" s="406"/>
      <c r="H5" s="406"/>
      <c r="I5" s="406"/>
      <c r="J5" s="406"/>
      <c r="K5" s="406"/>
      <c r="L5" s="406"/>
      <c r="M5" s="406"/>
      <c r="N5" s="406"/>
      <c r="O5" s="406"/>
      <c r="P5" s="406"/>
      <c r="Q5" s="406"/>
      <c r="R5" s="406"/>
      <c r="S5" s="406"/>
      <c r="T5" s="406"/>
      <c r="U5" s="406"/>
    </row>
    <row r="6" spans="1:42" ht="15" customHeight="1">
      <c r="A6" s="732" t="s">
        <v>97</v>
      </c>
      <c r="B6" s="731" t="s">
        <v>111</v>
      </c>
      <c r="C6" s="734" t="s">
        <v>86</v>
      </c>
      <c r="D6" s="734" t="s">
        <v>87</v>
      </c>
      <c r="E6" s="734" t="s">
        <v>392</v>
      </c>
      <c r="F6" s="734" t="s">
        <v>88</v>
      </c>
      <c r="G6" s="737" t="s">
        <v>100</v>
      </c>
      <c r="H6" s="743"/>
      <c r="I6" s="743"/>
      <c r="J6" s="743"/>
      <c r="K6" s="743"/>
      <c r="L6" s="743"/>
      <c r="M6" s="743"/>
      <c r="N6" s="738"/>
      <c r="O6" s="739" t="s">
        <v>101</v>
      </c>
      <c r="P6" s="740"/>
      <c r="Q6" s="731" t="s">
        <v>102</v>
      </c>
      <c r="R6" s="731" t="s">
        <v>103</v>
      </c>
      <c r="S6" s="731" t="s">
        <v>110</v>
      </c>
      <c r="T6" s="731" t="s">
        <v>109</v>
      </c>
      <c r="U6" s="728" t="s">
        <v>89</v>
      </c>
    </row>
    <row r="7" spans="1:42" ht="15" customHeight="1">
      <c r="A7" s="732"/>
      <c r="B7" s="732"/>
      <c r="C7" s="735"/>
      <c r="D7" s="735"/>
      <c r="E7" s="735"/>
      <c r="F7" s="735"/>
      <c r="G7" s="737" t="s">
        <v>104</v>
      </c>
      <c r="H7" s="738"/>
      <c r="I7" s="737" t="s">
        <v>105</v>
      </c>
      <c r="J7" s="738"/>
      <c r="K7" s="737" t="s">
        <v>106</v>
      </c>
      <c r="L7" s="738"/>
      <c r="M7" s="737" t="s">
        <v>107</v>
      </c>
      <c r="N7" s="738"/>
      <c r="O7" s="741"/>
      <c r="P7" s="742"/>
      <c r="Q7" s="732"/>
      <c r="R7" s="732"/>
      <c r="S7" s="732"/>
      <c r="T7" s="732"/>
      <c r="U7" s="729"/>
    </row>
    <row r="8" spans="1:42" ht="25.5">
      <c r="A8" s="733"/>
      <c r="B8" s="733"/>
      <c r="C8" s="736"/>
      <c r="D8" s="736"/>
      <c r="E8" s="736"/>
      <c r="F8" s="736"/>
      <c r="G8" s="433" t="s">
        <v>108</v>
      </c>
      <c r="H8" s="433" t="s">
        <v>12</v>
      </c>
      <c r="I8" s="433" t="s">
        <v>108</v>
      </c>
      <c r="J8" s="433" t="s">
        <v>12</v>
      </c>
      <c r="K8" s="433" t="s">
        <v>108</v>
      </c>
      <c r="L8" s="433" t="s">
        <v>12</v>
      </c>
      <c r="M8" s="433" t="s">
        <v>108</v>
      </c>
      <c r="N8" s="433" t="s">
        <v>12</v>
      </c>
      <c r="O8" s="433" t="s">
        <v>108</v>
      </c>
      <c r="P8" s="433" t="s">
        <v>12</v>
      </c>
      <c r="Q8" s="733"/>
      <c r="R8" s="733"/>
      <c r="S8" s="733"/>
      <c r="T8" s="733"/>
      <c r="U8" s="730"/>
    </row>
    <row r="9" spans="1:42" ht="15.75">
      <c r="A9" s="434"/>
      <c r="B9" s="435"/>
      <c r="C9" s="436"/>
      <c r="D9" s="436"/>
      <c r="E9" s="437"/>
      <c r="F9" s="436"/>
      <c r="G9" s="438"/>
      <c r="H9" s="438"/>
      <c r="I9" s="438"/>
      <c r="J9" s="438"/>
      <c r="K9" s="438"/>
      <c r="L9" s="438"/>
      <c r="M9" s="438"/>
      <c r="N9" s="438"/>
      <c r="O9" s="438"/>
      <c r="P9" s="438"/>
      <c r="Q9" s="439"/>
      <c r="R9" s="439"/>
      <c r="S9" s="439"/>
      <c r="T9" s="439"/>
      <c r="U9" s="440"/>
    </row>
    <row r="10" spans="1:42" ht="15.75" customHeight="1">
      <c r="A10" s="785" t="s">
        <v>1465</v>
      </c>
      <c r="B10" s="785" t="s">
        <v>1466</v>
      </c>
      <c r="C10" s="321"/>
      <c r="D10" s="321"/>
      <c r="E10" s="321"/>
      <c r="F10" s="321"/>
      <c r="G10" s="349"/>
      <c r="H10" s="350"/>
      <c r="I10" s="349"/>
      <c r="J10" s="350"/>
      <c r="K10" s="349"/>
      <c r="L10" s="350"/>
      <c r="M10" s="349"/>
      <c r="N10" s="350"/>
      <c r="O10" s="396">
        <f t="shared" ref="O10:P62" si="0">G10+I10+K10+M10</f>
        <v>0</v>
      </c>
      <c r="P10" s="394">
        <f t="shared" si="0"/>
        <v>0</v>
      </c>
      <c r="Q10" s="321"/>
      <c r="R10" s="321"/>
      <c r="S10" s="321"/>
      <c r="T10" s="321"/>
      <c r="U10" s="321"/>
    </row>
    <row r="11" spans="1:42" ht="15.75">
      <c r="A11" s="745"/>
      <c r="B11" s="745"/>
      <c r="C11" s="321"/>
      <c r="D11" s="321"/>
      <c r="E11" s="321"/>
      <c r="F11" s="321"/>
      <c r="G11" s="349"/>
      <c r="H11" s="350"/>
      <c r="I11" s="349"/>
      <c r="J11" s="350"/>
      <c r="K11" s="349"/>
      <c r="L11" s="350"/>
      <c r="M11" s="349"/>
      <c r="N11" s="350"/>
      <c r="O11" s="396">
        <f t="shared" si="0"/>
        <v>0</v>
      </c>
      <c r="P11" s="394">
        <f t="shared" si="0"/>
        <v>0</v>
      </c>
      <c r="Q11" s="321"/>
      <c r="R11" s="321"/>
      <c r="S11" s="321"/>
      <c r="T11" s="321"/>
      <c r="U11" s="321"/>
    </row>
    <row r="12" spans="1:42" ht="15.75">
      <c r="A12" s="745"/>
      <c r="B12" s="745"/>
      <c r="C12" s="321"/>
      <c r="D12" s="321"/>
      <c r="E12" s="321"/>
      <c r="F12" s="321"/>
      <c r="G12" s="349"/>
      <c r="H12" s="350"/>
      <c r="I12" s="349"/>
      <c r="J12" s="350"/>
      <c r="K12" s="349"/>
      <c r="L12" s="350"/>
      <c r="M12" s="349"/>
      <c r="N12" s="350"/>
      <c r="O12" s="396">
        <f t="shared" si="0"/>
        <v>0</v>
      </c>
      <c r="P12" s="394">
        <f t="shared" si="0"/>
        <v>0</v>
      </c>
      <c r="Q12" s="321"/>
      <c r="R12" s="321"/>
      <c r="S12" s="321"/>
      <c r="T12" s="321"/>
      <c r="U12" s="321"/>
    </row>
    <row r="13" spans="1:42" ht="15.75">
      <c r="A13" s="745"/>
      <c r="B13" s="745"/>
      <c r="C13" s="321"/>
      <c r="D13" s="321"/>
      <c r="E13" s="321"/>
      <c r="F13" s="321"/>
      <c r="G13" s="349"/>
      <c r="H13" s="350"/>
      <c r="I13" s="349"/>
      <c r="J13" s="350"/>
      <c r="K13" s="349"/>
      <c r="L13" s="350"/>
      <c r="M13" s="349"/>
      <c r="N13" s="350"/>
      <c r="O13" s="396">
        <f t="shared" ref="O13:O25" si="1">G13+I13+K13+M13</f>
        <v>0</v>
      </c>
      <c r="P13" s="394">
        <f t="shared" ref="P13:P25" si="2">H13+J13+L13+N13</f>
        <v>0</v>
      </c>
      <c r="Q13" s="321"/>
      <c r="R13" s="321"/>
      <c r="S13" s="321"/>
      <c r="T13" s="321"/>
      <c r="U13" s="321"/>
    </row>
    <row r="14" spans="1:42" ht="15.75">
      <c r="A14" s="745"/>
      <c r="B14" s="745"/>
      <c r="C14" s="321"/>
      <c r="D14" s="321"/>
      <c r="E14" s="321"/>
      <c r="F14" s="321"/>
      <c r="G14" s="349"/>
      <c r="H14" s="350"/>
      <c r="I14" s="349"/>
      <c r="J14" s="350"/>
      <c r="K14" s="349"/>
      <c r="L14" s="350"/>
      <c r="M14" s="349"/>
      <c r="N14" s="350"/>
      <c r="O14" s="396">
        <f t="shared" si="1"/>
        <v>0</v>
      </c>
      <c r="P14" s="394">
        <f t="shared" si="2"/>
        <v>0</v>
      </c>
      <c r="Q14" s="321"/>
      <c r="R14" s="321"/>
      <c r="S14" s="321"/>
      <c r="T14" s="321"/>
      <c r="U14" s="321"/>
    </row>
    <row r="15" spans="1:42" ht="15.75">
      <c r="A15" s="745"/>
      <c r="B15" s="745"/>
      <c r="C15" s="321"/>
      <c r="D15" s="321"/>
      <c r="E15" s="321"/>
      <c r="F15" s="321"/>
      <c r="G15" s="349"/>
      <c r="H15" s="350"/>
      <c r="I15" s="349"/>
      <c r="J15" s="350"/>
      <c r="K15" s="349"/>
      <c r="L15" s="350"/>
      <c r="M15" s="349"/>
      <c r="N15" s="350"/>
      <c r="O15" s="396">
        <f t="shared" si="1"/>
        <v>0</v>
      </c>
      <c r="P15" s="394">
        <f t="shared" si="2"/>
        <v>0</v>
      </c>
      <c r="Q15" s="321"/>
      <c r="R15" s="321"/>
      <c r="S15" s="321"/>
      <c r="T15" s="321"/>
      <c r="U15" s="321"/>
    </row>
    <row r="16" spans="1:42" ht="15.75">
      <c r="A16" s="745"/>
      <c r="B16" s="745"/>
      <c r="C16" s="321"/>
      <c r="D16" s="321"/>
      <c r="E16" s="321"/>
      <c r="F16" s="321"/>
      <c r="G16" s="349"/>
      <c r="H16" s="350"/>
      <c r="I16" s="349"/>
      <c r="J16" s="350"/>
      <c r="K16" s="349"/>
      <c r="L16" s="350"/>
      <c r="M16" s="349"/>
      <c r="N16" s="350"/>
      <c r="O16" s="396">
        <f t="shared" si="1"/>
        <v>0</v>
      </c>
      <c r="P16" s="394">
        <f t="shared" si="2"/>
        <v>0</v>
      </c>
      <c r="Q16" s="321"/>
      <c r="R16" s="321"/>
      <c r="S16" s="321"/>
      <c r="T16" s="321"/>
      <c r="U16" s="321"/>
    </row>
    <row r="17" spans="1:21" ht="15.75" customHeight="1">
      <c r="A17" s="745"/>
      <c r="B17" s="746"/>
      <c r="C17" s="321"/>
      <c r="D17" s="321"/>
      <c r="E17" s="321"/>
      <c r="F17" s="321"/>
      <c r="G17" s="349"/>
      <c r="H17" s="350"/>
      <c r="I17" s="349"/>
      <c r="J17" s="350"/>
      <c r="K17" s="349"/>
      <c r="L17" s="350"/>
      <c r="M17" s="349"/>
      <c r="N17" s="350"/>
      <c r="O17" s="396">
        <f t="shared" si="1"/>
        <v>0</v>
      </c>
      <c r="P17" s="394">
        <f t="shared" si="2"/>
        <v>0</v>
      </c>
      <c r="Q17" s="321"/>
      <c r="R17" s="321"/>
      <c r="S17" s="321"/>
      <c r="T17" s="321"/>
      <c r="U17" s="321"/>
    </row>
    <row r="18" spans="1:21" ht="15.75" customHeight="1">
      <c r="A18" s="745"/>
      <c r="B18" s="785" t="s">
        <v>1467</v>
      </c>
      <c r="C18" s="321"/>
      <c r="D18" s="321"/>
      <c r="E18" s="321"/>
      <c r="F18" s="321"/>
      <c r="G18" s="349"/>
      <c r="H18" s="350"/>
      <c r="I18" s="349"/>
      <c r="J18" s="350"/>
      <c r="K18" s="349"/>
      <c r="L18" s="350"/>
      <c r="M18" s="349"/>
      <c r="N18" s="350"/>
      <c r="O18" s="396">
        <f t="shared" si="1"/>
        <v>0</v>
      </c>
      <c r="P18" s="394">
        <f t="shared" si="2"/>
        <v>0</v>
      </c>
      <c r="Q18" s="321"/>
      <c r="R18" s="321"/>
      <c r="S18" s="321"/>
      <c r="T18" s="321"/>
      <c r="U18" s="321"/>
    </row>
    <row r="19" spans="1:21" ht="15.75">
      <c r="A19" s="745"/>
      <c r="B19" s="745"/>
      <c r="C19" s="321"/>
      <c r="D19" s="321"/>
      <c r="E19" s="321"/>
      <c r="F19" s="321"/>
      <c r="G19" s="349"/>
      <c r="H19" s="350"/>
      <c r="I19" s="349"/>
      <c r="J19" s="350"/>
      <c r="K19" s="349"/>
      <c r="L19" s="350"/>
      <c r="M19" s="349"/>
      <c r="N19" s="350"/>
      <c r="O19" s="396"/>
      <c r="P19" s="394"/>
      <c r="Q19" s="321"/>
      <c r="R19" s="321"/>
      <c r="S19" s="321"/>
      <c r="T19" s="321"/>
      <c r="U19" s="321"/>
    </row>
    <row r="20" spans="1:21" ht="15.75">
      <c r="A20" s="745"/>
      <c r="B20" s="745"/>
      <c r="C20" s="321"/>
      <c r="D20" s="321"/>
      <c r="E20" s="321"/>
      <c r="F20" s="321"/>
      <c r="G20" s="349"/>
      <c r="H20" s="350"/>
      <c r="I20" s="349"/>
      <c r="J20" s="350"/>
      <c r="K20" s="349"/>
      <c r="L20" s="350"/>
      <c r="M20" s="349"/>
      <c r="N20" s="350"/>
      <c r="O20" s="396"/>
      <c r="P20" s="394"/>
      <c r="Q20" s="321"/>
      <c r="R20" s="321"/>
      <c r="S20" s="321"/>
      <c r="T20" s="321"/>
      <c r="U20" s="321"/>
    </row>
    <row r="21" spans="1:21" ht="15.75" customHeight="1">
      <c r="A21" s="745"/>
      <c r="B21" s="745"/>
      <c r="C21" s="321"/>
      <c r="D21" s="321"/>
      <c r="E21" s="321"/>
      <c r="F21" s="321"/>
      <c r="G21" s="349"/>
      <c r="H21" s="350"/>
      <c r="I21" s="349"/>
      <c r="J21" s="350"/>
      <c r="K21" s="349"/>
      <c r="L21" s="350"/>
      <c r="M21" s="349"/>
      <c r="N21" s="350"/>
      <c r="O21" s="396"/>
      <c r="P21" s="394"/>
      <c r="Q21" s="321"/>
      <c r="R21" s="321"/>
      <c r="S21" s="321"/>
      <c r="T21" s="321"/>
      <c r="U21" s="321"/>
    </row>
    <row r="22" spans="1:21" ht="15.75">
      <c r="A22" s="745"/>
      <c r="B22" s="745"/>
      <c r="C22" s="321"/>
      <c r="D22" s="321"/>
      <c r="E22" s="321"/>
      <c r="F22" s="321"/>
      <c r="G22" s="349"/>
      <c r="H22" s="350"/>
      <c r="I22" s="349"/>
      <c r="J22" s="350"/>
      <c r="K22" s="349"/>
      <c r="L22" s="350"/>
      <c r="M22" s="349"/>
      <c r="N22" s="350"/>
      <c r="O22" s="396"/>
      <c r="P22" s="394"/>
      <c r="Q22" s="321"/>
      <c r="R22" s="321"/>
      <c r="S22" s="321"/>
      <c r="T22" s="321"/>
      <c r="U22" s="321"/>
    </row>
    <row r="23" spans="1:21" ht="15.75">
      <c r="A23" s="745"/>
      <c r="B23" s="745"/>
      <c r="C23" s="321"/>
      <c r="D23" s="321"/>
      <c r="E23" s="321"/>
      <c r="F23" s="321"/>
      <c r="G23" s="349"/>
      <c r="H23" s="350"/>
      <c r="I23" s="349"/>
      <c r="J23" s="350"/>
      <c r="K23" s="349"/>
      <c r="L23" s="350"/>
      <c r="M23" s="349"/>
      <c r="N23" s="350"/>
      <c r="O23" s="396">
        <f t="shared" si="1"/>
        <v>0</v>
      </c>
      <c r="P23" s="394">
        <f t="shared" si="2"/>
        <v>0</v>
      </c>
      <c r="Q23" s="321"/>
      <c r="R23" s="321"/>
      <c r="S23" s="321"/>
      <c r="T23" s="321"/>
      <c r="U23" s="321"/>
    </row>
    <row r="24" spans="1:21" ht="15.75">
      <c r="A24" s="745"/>
      <c r="B24" s="746"/>
      <c r="C24" s="321"/>
      <c r="D24" s="321"/>
      <c r="E24" s="321"/>
      <c r="F24" s="321"/>
      <c r="G24" s="349"/>
      <c r="H24" s="350"/>
      <c r="I24" s="349"/>
      <c r="J24" s="350"/>
      <c r="K24" s="349"/>
      <c r="L24" s="350"/>
      <c r="M24" s="349"/>
      <c r="N24" s="350"/>
      <c r="O24" s="396">
        <f t="shared" si="1"/>
        <v>0</v>
      </c>
      <c r="P24" s="394">
        <f t="shared" si="2"/>
        <v>0</v>
      </c>
      <c r="Q24" s="321"/>
      <c r="R24" s="321"/>
      <c r="S24" s="321"/>
      <c r="T24" s="321"/>
      <c r="U24" s="321"/>
    </row>
    <row r="25" spans="1:21" ht="15.75" customHeight="1">
      <c r="A25" s="745"/>
      <c r="B25" s="785" t="s">
        <v>1468</v>
      </c>
      <c r="C25" s="321"/>
      <c r="D25" s="321"/>
      <c r="E25" s="321"/>
      <c r="F25" s="321"/>
      <c r="G25" s="349"/>
      <c r="H25" s="350"/>
      <c r="I25" s="349"/>
      <c r="J25" s="350"/>
      <c r="K25" s="349"/>
      <c r="L25" s="350"/>
      <c r="M25" s="349"/>
      <c r="N25" s="350"/>
      <c r="O25" s="396">
        <f t="shared" si="1"/>
        <v>0</v>
      </c>
      <c r="P25" s="394">
        <f t="shared" si="2"/>
        <v>0</v>
      </c>
      <c r="Q25" s="321"/>
      <c r="R25" s="321"/>
      <c r="S25" s="321"/>
      <c r="T25" s="321"/>
      <c r="U25" s="321"/>
    </row>
    <row r="26" spans="1:21" ht="15.75">
      <c r="A26" s="745"/>
      <c r="B26" s="745"/>
      <c r="C26" s="321"/>
      <c r="D26" s="321"/>
      <c r="E26" s="321"/>
      <c r="F26" s="321"/>
      <c r="G26" s="349"/>
      <c r="H26" s="350"/>
      <c r="I26" s="349"/>
      <c r="J26" s="350"/>
      <c r="K26" s="349"/>
      <c r="L26" s="350"/>
      <c r="M26" s="349"/>
      <c r="N26" s="350"/>
      <c r="O26" s="396">
        <f t="shared" si="0"/>
        <v>0</v>
      </c>
      <c r="P26" s="394">
        <f t="shared" si="0"/>
        <v>0</v>
      </c>
      <c r="Q26" s="321"/>
      <c r="R26" s="321"/>
      <c r="S26" s="321"/>
      <c r="T26" s="321"/>
      <c r="U26" s="321"/>
    </row>
    <row r="27" spans="1:21" ht="15.75">
      <c r="A27" s="745"/>
      <c r="B27" s="745"/>
      <c r="C27" s="321"/>
      <c r="D27" s="321"/>
      <c r="E27" s="321"/>
      <c r="F27" s="321"/>
      <c r="G27" s="349"/>
      <c r="H27" s="350"/>
      <c r="I27" s="349"/>
      <c r="J27" s="350"/>
      <c r="K27" s="349"/>
      <c r="L27" s="350"/>
      <c r="M27" s="349"/>
      <c r="N27" s="350"/>
      <c r="O27" s="396">
        <f t="shared" si="0"/>
        <v>0</v>
      </c>
      <c r="P27" s="394">
        <f t="shared" si="0"/>
        <v>0</v>
      </c>
      <c r="Q27" s="321"/>
      <c r="R27" s="321"/>
      <c r="S27" s="321"/>
      <c r="T27" s="321"/>
      <c r="U27" s="321"/>
    </row>
    <row r="28" spans="1:21" ht="15.75">
      <c r="A28" s="745"/>
      <c r="B28" s="746"/>
      <c r="C28" s="321"/>
      <c r="D28" s="321"/>
      <c r="E28" s="321"/>
      <c r="F28" s="321"/>
      <c r="G28" s="349"/>
      <c r="H28" s="350"/>
      <c r="I28" s="349"/>
      <c r="J28" s="350"/>
      <c r="K28" s="349"/>
      <c r="L28" s="350"/>
      <c r="M28" s="349"/>
      <c r="N28" s="350"/>
      <c r="O28" s="396">
        <f t="shared" si="0"/>
        <v>0</v>
      </c>
      <c r="P28" s="394">
        <f t="shared" si="0"/>
        <v>0</v>
      </c>
      <c r="Q28" s="321"/>
      <c r="R28" s="321"/>
      <c r="S28" s="321"/>
      <c r="T28" s="321"/>
      <c r="U28" s="321"/>
    </row>
    <row r="29" spans="1:21" ht="15.75" customHeight="1">
      <c r="A29" s="745"/>
      <c r="B29" s="785" t="s">
        <v>1469</v>
      </c>
      <c r="C29" s="321"/>
      <c r="D29" s="321"/>
      <c r="E29" s="321"/>
      <c r="F29" s="321"/>
      <c r="G29" s="349"/>
      <c r="H29" s="350"/>
      <c r="I29" s="349"/>
      <c r="J29" s="350"/>
      <c r="K29" s="349"/>
      <c r="L29" s="350"/>
      <c r="M29" s="349"/>
      <c r="N29" s="350"/>
      <c r="O29" s="396">
        <f t="shared" si="0"/>
        <v>0</v>
      </c>
      <c r="P29" s="394">
        <f t="shared" si="0"/>
        <v>0</v>
      </c>
      <c r="Q29" s="321"/>
      <c r="R29" s="321"/>
      <c r="S29" s="321"/>
      <c r="T29" s="321"/>
      <c r="U29" s="321"/>
    </row>
    <row r="30" spans="1:21" ht="15.75">
      <c r="A30" s="745"/>
      <c r="B30" s="745"/>
      <c r="C30" s="321"/>
      <c r="D30" s="321"/>
      <c r="E30" s="321"/>
      <c r="F30" s="321"/>
      <c r="G30" s="349"/>
      <c r="H30" s="350"/>
      <c r="I30" s="349"/>
      <c r="J30" s="350"/>
      <c r="K30" s="349"/>
      <c r="L30" s="350"/>
      <c r="M30" s="349"/>
      <c r="N30" s="350"/>
      <c r="O30" s="396">
        <f t="shared" si="0"/>
        <v>0</v>
      </c>
      <c r="P30" s="394">
        <f t="shared" si="0"/>
        <v>0</v>
      </c>
      <c r="Q30" s="321"/>
      <c r="R30" s="321"/>
      <c r="S30" s="321"/>
      <c r="T30" s="321"/>
      <c r="U30" s="321"/>
    </row>
    <row r="31" spans="1:21" ht="15.75">
      <c r="A31" s="745"/>
      <c r="B31" s="745"/>
      <c r="C31" s="321"/>
      <c r="D31" s="321"/>
      <c r="E31" s="321"/>
      <c r="F31" s="321"/>
      <c r="G31" s="349"/>
      <c r="H31" s="350"/>
      <c r="I31" s="349"/>
      <c r="J31" s="350"/>
      <c r="K31" s="349"/>
      <c r="L31" s="350"/>
      <c r="M31" s="349"/>
      <c r="N31" s="350"/>
      <c r="O31" s="396"/>
      <c r="P31" s="394"/>
      <c r="Q31" s="321"/>
      <c r="R31" s="321"/>
      <c r="S31" s="321"/>
      <c r="T31" s="321"/>
      <c r="U31" s="321"/>
    </row>
    <row r="32" spans="1:21" ht="15.75">
      <c r="A32" s="745"/>
      <c r="B32" s="745"/>
      <c r="C32" s="321"/>
      <c r="D32" s="321"/>
      <c r="E32" s="321"/>
      <c r="F32" s="321"/>
      <c r="G32" s="349"/>
      <c r="H32" s="350"/>
      <c r="I32" s="349"/>
      <c r="J32" s="350"/>
      <c r="K32" s="349"/>
      <c r="L32" s="350"/>
      <c r="M32" s="349"/>
      <c r="N32" s="350"/>
      <c r="O32" s="396"/>
      <c r="P32" s="394"/>
      <c r="Q32" s="321"/>
      <c r="R32" s="321"/>
      <c r="S32" s="321"/>
      <c r="T32" s="321"/>
      <c r="U32" s="321"/>
    </row>
    <row r="33" spans="1:21" ht="15.75" customHeight="1">
      <c r="A33" s="745"/>
      <c r="B33" s="745"/>
      <c r="C33" s="321"/>
      <c r="D33" s="321"/>
      <c r="E33" s="321"/>
      <c r="F33" s="321"/>
      <c r="G33" s="349"/>
      <c r="H33" s="350"/>
      <c r="I33" s="349"/>
      <c r="J33" s="350"/>
      <c r="K33" s="349"/>
      <c r="L33" s="350"/>
      <c r="M33" s="349"/>
      <c r="N33" s="350"/>
      <c r="O33" s="396"/>
      <c r="P33" s="394"/>
      <c r="Q33" s="321"/>
      <c r="R33" s="321"/>
      <c r="S33" s="321"/>
      <c r="T33" s="321"/>
      <c r="U33" s="321"/>
    </row>
    <row r="34" spans="1:21" ht="15.75">
      <c r="A34" s="745"/>
      <c r="B34" s="745"/>
      <c r="C34" s="321"/>
      <c r="D34" s="321"/>
      <c r="E34" s="321"/>
      <c r="F34" s="321"/>
      <c r="G34" s="349"/>
      <c r="H34" s="350"/>
      <c r="I34" s="349"/>
      <c r="J34" s="350"/>
      <c r="K34" s="349"/>
      <c r="L34" s="350"/>
      <c r="M34" s="349"/>
      <c r="N34" s="350"/>
      <c r="O34" s="396"/>
      <c r="P34" s="394"/>
      <c r="Q34" s="321"/>
      <c r="R34" s="321"/>
      <c r="S34" s="321"/>
      <c r="T34" s="321"/>
      <c r="U34" s="321"/>
    </row>
    <row r="35" spans="1:21" ht="15.75">
      <c r="A35" s="745"/>
      <c r="B35" s="745"/>
      <c r="C35" s="321"/>
      <c r="D35" s="321"/>
      <c r="E35" s="321"/>
      <c r="F35" s="321"/>
      <c r="G35" s="349"/>
      <c r="H35" s="350"/>
      <c r="I35" s="349"/>
      <c r="J35" s="350"/>
      <c r="K35" s="349"/>
      <c r="L35" s="350"/>
      <c r="M35" s="349"/>
      <c r="N35" s="350"/>
      <c r="O35" s="396">
        <f t="shared" si="0"/>
        <v>0</v>
      </c>
      <c r="P35" s="394">
        <f t="shared" si="0"/>
        <v>0</v>
      </c>
      <c r="Q35" s="321"/>
      <c r="R35" s="321"/>
      <c r="S35" s="321"/>
      <c r="T35" s="321"/>
      <c r="U35" s="321"/>
    </row>
    <row r="36" spans="1:21" ht="15.75">
      <c r="A36" s="745"/>
      <c r="B36" s="745"/>
      <c r="C36" s="321"/>
      <c r="D36" s="321"/>
      <c r="E36" s="321"/>
      <c r="F36" s="321"/>
      <c r="G36" s="349"/>
      <c r="H36" s="350"/>
      <c r="I36" s="349"/>
      <c r="J36" s="350"/>
      <c r="K36" s="349"/>
      <c r="L36" s="350"/>
      <c r="M36" s="349"/>
      <c r="N36" s="350"/>
      <c r="O36" s="396"/>
      <c r="P36" s="394"/>
      <c r="Q36" s="321"/>
      <c r="R36" s="321"/>
      <c r="S36" s="321"/>
      <c r="T36" s="321"/>
      <c r="U36" s="321"/>
    </row>
    <row r="37" spans="1:21" ht="15.75" customHeight="1">
      <c r="A37" s="745"/>
      <c r="B37" s="745"/>
      <c r="C37" s="321"/>
      <c r="D37" s="321"/>
      <c r="E37" s="321"/>
      <c r="F37" s="321"/>
      <c r="G37" s="349"/>
      <c r="H37" s="350"/>
      <c r="I37" s="349"/>
      <c r="J37" s="350"/>
      <c r="K37" s="349"/>
      <c r="L37" s="350"/>
      <c r="M37" s="349"/>
      <c r="N37" s="350"/>
      <c r="O37" s="396"/>
      <c r="P37" s="394"/>
      <c r="Q37" s="321"/>
      <c r="R37" s="321"/>
      <c r="S37" s="321"/>
      <c r="T37" s="321"/>
      <c r="U37" s="321"/>
    </row>
    <row r="38" spans="1:21" ht="15.75">
      <c r="A38" s="745"/>
      <c r="B38" s="745"/>
      <c r="C38" s="321"/>
      <c r="D38" s="321"/>
      <c r="E38" s="321"/>
      <c r="F38" s="321"/>
      <c r="G38" s="349"/>
      <c r="H38" s="350"/>
      <c r="I38" s="349"/>
      <c r="J38" s="350"/>
      <c r="K38" s="349"/>
      <c r="L38" s="350"/>
      <c r="M38" s="349"/>
      <c r="N38" s="350"/>
      <c r="O38" s="396"/>
      <c r="P38" s="394"/>
      <c r="Q38" s="321"/>
      <c r="R38" s="321"/>
      <c r="S38" s="321"/>
      <c r="T38" s="321"/>
      <c r="U38" s="321"/>
    </row>
    <row r="39" spans="1:21" ht="15.75">
      <c r="A39" s="745"/>
      <c r="B39" s="745"/>
      <c r="C39" s="321"/>
      <c r="D39" s="321"/>
      <c r="E39" s="321"/>
      <c r="F39" s="321"/>
      <c r="G39" s="349"/>
      <c r="H39" s="350"/>
      <c r="I39" s="349"/>
      <c r="J39" s="350"/>
      <c r="K39" s="349"/>
      <c r="L39" s="350"/>
      <c r="M39" s="349"/>
      <c r="N39" s="350"/>
      <c r="O39" s="396"/>
      <c r="P39" s="394"/>
      <c r="Q39" s="321"/>
      <c r="R39" s="321"/>
      <c r="S39" s="321"/>
      <c r="T39" s="321"/>
      <c r="U39" s="321"/>
    </row>
    <row r="40" spans="1:21" ht="15.75">
      <c r="A40" s="746"/>
      <c r="B40" s="746"/>
      <c r="C40" s="321"/>
      <c r="D40" s="321"/>
      <c r="E40" s="321"/>
      <c r="F40" s="321"/>
      <c r="G40" s="349"/>
      <c r="H40" s="350"/>
      <c r="I40" s="349"/>
      <c r="J40" s="350"/>
      <c r="K40" s="349"/>
      <c r="L40" s="350"/>
      <c r="M40" s="349"/>
      <c r="N40" s="350"/>
      <c r="O40" s="396"/>
      <c r="P40" s="394"/>
      <c r="Q40" s="321"/>
      <c r="R40" s="321"/>
      <c r="S40" s="321"/>
      <c r="T40" s="321"/>
      <c r="U40" s="321"/>
    </row>
    <row r="41" spans="1:21" ht="15.75" customHeight="1">
      <c r="A41" s="785" t="s">
        <v>1470</v>
      </c>
      <c r="B41" s="785" t="s">
        <v>1471</v>
      </c>
      <c r="C41" s="321"/>
      <c r="D41" s="321"/>
      <c r="E41" s="321"/>
      <c r="F41" s="321"/>
      <c r="G41" s="349"/>
      <c r="H41" s="350"/>
      <c r="I41" s="349"/>
      <c r="J41" s="350"/>
      <c r="K41" s="349"/>
      <c r="L41" s="350"/>
      <c r="M41" s="349"/>
      <c r="N41" s="350"/>
      <c r="O41" s="396"/>
      <c r="P41" s="394"/>
      <c r="Q41" s="321"/>
      <c r="R41" s="321"/>
      <c r="S41" s="321"/>
      <c r="T41" s="321"/>
      <c r="U41" s="321"/>
    </row>
    <row r="42" spans="1:21" ht="15.75">
      <c r="A42" s="745"/>
      <c r="B42" s="745"/>
      <c r="C42" s="321"/>
      <c r="D42" s="321"/>
      <c r="E42" s="321"/>
      <c r="F42" s="321"/>
      <c r="G42" s="349"/>
      <c r="H42" s="350"/>
      <c r="I42" s="349"/>
      <c r="J42" s="350"/>
      <c r="K42" s="349"/>
      <c r="L42" s="350"/>
      <c r="M42" s="349"/>
      <c r="N42" s="350"/>
      <c r="O42" s="396"/>
      <c r="P42" s="394"/>
      <c r="Q42" s="321"/>
      <c r="R42" s="321"/>
      <c r="S42" s="321"/>
      <c r="T42" s="321"/>
      <c r="U42" s="321"/>
    </row>
    <row r="43" spans="1:21" ht="15.75">
      <c r="A43" s="745"/>
      <c r="B43" s="745"/>
      <c r="C43" s="321"/>
      <c r="D43" s="321"/>
      <c r="E43" s="321"/>
      <c r="F43" s="321"/>
      <c r="G43" s="349"/>
      <c r="H43" s="350"/>
      <c r="I43" s="349"/>
      <c r="J43" s="350"/>
      <c r="K43" s="349"/>
      <c r="L43" s="350"/>
      <c r="M43" s="349"/>
      <c r="N43" s="350"/>
      <c r="O43" s="396"/>
      <c r="P43" s="394"/>
      <c r="Q43" s="321"/>
      <c r="R43" s="321"/>
      <c r="S43" s="321"/>
      <c r="T43" s="321"/>
      <c r="U43" s="321"/>
    </row>
    <row r="44" spans="1:21" ht="15.75">
      <c r="A44" s="745"/>
      <c r="B44" s="745"/>
      <c r="C44" s="321"/>
      <c r="D44" s="321"/>
      <c r="E44" s="321"/>
      <c r="F44" s="321"/>
      <c r="G44" s="349"/>
      <c r="H44" s="350"/>
      <c r="I44" s="349"/>
      <c r="J44" s="350"/>
      <c r="K44" s="349"/>
      <c r="L44" s="350"/>
      <c r="M44" s="349"/>
      <c r="N44" s="350"/>
      <c r="O44" s="396"/>
      <c r="P44" s="394"/>
      <c r="Q44" s="321"/>
      <c r="R44" s="321"/>
      <c r="S44" s="321"/>
      <c r="T44" s="321"/>
      <c r="U44" s="321"/>
    </row>
    <row r="45" spans="1:21" ht="15.75" customHeight="1">
      <c r="A45" s="745"/>
      <c r="B45" s="745"/>
      <c r="C45" s="321"/>
      <c r="D45" s="321"/>
      <c r="E45" s="321"/>
      <c r="F45" s="321"/>
      <c r="G45" s="349"/>
      <c r="H45" s="350"/>
      <c r="I45" s="349"/>
      <c r="J45" s="350"/>
      <c r="K45" s="349"/>
      <c r="L45" s="350"/>
      <c r="M45" s="349"/>
      <c r="N45" s="350"/>
      <c r="O45" s="396"/>
      <c r="P45" s="394"/>
      <c r="Q45" s="321"/>
      <c r="R45" s="321"/>
      <c r="S45" s="321"/>
      <c r="T45" s="321"/>
      <c r="U45" s="321"/>
    </row>
    <row r="46" spans="1:21" ht="15.75">
      <c r="A46" s="745"/>
      <c r="B46" s="745"/>
      <c r="C46" s="321"/>
      <c r="D46" s="321"/>
      <c r="E46" s="321"/>
      <c r="F46" s="321"/>
      <c r="G46" s="349"/>
      <c r="H46" s="350"/>
      <c r="I46" s="349"/>
      <c r="J46" s="350"/>
      <c r="K46" s="349"/>
      <c r="L46" s="350"/>
      <c r="M46" s="349"/>
      <c r="N46" s="350"/>
      <c r="O46" s="396"/>
      <c r="P46" s="394"/>
      <c r="Q46" s="321"/>
      <c r="R46" s="321"/>
      <c r="S46" s="321"/>
      <c r="T46" s="321"/>
      <c r="U46" s="321"/>
    </row>
    <row r="47" spans="1:21" ht="15.75">
      <c r="A47" s="745"/>
      <c r="B47" s="745"/>
      <c r="C47" s="321"/>
      <c r="D47" s="321"/>
      <c r="E47" s="321"/>
      <c r="F47" s="321"/>
      <c r="G47" s="349"/>
      <c r="H47" s="350"/>
      <c r="I47" s="349"/>
      <c r="J47" s="350"/>
      <c r="K47" s="349"/>
      <c r="L47" s="350"/>
      <c r="M47" s="349"/>
      <c r="N47" s="350"/>
      <c r="O47" s="396">
        <f t="shared" si="0"/>
        <v>0</v>
      </c>
      <c r="P47" s="394">
        <f t="shared" si="0"/>
        <v>0</v>
      </c>
      <c r="Q47" s="321"/>
      <c r="R47" s="321"/>
      <c r="S47" s="321"/>
      <c r="T47" s="321"/>
      <c r="U47" s="321"/>
    </row>
    <row r="48" spans="1:21" ht="15.75">
      <c r="A48" s="745"/>
      <c r="B48" s="745"/>
      <c r="C48" s="321"/>
      <c r="D48" s="321"/>
      <c r="E48" s="321"/>
      <c r="F48" s="321"/>
      <c r="G48" s="349"/>
      <c r="H48" s="350"/>
      <c r="I48" s="349"/>
      <c r="J48" s="350"/>
      <c r="K48" s="349"/>
      <c r="L48" s="350"/>
      <c r="M48" s="349"/>
      <c r="N48" s="350"/>
      <c r="O48" s="396">
        <f t="shared" si="0"/>
        <v>0</v>
      </c>
      <c r="P48" s="394">
        <f t="shared" si="0"/>
        <v>0</v>
      </c>
      <c r="Q48" s="321"/>
      <c r="R48" s="321"/>
      <c r="S48" s="321"/>
      <c r="T48" s="321"/>
      <c r="U48" s="321"/>
    </row>
    <row r="49" spans="1:21" ht="15.75" customHeight="1">
      <c r="A49" s="745"/>
      <c r="B49" s="746"/>
      <c r="C49" s="321"/>
      <c r="D49" s="321"/>
      <c r="E49" s="321"/>
      <c r="F49" s="321"/>
      <c r="G49" s="349"/>
      <c r="H49" s="350"/>
      <c r="I49" s="349"/>
      <c r="J49" s="350"/>
      <c r="K49" s="349"/>
      <c r="L49" s="350"/>
      <c r="M49" s="349"/>
      <c r="N49" s="350"/>
      <c r="O49" s="396">
        <f t="shared" si="0"/>
        <v>0</v>
      </c>
      <c r="P49" s="394">
        <f t="shared" si="0"/>
        <v>0</v>
      </c>
      <c r="Q49" s="321"/>
      <c r="R49" s="321"/>
      <c r="S49" s="321"/>
      <c r="T49" s="321"/>
      <c r="U49" s="321"/>
    </row>
    <row r="50" spans="1:21" ht="15.75" customHeight="1">
      <c r="A50" s="745"/>
      <c r="B50" s="785" t="s">
        <v>1472</v>
      </c>
      <c r="C50" s="321"/>
      <c r="D50" s="321"/>
      <c r="E50" s="321"/>
      <c r="F50" s="321"/>
      <c r="G50" s="349"/>
      <c r="H50" s="350"/>
      <c r="I50" s="349"/>
      <c r="J50" s="350"/>
      <c r="K50" s="349"/>
      <c r="L50" s="350"/>
      <c r="M50" s="349"/>
      <c r="N50" s="350"/>
      <c r="O50" s="396">
        <f t="shared" si="0"/>
        <v>0</v>
      </c>
      <c r="P50" s="394">
        <f t="shared" si="0"/>
        <v>0</v>
      </c>
      <c r="Q50" s="321"/>
      <c r="R50" s="321"/>
      <c r="S50" s="321"/>
      <c r="T50" s="321"/>
      <c r="U50" s="321"/>
    </row>
    <row r="51" spans="1:21" ht="15.75">
      <c r="A51" s="745"/>
      <c r="B51" s="745"/>
      <c r="C51" s="321"/>
      <c r="D51" s="321"/>
      <c r="E51" s="321"/>
      <c r="F51" s="321"/>
      <c r="G51" s="349"/>
      <c r="H51" s="350"/>
      <c r="I51" s="349"/>
      <c r="J51" s="350"/>
      <c r="K51" s="349"/>
      <c r="L51" s="350"/>
      <c r="M51" s="349"/>
      <c r="N51" s="350"/>
      <c r="O51" s="396"/>
      <c r="P51" s="394"/>
      <c r="Q51" s="321"/>
      <c r="R51" s="321"/>
      <c r="S51" s="321"/>
      <c r="T51" s="321"/>
      <c r="U51" s="321"/>
    </row>
    <row r="52" spans="1:21" ht="15.75">
      <c r="A52" s="745"/>
      <c r="B52" s="745"/>
      <c r="C52" s="321"/>
      <c r="D52" s="321"/>
      <c r="E52" s="321"/>
      <c r="F52" s="321"/>
      <c r="G52" s="349"/>
      <c r="H52" s="350"/>
      <c r="I52" s="349"/>
      <c r="J52" s="350"/>
      <c r="K52" s="349"/>
      <c r="L52" s="350"/>
      <c r="M52" s="349"/>
      <c r="N52" s="350"/>
      <c r="O52" s="396"/>
      <c r="P52" s="394"/>
      <c r="Q52" s="321"/>
      <c r="R52" s="321"/>
      <c r="S52" s="321"/>
      <c r="T52" s="321"/>
      <c r="U52" s="321"/>
    </row>
    <row r="53" spans="1:21" ht="15.75" customHeight="1">
      <c r="A53" s="745"/>
      <c r="B53" s="745"/>
      <c r="C53" s="321"/>
      <c r="D53" s="321"/>
      <c r="E53" s="321"/>
      <c r="F53" s="321"/>
      <c r="G53" s="349"/>
      <c r="H53" s="350"/>
      <c r="I53" s="349"/>
      <c r="J53" s="350"/>
      <c r="K53" s="349"/>
      <c r="L53" s="350"/>
      <c r="M53" s="349"/>
      <c r="N53" s="350"/>
      <c r="O53" s="396"/>
      <c r="P53" s="394"/>
      <c r="Q53" s="321"/>
      <c r="R53" s="321"/>
      <c r="S53" s="321"/>
      <c r="T53" s="321"/>
      <c r="U53" s="321"/>
    </row>
    <row r="54" spans="1:21" ht="15.75">
      <c r="A54" s="745"/>
      <c r="B54" s="745"/>
      <c r="C54" s="321"/>
      <c r="D54" s="321"/>
      <c r="E54" s="321"/>
      <c r="F54" s="321"/>
      <c r="G54" s="349"/>
      <c r="H54" s="350"/>
      <c r="I54" s="349"/>
      <c r="J54" s="350"/>
      <c r="K54" s="349"/>
      <c r="L54" s="350"/>
      <c r="M54" s="349"/>
      <c r="N54" s="350"/>
      <c r="O54" s="396"/>
      <c r="P54" s="394"/>
      <c r="Q54" s="321"/>
      <c r="R54" s="321"/>
      <c r="S54" s="321"/>
      <c r="T54" s="321"/>
      <c r="U54" s="321"/>
    </row>
    <row r="55" spans="1:21" ht="15.75">
      <c r="A55" s="745"/>
      <c r="B55" s="745"/>
      <c r="C55" s="321"/>
      <c r="D55" s="321"/>
      <c r="E55" s="321"/>
      <c r="F55" s="321"/>
      <c r="G55" s="349"/>
      <c r="H55" s="350"/>
      <c r="I55" s="349"/>
      <c r="J55" s="350"/>
      <c r="K55" s="349"/>
      <c r="L55" s="350"/>
      <c r="M55" s="349"/>
      <c r="N55" s="350"/>
      <c r="O55" s="396"/>
      <c r="P55" s="394"/>
      <c r="Q55" s="321"/>
      <c r="R55" s="321"/>
      <c r="S55" s="321"/>
      <c r="T55" s="321"/>
      <c r="U55" s="321"/>
    </row>
    <row r="56" spans="1:21" ht="15.75">
      <c r="A56" s="745"/>
      <c r="B56" s="745"/>
      <c r="C56" s="321"/>
      <c r="D56" s="321"/>
      <c r="E56" s="321"/>
      <c r="F56" s="321"/>
      <c r="G56" s="349"/>
      <c r="H56" s="350"/>
      <c r="I56" s="349"/>
      <c r="J56" s="350"/>
      <c r="K56" s="349"/>
      <c r="L56" s="350"/>
      <c r="M56" s="349"/>
      <c r="N56" s="350"/>
      <c r="O56" s="396"/>
      <c r="P56" s="394"/>
      <c r="Q56" s="321"/>
      <c r="R56" s="321"/>
      <c r="S56" s="321"/>
      <c r="T56" s="321"/>
      <c r="U56" s="321"/>
    </row>
    <row r="57" spans="1:21" ht="15.75" customHeight="1">
      <c r="A57" s="745"/>
      <c r="B57" s="745"/>
      <c r="C57" s="321"/>
      <c r="D57" s="321"/>
      <c r="E57" s="321"/>
      <c r="F57" s="321"/>
      <c r="G57" s="349"/>
      <c r="H57" s="350"/>
      <c r="I57" s="349"/>
      <c r="J57" s="350"/>
      <c r="K57" s="349"/>
      <c r="L57" s="350"/>
      <c r="M57" s="349"/>
      <c r="N57" s="350"/>
      <c r="O57" s="396"/>
      <c r="P57" s="394"/>
      <c r="Q57" s="321"/>
      <c r="R57" s="321"/>
      <c r="S57" s="321"/>
      <c r="T57" s="321"/>
      <c r="U57" s="321"/>
    </row>
    <row r="58" spans="1:21" ht="15.75">
      <c r="A58" s="745"/>
      <c r="B58" s="745"/>
      <c r="C58" s="321"/>
      <c r="D58" s="321"/>
      <c r="E58" s="321"/>
      <c r="F58" s="321"/>
      <c r="G58" s="349"/>
      <c r="H58" s="350"/>
      <c r="I58" s="349"/>
      <c r="J58" s="350"/>
      <c r="K58" s="349"/>
      <c r="L58" s="350"/>
      <c r="M58" s="349"/>
      <c r="N58" s="350"/>
      <c r="O58" s="396"/>
      <c r="P58" s="394"/>
      <c r="Q58" s="321"/>
      <c r="R58" s="321"/>
      <c r="S58" s="321"/>
      <c r="T58" s="321"/>
      <c r="U58" s="321"/>
    </row>
    <row r="59" spans="1:21" ht="15.75">
      <c r="A59" s="745"/>
      <c r="B59" s="745"/>
      <c r="C59" s="321"/>
      <c r="D59" s="321"/>
      <c r="E59" s="321"/>
      <c r="F59" s="321"/>
      <c r="G59" s="349"/>
      <c r="H59" s="350"/>
      <c r="I59" s="349"/>
      <c r="J59" s="350"/>
      <c r="K59" s="349"/>
      <c r="L59" s="350"/>
      <c r="M59" s="349"/>
      <c r="N59" s="350"/>
      <c r="O59" s="396"/>
      <c r="P59" s="394"/>
      <c r="Q59" s="321"/>
      <c r="R59" s="321"/>
      <c r="S59" s="321"/>
      <c r="T59" s="321"/>
      <c r="U59" s="321"/>
    </row>
    <row r="60" spans="1:21" ht="15.75">
      <c r="A60" s="745"/>
      <c r="B60" s="745"/>
      <c r="C60" s="321"/>
      <c r="D60" s="321"/>
      <c r="E60" s="321"/>
      <c r="F60" s="321"/>
      <c r="G60" s="349"/>
      <c r="H60" s="350"/>
      <c r="I60" s="349"/>
      <c r="J60" s="350"/>
      <c r="K60" s="349"/>
      <c r="L60" s="350"/>
      <c r="M60" s="349"/>
      <c r="N60" s="350"/>
      <c r="O60" s="396"/>
      <c r="P60" s="394"/>
      <c r="Q60" s="321"/>
      <c r="R60" s="321"/>
      <c r="S60" s="321"/>
      <c r="T60" s="321"/>
      <c r="U60" s="321"/>
    </row>
    <row r="61" spans="1:21" ht="15.75" customHeight="1">
      <c r="A61" s="745"/>
      <c r="B61" s="745"/>
      <c r="C61" s="321"/>
      <c r="D61" s="321"/>
      <c r="E61" s="321"/>
      <c r="F61" s="321"/>
      <c r="G61" s="349"/>
      <c r="H61" s="350"/>
      <c r="I61" s="349"/>
      <c r="J61" s="350"/>
      <c r="K61" s="349"/>
      <c r="L61" s="350"/>
      <c r="M61" s="349"/>
      <c r="N61" s="350"/>
      <c r="O61" s="396"/>
      <c r="P61" s="394"/>
      <c r="Q61" s="321"/>
      <c r="R61" s="321"/>
      <c r="S61" s="321"/>
      <c r="T61" s="321"/>
      <c r="U61" s="321"/>
    </row>
    <row r="62" spans="1:21" ht="15.75">
      <c r="A62" s="746"/>
      <c r="B62" s="746"/>
      <c r="C62" s="321"/>
      <c r="D62" s="321"/>
      <c r="E62" s="321"/>
      <c r="F62" s="321"/>
      <c r="G62" s="349"/>
      <c r="H62" s="350"/>
      <c r="I62" s="349"/>
      <c r="J62" s="350"/>
      <c r="K62" s="349"/>
      <c r="L62" s="350"/>
      <c r="M62" s="349"/>
      <c r="N62" s="350"/>
      <c r="O62" s="396">
        <f t="shared" si="0"/>
        <v>0</v>
      </c>
      <c r="P62" s="394">
        <f t="shared" si="0"/>
        <v>0</v>
      </c>
      <c r="Q62" s="321"/>
      <c r="R62" s="321"/>
      <c r="S62" s="321"/>
      <c r="T62" s="321"/>
      <c r="U62" s="321"/>
    </row>
    <row r="63" spans="1:21" ht="15.75" customHeight="1">
      <c r="A63" s="785" t="s">
        <v>1473</v>
      </c>
      <c r="B63" s="407"/>
      <c r="C63" s="321"/>
      <c r="D63" s="321"/>
      <c r="E63" s="321"/>
      <c r="F63" s="321"/>
      <c r="G63" s="349"/>
      <c r="H63" s="350"/>
      <c r="I63" s="349"/>
      <c r="J63" s="350"/>
      <c r="K63" s="349"/>
      <c r="L63" s="350"/>
      <c r="M63" s="349"/>
      <c r="N63" s="350"/>
      <c r="O63" s="396">
        <f t="shared" ref="O63:P69" si="3">G63+I63+K63+M63</f>
        <v>0</v>
      </c>
      <c r="P63" s="394">
        <f t="shared" si="3"/>
        <v>0</v>
      </c>
      <c r="Q63" s="321"/>
      <c r="R63" s="321"/>
      <c r="S63" s="321"/>
      <c r="T63" s="321"/>
      <c r="U63" s="321"/>
    </row>
    <row r="64" spans="1:21" ht="15.75">
      <c r="A64" s="745"/>
      <c r="B64" s="407"/>
      <c r="C64" s="321"/>
      <c r="D64" s="321"/>
      <c r="E64" s="321"/>
      <c r="F64" s="321"/>
      <c r="G64" s="349"/>
      <c r="H64" s="350"/>
      <c r="I64" s="349"/>
      <c r="J64" s="350"/>
      <c r="K64" s="349"/>
      <c r="L64" s="350"/>
      <c r="M64" s="349"/>
      <c r="N64" s="350"/>
      <c r="O64" s="396"/>
      <c r="P64" s="394"/>
      <c r="Q64" s="321"/>
      <c r="R64" s="321"/>
      <c r="S64" s="321"/>
      <c r="T64" s="321"/>
      <c r="U64" s="321"/>
    </row>
    <row r="65" spans="1:21" ht="15.75" customHeight="1">
      <c r="A65" s="745"/>
      <c r="B65" s="407"/>
      <c r="C65" s="321"/>
      <c r="D65" s="321"/>
      <c r="E65" s="321"/>
      <c r="F65" s="321"/>
      <c r="G65" s="349"/>
      <c r="H65" s="350"/>
      <c r="I65" s="349"/>
      <c r="J65" s="350"/>
      <c r="K65" s="349"/>
      <c r="L65" s="350"/>
      <c r="M65" s="349"/>
      <c r="N65" s="350"/>
      <c r="O65" s="396"/>
      <c r="P65" s="394"/>
      <c r="Q65" s="321"/>
      <c r="R65" s="321"/>
      <c r="S65" s="321"/>
      <c r="T65" s="321"/>
      <c r="U65" s="321"/>
    </row>
    <row r="66" spans="1:21" ht="15.75">
      <c r="A66" s="745"/>
      <c r="B66" s="407"/>
      <c r="C66" s="321"/>
      <c r="D66" s="321"/>
      <c r="E66" s="321"/>
      <c r="F66" s="321"/>
      <c r="G66" s="349"/>
      <c r="H66" s="350"/>
      <c r="I66" s="349"/>
      <c r="J66" s="350"/>
      <c r="K66" s="349"/>
      <c r="L66" s="350"/>
      <c r="M66" s="349"/>
      <c r="N66" s="350"/>
      <c r="O66" s="396"/>
      <c r="P66" s="394"/>
      <c r="Q66" s="321"/>
      <c r="R66" s="321"/>
      <c r="S66" s="321"/>
      <c r="T66" s="321"/>
      <c r="U66" s="321"/>
    </row>
    <row r="67" spans="1:21" ht="15.75">
      <c r="A67" s="745"/>
      <c r="B67" s="407"/>
      <c r="C67" s="321"/>
      <c r="D67" s="321"/>
      <c r="E67" s="321"/>
      <c r="F67" s="321"/>
      <c r="G67" s="349"/>
      <c r="H67" s="350"/>
      <c r="I67" s="349"/>
      <c r="J67" s="350"/>
      <c r="K67" s="349"/>
      <c r="L67" s="350"/>
      <c r="M67" s="349"/>
      <c r="N67" s="350"/>
      <c r="O67" s="396"/>
      <c r="P67" s="394"/>
      <c r="Q67" s="321"/>
      <c r="R67" s="321"/>
      <c r="S67" s="321"/>
      <c r="T67" s="321"/>
      <c r="U67" s="321"/>
    </row>
    <row r="68" spans="1:21" ht="15.75">
      <c r="A68" s="745"/>
      <c r="B68" s="407"/>
      <c r="C68" s="321"/>
      <c r="D68" s="321"/>
      <c r="E68" s="321"/>
      <c r="F68" s="321"/>
      <c r="G68" s="349"/>
      <c r="H68" s="350"/>
      <c r="I68" s="349"/>
      <c r="J68" s="350"/>
      <c r="K68" s="349"/>
      <c r="L68" s="350"/>
      <c r="M68" s="349"/>
      <c r="N68" s="350"/>
      <c r="O68" s="396">
        <f t="shared" si="3"/>
        <v>0</v>
      </c>
      <c r="P68" s="394">
        <f t="shared" si="3"/>
        <v>0</v>
      </c>
      <c r="Q68" s="321"/>
      <c r="R68" s="321"/>
      <c r="S68" s="321"/>
      <c r="T68" s="321"/>
      <c r="U68" s="321"/>
    </row>
    <row r="69" spans="1:21" ht="15.75" customHeight="1">
      <c r="A69" s="746"/>
      <c r="B69" s="407"/>
      <c r="C69" s="321"/>
      <c r="D69" s="321"/>
      <c r="E69" s="321"/>
      <c r="F69" s="321"/>
      <c r="G69" s="321"/>
      <c r="H69" s="350"/>
      <c r="I69" s="321"/>
      <c r="J69" s="350"/>
      <c r="K69" s="321"/>
      <c r="L69" s="350"/>
      <c r="M69" s="321"/>
      <c r="N69" s="350"/>
      <c r="O69" s="396">
        <f t="shared" si="3"/>
        <v>0</v>
      </c>
      <c r="P69" s="394">
        <f t="shared" si="3"/>
        <v>0</v>
      </c>
      <c r="Q69" s="321"/>
      <c r="R69" s="71"/>
      <c r="S69" s="321"/>
      <c r="T69" s="321"/>
      <c r="U69" s="321"/>
    </row>
    <row r="70" spans="1:21" ht="15.75">
      <c r="A70" s="292"/>
      <c r="B70" s="293"/>
      <c r="C70" s="293"/>
      <c r="D70" s="292" t="s">
        <v>1458</v>
      </c>
      <c r="E70" s="293"/>
      <c r="F70" s="294"/>
      <c r="G70" s="75">
        <f t="shared" ref="G70:P70" si="4">SUM(G10:G69)</f>
        <v>0</v>
      </c>
      <c r="H70" s="235">
        <f t="shared" si="4"/>
        <v>0</v>
      </c>
      <c r="I70" s="75">
        <f t="shared" si="4"/>
        <v>0</v>
      </c>
      <c r="J70" s="235">
        <f t="shared" si="4"/>
        <v>0</v>
      </c>
      <c r="K70" s="75">
        <f t="shared" si="4"/>
        <v>0</v>
      </c>
      <c r="L70" s="235">
        <f t="shared" si="4"/>
        <v>0</v>
      </c>
      <c r="M70" s="75">
        <f t="shared" si="4"/>
        <v>0</v>
      </c>
      <c r="N70" s="235">
        <f t="shared" si="4"/>
        <v>0</v>
      </c>
      <c r="O70" s="235">
        <f t="shared" si="4"/>
        <v>0</v>
      </c>
      <c r="P70" s="235">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58"/>
  <sheetViews>
    <sheetView zoomScale="50" zoomScaleNormal="50" workbookViewId="0">
      <pane ySplit="9" topLeftCell="A10" activePane="bottomLeft" state="frozen"/>
      <selection activeCell="K7" sqref="K7"/>
      <selection pane="bottomLeft" activeCell="P40" sqref="P40"/>
    </sheetView>
  </sheetViews>
  <sheetFormatPr baseColWidth="10" defaultRowHeight="15"/>
  <cols>
    <col min="1" max="1" width="35.7109375" style="457" customWidth="1"/>
    <col min="2" max="2" width="35.85546875" style="457" customWidth="1"/>
    <col min="3" max="6" width="27.42578125" style="457" customWidth="1"/>
    <col min="7" max="7" width="15.28515625" style="457" customWidth="1"/>
    <col min="8" max="8" width="14.85546875" style="233" customWidth="1"/>
    <col min="9" max="9" width="15.28515625" style="457" customWidth="1"/>
    <col min="10" max="10" width="18.85546875" style="233" customWidth="1"/>
    <col min="11" max="11" width="11.42578125" style="457"/>
    <col min="12" max="12" width="13.28515625" style="233" customWidth="1"/>
    <col min="13" max="13" width="11.42578125" style="457"/>
    <col min="14" max="14" width="11.42578125" style="233"/>
    <col min="15" max="15" width="15.28515625" style="844" customWidth="1"/>
    <col min="16" max="16" width="18.28515625" style="233" customWidth="1"/>
    <col min="17" max="17" width="12" style="457" bestFit="1" customWidth="1"/>
    <col min="18" max="20" width="14.140625" style="457" customWidth="1"/>
    <col min="21" max="21" width="17" style="457" customWidth="1"/>
    <col min="22" max="16384" width="11.42578125" style="457"/>
  </cols>
  <sheetData>
    <row r="1" spans="1:42" ht="21">
      <c r="A1" s="402"/>
      <c r="B1" s="402"/>
      <c r="C1" s="402"/>
      <c r="D1" s="402"/>
      <c r="E1" s="786" t="s">
        <v>1492</v>
      </c>
      <c r="F1" s="786"/>
      <c r="G1" s="786"/>
      <c r="H1" s="786"/>
      <c r="I1" s="786"/>
      <c r="J1" s="786"/>
      <c r="K1" s="786"/>
      <c r="L1" s="786"/>
      <c r="M1" s="403"/>
      <c r="N1" s="403"/>
      <c r="O1" s="848"/>
      <c r="P1" s="403"/>
      <c r="Q1" s="403"/>
      <c r="R1" s="403"/>
      <c r="S1" s="403"/>
      <c r="T1" s="403"/>
      <c r="U1" s="403"/>
      <c r="V1" s="403"/>
      <c r="W1" s="403"/>
      <c r="X1" s="403"/>
      <c r="Y1" s="403"/>
      <c r="Z1" s="403"/>
      <c r="AA1" s="403"/>
      <c r="AB1" s="402"/>
      <c r="AC1" s="402"/>
      <c r="AD1" s="402"/>
      <c r="AE1" s="402"/>
      <c r="AF1" s="402"/>
      <c r="AG1" s="402"/>
      <c r="AH1" s="402"/>
      <c r="AI1" s="402"/>
      <c r="AJ1" s="402"/>
      <c r="AK1" s="402"/>
      <c r="AL1" s="402"/>
      <c r="AM1" s="402"/>
      <c r="AN1" s="402"/>
      <c r="AO1" s="402"/>
      <c r="AP1" s="402"/>
    </row>
    <row r="2" spans="1:42" ht="18.75">
      <c r="A2" s="401" t="s">
        <v>1355</v>
      </c>
      <c r="B2" s="402"/>
      <c r="C2" s="402"/>
      <c r="D2" s="402"/>
      <c r="E2" s="402"/>
      <c r="F2" s="402"/>
      <c r="G2" s="403"/>
      <c r="H2" s="404"/>
      <c r="I2" s="403"/>
      <c r="J2" s="403"/>
      <c r="K2" s="403"/>
      <c r="L2" s="403"/>
      <c r="M2" s="403"/>
      <c r="N2" s="403"/>
      <c r="O2" s="848"/>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c r="A3" s="401" t="s">
        <v>1488</v>
      </c>
      <c r="B3" s="402"/>
      <c r="C3" s="402"/>
      <c r="D3" s="402"/>
      <c r="E3" s="402"/>
      <c r="F3" s="402"/>
      <c r="G3" s="403"/>
      <c r="H3" s="404"/>
      <c r="I3" s="403"/>
      <c r="J3" s="403"/>
      <c r="K3" s="403"/>
      <c r="L3" s="403"/>
      <c r="M3" s="403"/>
      <c r="N3" s="403"/>
      <c r="O3" s="848"/>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c r="A4" s="401" t="s">
        <v>1489</v>
      </c>
      <c r="G4" s="403"/>
      <c r="H4" s="404"/>
      <c r="I4" s="403"/>
      <c r="J4" s="403"/>
      <c r="K4" s="403"/>
      <c r="L4" s="403"/>
      <c r="M4" s="403"/>
      <c r="N4" s="403"/>
      <c r="O4" s="848"/>
      <c r="P4" s="403"/>
      <c r="Q4" s="403"/>
      <c r="R4" s="403"/>
      <c r="S4" s="403"/>
      <c r="T4" s="403"/>
      <c r="U4" s="403"/>
      <c r="V4" s="403"/>
      <c r="W4" s="403"/>
      <c r="X4" s="403"/>
      <c r="Y4" s="403"/>
      <c r="Z4" s="403"/>
      <c r="AA4" s="403"/>
    </row>
    <row r="5" spans="1:42" s="402" customFormat="1" ht="18.75">
      <c r="A5" s="401" t="s">
        <v>1490</v>
      </c>
      <c r="G5" s="403"/>
      <c r="H5" s="404"/>
      <c r="I5" s="403"/>
      <c r="J5" s="403"/>
      <c r="K5" s="403"/>
      <c r="L5" s="403"/>
      <c r="M5" s="403"/>
      <c r="N5" s="403"/>
      <c r="O5" s="848"/>
      <c r="P5" s="403"/>
      <c r="Q5" s="403"/>
      <c r="R5" s="403"/>
      <c r="S5" s="403"/>
      <c r="T5" s="403"/>
      <c r="U5" s="403"/>
      <c r="V5" s="403"/>
      <c r="W5" s="403"/>
      <c r="X5" s="403"/>
      <c r="Y5" s="403"/>
      <c r="Z5" s="403"/>
      <c r="AA5" s="403"/>
    </row>
    <row r="6" spans="1:42" s="402" customFormat="1">
      <c r="A6" s="406" t="s">
        <v>1491</v>
      </c>
      <c r="B6" s="406"/>
      <c r="C6" s="406"/>
      <c r="D6" s="406"/>
      <c r="E6" s="406"/>
      <c r="F6" s="406"/>
      <c r="G6" s="406"/>
      <c r="H6" s="406"/>
      <c r="I6" s="406"/>
      <c r="J6" s="406"/>
      <c r="K6" s="406"/>
      <c r="L6" s="406"/>
      <c r="M6" s="406"/>
      <c r="N6" s="406"/>
      <c r="O6" s="849"/>
      <c r="P6" s="406"/>
      <c r="Q6" s="406"/>
      <c r="R6" s="406"/>
      <c r="S6" s="406"/>
      <c r="T6" s="406"/>
      <c r="U6" s="406"/>
    </row>
    <row r="7" spans="1:42" ht="15" customHeight="1">
      <c r="A7" s="732" t="s">
        <v>97</v>
      </c>
      <c r="B7" s="731" t="s">
        <v>111</v>
      </c>
      <c r="C7" s="734" t="s">
        <v>86</v>
      </c>
      <c r="D7" s="734" t="s">
        <v>87</v>
      </c>
      <c r="E7" s="734" t="s">
        <v>392</v>
      </c>
      <c r="F7" s="734" t="s">
        <v>88</v>
      </c>
      <c r="G7" s="737" t="s">
        <v>100</v>
      </c>
      <c r="H7" s="743"/>
      <c r="I7" s="743"/>
      <c r="J7" s="743"/>
      <c r="K7" s="743"/>
      <c r="L7" s="743"/>
      <c r="M7" s="743"/>
      <c r="N7" s="738"/>
      <c r="O7" s="739" t="s">
        <v>101</v>
      </c>
      <c r="P7" s="740"/>
      <c r="Q7" s="731" t="s">
        <v>102</v>
      </c>
      <c r="R7" s="731" t="s">
        <v>103</v>
      </c>
      <c r="S7" s="731" t="s">
        <v>110</v>
      </c>
      <c r="T7" s="731" t="s">
        <v>109</v>
      </c>
      <c r="U7" s="728" t="s">
        <v>89</v>
      </c>
    </row>
    <row r="8" spans="1:42" ht="15" customHeight="1">
      <c r="A8" s="732"/>
      <c r="B8" s="732"/>
      <c r="C8" s="735"/>
      <c r="D8" s="735"/>
      <c r="E8" s="735"/>
      <c r="F8" s="735"/>
      <c r="G8" s="737" t="s">
        <v>104</v>
      </c>
      <c r="H8" s="738"/>
      <c r="I8" s="737" t="s">
        <v>105</v>
      </c>
      <c r="J8" s="738"/>
      <c r="K8" s="737" t="s">
        <v>106</v>
      </c>
      <c r="L8" s="738"/>
      <c r="M8" s="737" t="s">
        <v>107</v>
      </c>
      <c r="N8" s="738"/>
      <c r="O8" s="741"/>
      <c r="P8" s="742"/>
      <c r="Q8" s="732"/>
      <c r="R8" s="732"/>
      <c r="S8" s="732"/>
      <c r="T8" s="732"/>
      <c r="U8" s="729"/>
    </row>
    <row r="9" spans="1:42" ht="25.5">
      <c r="A9" s="733"/>
      <c r="B9" s="733"/>
      <c r="C9" s="736"/>
      <c r="D9" s="736"/>
      <c r="E9" s="736"/>
      <c r="F9" s="736"/>
      <c r="G9" s="433" t="s">
        <v>108</v>
      </c>
      <c r="H9" s="433" t="s">
        <v>12</v>
      </c>
      <c r="I9" s="433" t="s">
        <v>108</v>
      </c>
      <c r="J9" s="433" t="s">
        <v>12</v>
      </c>
      <c r="K9" s="433" t="s">
        <v>108</v>
      </c>
      <c r="L9" s="433" t="s">
        <v>12</v>
      </c>
      <c r="M9" s="433" t="s">
        <v>108</v>
      </c>
      <c r="N9" s="433" t="s">
        <v>12</v>
      </c>
      <c r="O9" s="840" t="s">
        <v>108</v>
      </c>
      <c r="P9" s="433" t="s">
        <v>12</v>
      </c>
      <c r="Q9" s="733"/>
      <c r="R9" s="733"/>
      <c r="S9" s="733"/>
      <c r="T9" s="733"/>
      <c r="U9" s="730"/>
    </row>
    <row r="10" spans="1:42" ht="15.75">
      <c r="A10" s="434"/>
      <c r="B10" s="435"/>
      <c r="C10" s="436"/>
      <c r="D10" s="436"/>
      <c r="E10" s="437"/>
      <c r="F10" s="436"/>
      <c r="G10" s="438"/>
      <c r="H10" s="438"/>
      <c r="I10" s="438"/>
      <c r="J10" s="438"/>
      <c r="K10" s="438"/>
      <c r="L10" s="438"/>
      <c r="M10" s="438"/>
      <c r="N10" s="438"/>
      <c r="O10" s="841"/>
      <c r="P10" s="438"/>
      <c r="Q10" s="439"/>
      <c r="R10" s="439"/>
      <c r="S10" s="439"/>
      <c r="T10" s="439"/>
      <c r="U10" s="440"/>
    </row>
    <row r="11" spans="1:42" ht="157.5">
      <c r="A11" s="790" t="s">
        <v>1488</v>
      </c>
      <c r="B11" s="792" t="s">
        <v>1693</v>
      </c>
      <c r="C11" s="513" t="s">
        <v>1687</v>
      </c>
      <c r="D11" s="514" t="s">
        <v>1688</v>
      </c>
      <c r="E11" s="504" t="s">
        <v>1708</v>
      </c>
      <c r="F11" s="515" t="s">
        <v>1689</v>
      </c>
      <c r="G11" s="249"/>
      <c r="H11" s="230"/>
      <c r="I11" s="249"/>
      <c r="J11" s="230"/>
      <c r="K11" s="249">
        <v>1</v>
      </c>
      <c r="L11" s="230">
        <f>+'1. TALLERES SEMINARIOS'!D22</f>
        <v>11900</v>
      </c>
      <c r="M11" s="249"/>
      <c r="N11" s="230"/>
      <c r="O11" s="205">
        <f t="shared" ref="O11:P11" si="0">G11+I11+K11+M11</f>
        <v>1</v>
      </c>
      <c r="P11" s="375">
        <f t="shared" si="0"/>
        <v>11900</v>
      </c>
      <c r="Q11" s="248" t="s">
        <v>1882</v>
      </c>
      <c r="R11" s="516" t="s">
        <v>1690</v>
      </c>
      <c r="S11" s="248" t="s">
        <v>1691</v>
      </c>
      <c r="T11" s="248" t="s">
        <v>1692</v>
      </c>
      <c r="U11" s="248" t="s">
        <v>1709</v>
      </c>
    </row>
    <row r="12" spans="1:42" ht="127.5" customHeight="1">
      <c r="A12" s="791"/>
      <c r="B12" s="793"/>
      <c r="C12" s="847"/>
      <c r="D12" s="847"/>
      <c r="E12" s="482" t="s">
        <v>1880</v>
      </c>
      <c r="F12" s="500" t="s">
        <v>1879</v>
      </c>
      <c r="G12" s="483">
        <v>1</v>
      </c>
      <c r="H12" s="484">
        <f>+'1. TALLERES SEMINARIOS'!D59</f>
        <v>10360</v>
      </c>
      <c r="I12" s="483"/>
      <c r="J12" s="484"/>
      <c r="K12" s="483"/>
      <c r="L12" s="484"/>
      <c r="M12" s="483"/>
      <c r="N12" s="484"/>
      <c r="O12" s="842">
        <f t="shared" ref="O12:P12" si="1">G12+I12+K12+M12</f>
        <v>1</v>
      </c>
      <c r="P12" s="394">
        <f t="shared" si="1"/>
        <v>10360</v>
      </c>
      <c r="Q12" s="248" t="s">
        <v>1882</v>
      </c>
      <c r="R12" s="516" t="s">
        <v>1881</v>
      </c>
      <c r="S12" s="248" t="s">
        <v>1691</v>
      </c>
      <c r="T12" s="355" t="s">
        <v>1884</v>
      </c>
      <c r="U12" s="355" t="s">
        <v>1883</v>
      </c>
    </row>
    <row r="13" spans="1:42" ht="15.75" hidden="1" customHeight="1">
      <c r="A13" s="845"/>
      <c r="B13" s="803" t="s">
        <v>1694</v>
      </c>
      <c r="C13" s="847"/>
      <c r="D13" s="847"/>
      <c r="E13" s="482"/>
      <c r="F13" s="355"/>
      <c r="G13" s="483"/>
      <c r="H13" s="484"/>
      <c r="I13" s="483"/>
      <c r="J13" s="484"/>
      <c r="K13" s="483"/>
      <c r="L13" s="484"/>
      <c r="M13" s="483"/>
      <c r="N13" s="484"/>
      <c r="O13" s="842">
        <f t="shared" ref="O13:O52" si="2">G13+I13+K13+M13</f>
        <v>0</v>
      </c>
      <c r="P13" s="394">
        <f t="shared" ref="P13:P52" si="3">H13+J13+L13+N13</f>
        <v>0</v>
      </c>
      <c r="Q13" s="355"/>
      <c r="R13" s="355"/>
      <c r="S13" s="355"/>
      <c r="T13" s="355"/>
      <c r="U13" s="355"/>
    </row>
    <row r="14" spans="1:42" ht="15.75" hidden="1" customHeight="1">
      <c r="A14" s="845"/>
      <c r="B14" s="803" t="s">
        <v>1695</v>
      </c>
      <c r="C14" s="847"/>
      <c r="D14" s="847"/>
      <c r="E14" s="482"/>
      <c r="F14" s="355"/>
      <c r="G14" s="483"/>
      <c r="H14" s="484"/>
      <c r="I14" s="483"/>
      <c r="J14" s="484"/>
      <c r="K14" s="483"/>
      <c r="L14" s="484"/>
      <c r="M14" s="483"/>
      <c r="N14" s="484"/>
      <c r="O14" s="842">
        <f t="shared" si="2"/>
        <v>0</v>
      </c>
      <c r="P14" s="394">
        <f t="shared" si="3"/>
        <v>0</v>
      </c>
      <c r="Q14" s="355"/>
      <c r="R14" s="355"/>
      <c r="S14" s="355"/>
      <c r="T14" s="355"/>
      <c r="U14" s="355"/>
    </row>
    <row r="15" spans="1:42" ht="15.75" hidden="1" customHeight="1">
      <c r="A15" s="845"/>
      <c r="B15" s="803" t="s">
        <v>1696</v>
      </c>
      <c r="C15" s="847"/>
      <c r="D15" s="847"/>
      <c r="E15" s="482"/>
      <c r="F15" s="355"/>
      <c r="G15" s="483"/>
      <c r="H15" s="484"/>
      <c r="I15" s="483"/>
      <c r="J15" s="484"/>
      <c r="K15" s="483"/>
      <c r="L15" s="484"/>
      <c r="M15" s="483"/>
      <c r="N15" s="484"/>
      <c r="O15" s="842">
        <f t="shared" si="2"/>
        <v>0</v>
      </c>
      <c r="P15" s="394">
        <f t="shared" si="3"/>
        <v>0</v>
      </c>
      <c r="Q15" s="355"/>
      <c r="R15" s="355"/>
      <c r="S15" s="355"/>
      <c r="T15" s="355"/>
      <c r="U15" s="355"/>
    </row>
    <row r="16" spans="1:42" ht="15.75" hidden="1">
      <c r="A16" s="845"/>
      <c r="B16" s="794" t="s">
        <v>1697</v>
      </c>
      <c r="C16" s="847"/>
      <c r="D16" s="847"/>
      <c r="E16" s="482"/>
      <c r="F16" s="355"/>
      <c r="G16" s="483"/>
      <c r="H16" s="484"/>
      <c r="I16" s="483"/>
      <c r="J16" s="484"/>
      <c r="K16" s="483"/>
      <c r="L16" s="484"/>
      <c r="M16" s="483"/>
      <c r="N16" s="484"/>
      <c r="O16" s="842">
        <f t="shared" si="2"/>
        <v>0</v>
      </c>
      <c r="P16" s="394">
        <f t="shared" si="3"/>
        <v>0</v>
      </c>
      <c r="Q16" s="355"/>
      <c r="R16" s="355"/>
      <c r="S16" s="355"/>
      <c r="T16" s="355"/>
      <c r="U16" s="355"/>
    </row>
    <row r="17" spans="1:21" ht="15.75" hidden="1">
      <c r="A17" s="845"/>
      <c r="B17" s="753"/>
      <c r="C17" s="847"/>
      <c r="D17" s="847"/>
      <c r="E17" s="482"/>
      <c r="F17" s="355"/>
      <c r="G17" s="483"/>
      <c r="H17" s="484"/>
      <c r="I17" s="483"/>
      <c r="J17" s="484"/>
      <c r="K17" s="483"/>
      <c r="L17" s="484"/>
      <c r="M17" s="483"/>
      <c r="N17" s="484"/>
      <c r="O17" s="842">
        <f t="shared" si="2"/>
        <v>0</v>
      </c>
      <c r="P17" s="394">
        <f t="shared" si="3"/>
        <v>0</v>
      </c>
      <c r="Q17" s="355"/>
      <c r="R17" s="355"/>
      <c r="S17" s="355"/>
      <c r="T17" s="355"/>
      <c r="U17" s="355"/>
    </row>
    <row r="18" spans="1:21" ht="15.75" hidden="1">
      <c r="A18" s="845"/>
      <c r="B18" s="753"/>
      <c r="C18" s="847"/>
      <c r="D18" s="847"/>
      <c r="E18" s="482"/>
      <c r="F18" s="355"/>
      <c r="G18" s="483"/>
      <c r="H18" s="484"/>
      <c r="I18" s="483"/>
      <c r="J18" s="484"/>
      <c r="K18" s="483"/>
      <c r="L18" s="484"/>
      <c r="M18" s="483"/>
      <c r="N18" s="484"/>
      <c r="O18" s="842">
        <f t="shared" si="2"/>
        <v>0</v>
      </c>
      <c r="P18" s="394">
        <f t="shared" si="3"/>
        <v>0</v>
      </c>
      <c r="Q18" s="355"/>
      <c r="R18" s="355"/>
      <c r="S18" s="355"/>
      <c r="T18" s="355"/>
      <c r="U18" s="355"/>
    </row>
    <row r="19" spans="1:21" ht="15.75" hidden="1">
      <c r="A19" s="845"/>
      <c r="B19" s="754"/>
      <c r="C19" s="847"/>
      <c r="D19" s="847"/>
      <c r="E19" s="482"/>
      <c r="F19" s="355"/>
      <c r="G19" s="483"/>
      <c r="H19" s="484"/>
      <c r="I19" s="483"/>
      <c r="J19" s="484"/>
      <c r="K19" s="483"/>
      <c r="L19" s="484"/>
      <c r="M19" s="483"/>
      <c r="N19" s="484"/>
      <c r="O19" s="842">
        <f t="shared" si="2"/>
        <v>0</v>
      </c>
      <c r="P19" s="394">
        <f t="shared" si="3"/>
        <v>0</v>
      </c>
      <c r="Q19" s="355"/>
      <c r="R19" s="355"/>
      <c r="S19" s="355"/>
      <c r="T19" s="355"/>
      <c r="U19" s="355"/>
    </row>
    <row r="20" spans="1:21" ht="15.75" hidden="1">
      <c r="A20" s="845"/>
      <c r="B20" s="794" t="s">
        <v>1698</v>
      </c>
      <c r="C20" s="847"/>
      <c r="D20" s="847"/>
      <c r="E20" s="482"/>
      <c r="F20" s="355"/>
      <c r="G20" s="483"/>
      <c r="H20" s="484"/>
      <c r="I20" s="483"/>
      <c r="J20" s="484"/>
      <c r="K20" s="483"/>
      <c r="L20" s="484"/>
      <c r="M20" s="483"/>
      <c r="N20" s="484"/>
      <c r="O20" s="842">
        <f t="shared" si="2"/>
        <v>0</v>
      </c>
      <c r="P20" s="394">
        <f t="shared" si="3"/>
        <v>0</v>
      </c>
      <c r="Q20" s="355"/>
      <c r="R20" s="355"/>
      <c r="S20" s="355"/>
      <c r="T20" s="355"/>
      <c r="U20" s="355"/>
    </row>
    <row r="21" spans="1:21" ht="15.75" hidden="1" customHeight="1">
      <c r="A21" s="845"/>
      <c r="B21" s="753"/>
      <c r="C21" s="847"/>
      <c r="D21" s="847"/>
      <c r="E21" s="482"/>
      <c r="F21" s="355"/>
      <c r="G21" s="483"/>
      <c r="H21" s="484"/>
      <c r="I21" s="483"/>
      <c r="J21" s="484"/>
      <c r="K21" s="483"/>
      <c r="L21" s="484"/>
      <c r="M21" s="483"/>
      <c r="N21" s="484"/>
      <c r="O21" s="842">
        <f t="shared" si="2"/>
        <v>0</v>
      </c>
      <c r="P21" s="394">
        <f t="shared" si="3"/>
        <v>0</v>
      </c>
      <c r="Q21" s="355"/>
      <c r="R21" s="355"/>
      <c r="S21" s="355"/>
      <c r="T21" s="355"/>
      <c r="U21" s="355"/>
    </row>
    <row r="22" spans="1:21" ht="15.75" hidden="1">
      <c r="A22" s="845"/>
      <c r="B22" s="753"/>
      <c r="C22" s="847"/>
      <c r="D22" s="847"/>
      <c r="E22" s="482"/>
      <c r="F22" s="355"/>
      <c r="G22" s="483"/>
      <c r="H22" s="484"/>
      <c r="I22" s="483"/>
      <c r="J22" s="484"/>
      <c r="K22" s="483"/>
      <c r="L22" s="484"/>
      <c r="M22" s="483"/>
      <c r="N22" s="484"/>
      <c r="O22" s="842">
        <f t="shared" si="2"/>
        <v>0</v>
      </c>
      <c r="P22" s="394">
        <f t="shared" si="3"/>
        <v>0</v>
      </c>
      <c r="Q22" s="355"/>
      <c r="R22" s="355"/>
      <c r="S22" s="355"/>
      <c r="T22" s="355"/>
      <c r="U22" s="355"/>
    </row>
    <row r="23" spans="1:21" ht="15.75" hidden="1">
      <c r="A23" s="846"/>
      <c r="B23" s="754"/>
      <c r="C23" s="847"/>
      <c r="D23" s="847"/>
      <c r="E23" s="482"/>
      <c r="F23" s="355"/>
      <c r="G23" s="483"/>
      <c r="H23" s="484"/>
      <c r="I23" s="483"/>
      <c r="J23" s="484"/>
      <c r="K23" s="483"/>
      <c r="L23" s="484"/>
      <c r="M23" s="483"/>
      <c r="N23" s="484"/>
      <c r="O23" s="842">
        <f t="shared" si="2"/>
        <v>0</v>
      </c>
      <c r="P23" s="394">
        <f t="shared" si="3"/>
        <v>0</v>
      </c>
      <c r="Q23" s="355"/>
      <c r="R23" s="355"/>
      <c r="S23" s="355"/>
      <c r="T23" s="355"/>
      <c r="U23" s="355"/>
    </row>
    <row r="24" spans="1:21" ht="15.75" hidden="1">
      <c r="A24" s="787" t="s">
        <v>1489</v>
      </c>
      <c r="B24" s="787" t="s">
        <v>1699</v>
      </c>
      <c r="C24" s="847"/>
      <c r="D24" s="847"/>
      <c r="E24" s="482"/>
      <c r="F24" s="355"/>
      <c r="G24" s="483"/>
      <c r="H24" s="484"/>
      <c r="I24" s="483"/>
      <c r="J24" s="484"/>
      <c r="K24" s="483"/>
      <c r="L24" s="484"/>
      <c r="M24" s="483"/>
      <c r="N24" s="484"/>
      <c r="O24" s="842">
        <f t="shared" si="2"/>
        <v>0</v>
      </c>
      <c r="P24" s="394">
        <f t="shared" si="3"/>
        <v>0</v>
      </c>
      <c r="Q24" s="355"/>
      <c r="R24" s="355"/>
      <c r="S24" s="355"/>
      <c r="T24" s="355"/>
      <c r="U24" s="355"/>
    </row>
    <row r="25" spans="1:21" ht="15.75" hidden="1">
      <c r="A25" s="788"/>
      <c r="B25" s="788"/>
      <c r="C25" s="847"/>
      <c r="D25" s="847"/>
      <c r="E25" s="482"/>
      <c r="F25" s="355"/>
      <c r="G25" s="483"/>
      <c r="H25" s="484"/>
      <c r="I25" s="483"/>
      <c r="J25" s="484"/>
      <c r="K25" s="483"/>
      <c r="L25" s="484"/>
      <c r="M25" s="483"/>
      <c r="N25" s="484"/>
      <c r="O25" s="842">
        <f t="shared" si="2"/>
        <v>0</v>
      </c>
      <c r="P25" s="394">
        <f t="shared" si="3"/>
        <v>0</v>
      </c>
      <c r="Q25" s="355"/>
      <c r="R25" s="355"/>
      <c r="S25" s="355"/>
      <c r="T25" s="355"/>
      <c r="U25" s="355"/>
    </row>
    <row r="26" spans="1:21" ht="15.75" hidden="1">
      <c r="A26" s="788"/>
      <c r="B26" s="788"/>
      <c r="C26" s="847"/>
      <c r="D26" s="847"/>
      <c r="E26" s="482"/>
      <c r="F26" s="355"/>
      <c r="G26" s="483"/>
      <c r="H26" s="484"/>
      <c r="I26" s="483"/>
      <c r="J26" s="484"/>
      <c r="K26" s="483"/>
      <c r="L26" s="484"/>
      <c r="M26" s="483"/>
      <c r="N26" s="484"/>
      <c r="O26" s="842">
        <f t="shared" si="2"/>
        <v>0</v>
      </c>
      <c r="P26" s="394">
        <f t="shared" si="3"/>
        <v>0</v>
      </c>
      <c r="Q26" s="355"/>
      <c r="R26" s="355"/>
      <c r="S26" s="355"/>
      <c r="T26" s="355"/>
      <c r="U26" s="355"/>
    </row>
    <row r="27" spans="1:21" ht="15.75" hidden="1">
      <c r="A27" s="788"/>
      <c r="B27" s="789"/>
      <c r="C27" s="847"/>
      <c r="D27" s="847"/>
      <c r="E27" s="482"/>
      <c r="F27" s="355"/>
      <c r="G27" s="483"/>
      <c r="H27" s="484"/>
      <c r="I27" s="483"/>
      <c r="J27" s="484"/>
      <c r="K27" s="483"/>
      <c r="L27" s="484"/>
      <c r="M27" s="483"/>
      <c r="N27" s="484"/>
      <c r="O27" s="842">
        <f t="shared" si="2"/>
        <v>0</v>
      </c>
      <c r="P27" s="394">
        <f t="shared" si="3"/>
        <v>0</v>
      </c>
      <c r="Q27" s="355"/>
      <c r="R27" s="355"/>
      <c r="S27" s="355"/>
      <c r="T27" s="355"/>
      <c r="U27" s="355"/>
    </row>
    <row r="28" spans="1:21" ht="15.75" hidden="1">
      <c r="A28" s="788"/>
      <c r="B28" s="787" t="s">
        <v>1700</v>
      </c>
      <c r="C28" s="847"/>
      <c r="D28" s="847"/>
      <c r="E28" s="482"/>
      <c r="F28" s="355"/>
      <c r="G28" s="483"/>
      <c r="H28" s="484"/>
      <c r="I28" s="483"/>
      <c r="J28" s="484"/>
      <c r="K28" s="483"/>
      <c r="L28" s="484"/>
      <c r="M28" s="483"/>
      <c r="N28" s="484"/>
      <c r="O28" s="842">
        <f t="shared" si="2"/>
        <v>0</v>
      </c>
      <c r="P28" s="394">
        <f t="shared" si="3"/>
        <v>0</v>
      </c>
      <c r="Q28" s="355"/>
      <c r="R28" s="355"/>
      <c r="S28" s="355"/>
      <c r="T28" s="355"/>
      <c r="U28" s="355"/>
    </row>
    <row r="29" spans="1:21" ht="15.75" hidden="1" customHeight="1">
      <c r="A29" s="788"/>
      <c r="B29" s="788"/>
      <c r="C29" s="847"/>
      <c r="D29" s="847"/>
      <c r="E29" s="482"/>
      <c r="F29" s="355"/>
      <c r="G29" s="483"/>
      <c r="H29" s="484"/>
      <c r="I29" s="483"/>
      <c r="J29" s="484"/>
      <c r="K29" s="483"/>
      <c r="L29" s="484"/>
      <c r="M29" s="483"/>
      <c r="N29" s="484"/>
      <c r="O29" s="842">
        <f t="shared" si="2"/>
        <v>0</v>
      </c>
      <c r="P29" s="394">
        <f t="shared" si="3"/>
        <v>0</v>
      </c>
      <c r="Q29" s="355"/>
      <c r="R29" s="355"/>
      <c r="S29" s="355"/>
      <c r="T29" s="355"/>
      <c r="U29" s="355"/>
    </row>
    <row r="30" spans="1:21" ht="15.75" hidden="1">
      <c r="A30" s="788"/>
      <c r="B30" s="788"/>
      <c r="C30" s="847"/>
      <c r="D30" s="847"/>
      <c r="E30" s="482"/>
      <c r="F30" s="355"/>
      <c r="G30" s="483"/>
      <c r="H30" s="484"/>
      <c r="I30" s="483"/>
      <c r="J30" s="484"/>
      <c r="K30" s="483"/>
      <c r="L30" s="484"/>
      <c r="M30" s="483"/>
      <c r="N30" s="484"/>
      <c r="O30" s="842">
        <f t="shared" si="2"/>
        <v>0</v>
      </c>
      <c r="P30" s="394">
        <f t="shared" si="3"/>
        <v>0</v>
      </c>
      <c r="Q30" s="355"/>
      <c r="R30" s="355"/>
      <c r="S30" s="355"/>
      <c r="T30" s="355"/>
      <c r="U30" s="355"/>
    </row>
    <row r="31" spans="1:21" ht="15.75" hidden="1">
      <c r="A31" s="789"/>
      <c r="B31" s="789"/>
      <c r="C31" s="847"/>
      <c r="D31" s="847"/>
      <c r="E31" s="482"/>
      <c r="F31" s="355"/>
      <c r="G31" s="483"/>
      <c r="H31" s="484"/>
      <c r="I31" s="483"/>
      <c r="J31" s="484"/>
      <c r="K31" s="483"/>
      <c r="L31" s="484"/>
      <c r="M31" s="483"/>
      <c r="N31" s="484"/>
      <c r="O31" s="842">
        <f t="shared" si="2"/>
        <v>0</v>
      </c>
      <c r="P31" s="394">
        <f t="shared" si="3"/>
        <v>0</v>
      </c>
      <c r="Q31" s="355"/>
      <c r="R31" s="355"/>
      <c r="S31" s="355"/>
      <c r="T31" s="355"/>
      <c r="U31" s="355"/>
    </row>
    <row r="32" spans="1:21" ht="15.75" hidden="1" customHeight="1">
      <c r="A32" s="803"/>
      <c r="B32" s="794" t="s">
        <v>1701</v>
      </c>
      <c r="C32" s="847"/>
      <c r="D32" s="847"/>
      <c r="E32" s="482"/>
      <c r="F32" s="355"/>
      <c r="G32" s="483"/>
      <c r="H32" s="484"/>
      <c r="I32" s="483"/>
      <c r="J32" s="484"/>
      <c r="K32" s="483"/>
      <c r="L32" s="484"/>
      <c r="M32" s="483"/>
      <c r="N32" s="484"/>
      <c r="O32" s="842">
        <f t="shared" si="2"/>
        <v>0</v>
      </c>
      <c r="P32" s="394">
        <f t="shared" si="3"/>
        <v>0</v>
      </c>
      <c r="Q32" s="355"/>
      <c r="R32" s="355"/>
      <c r="S32" s="355"/>
      <c r="T32" s="355"/>
      <c r="U32" s="355"/>
    </row>
    <row r="33" spans="1:21" ht="15.75" hidden="1">
      <c r="A33" s="804"/>
      <c r="B33" s="753"/>
      <c r="C33" s="847"/>
      <c r="D33" s="847"/>
      <c r="E33" s="482"/>
      <c r="F33" s="355"/>
      <c r="G33" s="483"/>
      <c r="H33" s="484"/>
      <c r="I33" s="483"/>
      <c r="J33" s="484"/>
      <c r="K33" s="483"/>
      <c r="L33" s="484"/>
      <c r="M33" s="483"/>
      <c r="N33" s="484"/>
      <c r="O33" s="842">
        <f t="shared" si="2"/>
        <v>0</v>
      </c>
      <c r="P33" s="394">
        <f t="shared" si="3"/>
        <v>0</v>
      </c>
      <c r="Q33" s="355"/>
      <c r="R33" s="355"/>
      <c r="S33" s="355"/>
      <c r="T33" s="355"/>
      <c r="U33" s="355"/>
    </row>
    <row r="34" spans="1:21" ht="15.75" hidden="1">
      <c r="A34" s="804"/>
      <c r="B34" s="753"/>
      <c r="C34" s="847"/>
      <c r="D34" s="847"/>
      <c r="E34" s="482"/>
      <c r="F34" s="355"/>
      <c r="G34" s="483"/>
      <c r="H34" s="484"/>
      <c r="I34" s="483"/>
      <c r="J34" s="484"/>
      <c r="K34" s="483"/>
      <c r="L34" s="484"/>
      <c r="M34" s="483"/>
      <c r="N34" s="484"/>
      <c r="O34" s="842">
        <f t="shared" si="2"/>
        <v>0</v>
      </c>
      <c r="P34" s="394">
        <f t="shared" si="3"/>
        <v>0</v>
      </c>
      <c r="Q34" s="355"/>
      <c r="R34" s="355"/>
      <c r="S34" s="355"/>
      <c r="T34" s="355"/>
      <c r="U34" s="355"/>
    </row>
    <row r="35" spans="1:21" ht="15.75" hidden="1">
      <c r="A35" s="804"/>
      <c r="B35" s="754"/>
      <c r="C35" s="847"/>
      <c r="D35" s="847"/>
      <c r="E35" s="482"/>
      <c r="F35" s="355"/>
      <c r="G35" s="483"/>
      <c r="H35" s="484"/>
      <c r="I35" s="483"/>
      <c r="J35" s="484"/>
      <c r="K35" s="483"/>
      <c r="L35" s="484"/>
      <c r="M35" s="483"/>
      <c r="N35" s="484"/>
      <c r="O35" s="842">
        <f t="shared" si="2"/>
        <v>0</v>
      </c>
      <c r="P35" s="394">
        <f t="shared" si="3"/>
        <v>0</v>
      </c>
      <c r="Q35" s="355"/>
      <c r="R35" s="355"/>
      <c r="S35" s="355"/>
      <c r="T35" s="355"/>
      <c r="U35" s="355"/>
    </row>
    <row r="36" spans="1:21" ht="15.75" hidden="1">
      <c r="A36" s="804"/>
      <c r="B36" s="794" t="s">
        <v>1702</v>
      </c>
      <c r="C36" s="847"/>
      <c r="D36" s="847"/>
      <c r="E36" s="482"/>
      <c r="F36" s="355"/>
      <c r="G36" s="483"/>
      <c r="H36" s="484"/>
      <c r="I36" s="483"/>
      <c r="J36" s="484"/>
      <c r="K36" s="483"/>
      <c r="L36" s="484"/>
      <c r="M36" s="483"/>
      <c r="N36" s="484"/>
      <c r="O36" s="842">
        <f t="shared" si="2"/>
        <v>0</v>
      </c>
      <c r="P36" s="394">
        <f t="shared" si="3"/>
        <v>0</v>
      </c>
      <c r="Q36" s="355"/>
      <c r="R36" s="355"/>
      <c r="S36" s="355"/>
      <c r="T36" s="355"/>
      <c r="U36" s="355"/>
    </row>
    <row r="37" spans="1:21" ht="15.75" hidden="1">
      <c r="A37" s="804"/>
      <c r="B37" s="753"/>
      <c r="C37" s="847"/>
      <c r="D37" s="847"/>
      <c r="E37" s="482"/>
      <c r="F37" s="355"/>
      <c r="G37" s="483"/>
      <c r="H37" s="484"/>
      <c r="I37" s="483"/>
      <c r="J37" s="484"/>
      <c r="K37" s="483"/>
      <c r="L37" s="484"/>
      <c r="M37" s="483"/>
      <c r="N37" s="484"/>
      <c r="O37" s="842">
        <f t="shared" si="2"/>
        <v>0</v>
      </c>
      <c r="P37" s="394">
        <f t="shared" si="3"/>
        <v>0</v>
      </c>
      <c r="Q37" s="355"/>
      <c r="R37" s="355"/>
      <c r="S37" s="355"/>
      <c r="T37" s="355"/>
      <c r="U37" s="355"/>
    </row>
    <row r="38" spans="1:21" ht="15.75" hidden="1">
      <c r="A38" s="804"/>
      <c r="B38" s="753"/>
      <c r="C38" s="847"/>
      <c r="D38" s="847"/>
      <c r="E38" s="482"/>
      <c r="F38" s="355"/>
      <c r="G38" s="483"/>
      <c r="H38" s="484"/>
      <c r="I38" s="483"/>
      <c r="J38" s="484"/>
      <c r="K38" s="483"/>
      <c r="L38" s="484"/>
      <c r="M38" s="483"/>
      <c r="N38" s="484"/>
      <c r="O38" s="842">
        <f t="shared" si="2"/>
        <v>0</v>
      </c>
      <c r="P38" s="394">
        <f t="shared" si="3"/>
        <v>0</v>
      </c>
      <c r="Q38" s="355"/>
      <c r="R38" s="355"/>
      <c r="S38" s="355"/>
      <c r="T38" s="355"/>
      <c r="U38" s="355"/>
    </row>
    <row r="39" spans="1:21" ht="15.75" hidden="1">
      <c r="A39" s="804"/>
      <c r="B39" s="754"/>
      <c r="C39" s="847"/>
      <c r="D39" s="847"/>
      <c r="E39" s="482"/>
      <c r="F39" s="355"/>
      <c r="G39" s="483"/>
      <c r="H39" s="484"/>
      <c r="I39" s="483"/>
      <c r="J39" s="484"/>
      <c r="K39" s="483"/>
      <c r="L39" s="484"/>
      <c r="M39" s="483"/>
      <c r="N39" s="484"/>
      <c r="O39" s="842">
        <f t="shared" si="2"/>
        <v>0</v>
      </c>
      <c r="P39" s="394">
        <f t="shared" si="3"/>
        <v>0</v>
      </c>
      <c r="Q39" s="355"/>
      <c r="R39" s="355"/>
      <c r="S39" s="355"/>
      <c r="T39" s="355"/>
      <c r="U39" s="355"/>
    </row>
    <row r="40" spans="1:21" ht="126">
      <c r="A40" s="803" t="s">
        <v>1490</v>
      </c>
      <c r="B40" s="803" t="s">
        <v>1703</v>
      </c>
      <c r="C40" s="847"/>
      <c r="D40" s="847"/>
      <c r="E40" s="482" t="s">
        <v>1997</v>
      </c>
      <c r="F40" s="500" t="s">
        <v>1996</v>
      </c>
      <c r="G40" s="483"/>
      <c r="H40" s="484"/>
      <c r="I40" s="483"/>
      <c r="J40" s="484"/>
      <c r="K40" s="483">
        <v>1</v>
      </c>
      <c r="L40" s="484"/>
      <c r="M40" s="483"/>
      <c r="N40" s="484"/>
      <c r="O40" s="842">
        <f t="shared" si="2"/>
        <v>1</v>
      </c>
      <c r="P40" s="394">
        <f t="shared" si="3"/>
        <v>0</v>
      </c>
      <c r="Q40" s="355"/>
      <c r="R40" s="510" t="s">
        <v>1998</v>
      </c>
      <c r="S40" s="355" t="s">
        <v>1999</v>
      </c>
      <c r="T40" s="355" t="s">
        <v>2000</v>
      </c>
      <c r="U40" s="355" t="s">
        <v>2001</v>
      </c>
    </row>
    <row r="41" spans="1:21" ht="15.75" hidden="1" customHeight="1">
      <c r="A41" s="803" t="s">
        <v>1491</v>
      </c>
      <c r="B41" s="794" t="s">
        <v>1704</v>
      </c>
      <c r="C41" s="482"/>
      <c r="D41" s="482"/>
      <c r="E41" s="482"/>
      <c r="F41" s="355"/>
      <c r="G41" s="483"/>
      <c r="H41" s="484"/>
      <c r="I41" s="483"/>
      <c r="J41" s="484"/>
      <c r="K41" s="483"/>
      <c r="L41" s="484"/>
      <c r="M41" s="483"/>
      <c r="N41" s="484"/>
      <c r="O41" s="842">
        <f t="shared" si="2"/>
        <v>0</v>
      </c>
      <c r="P41" s="394">
        <f t="shared" si="3"/>
        <v>0</v>
      </c>
      <c r="Q41" s="355"/>
      <c r="R41" s="355"/>
      <c r="S41" s="355"/>
      <c r="T41" s="355"/>
      <c r="U41" s="355"/>
    </row>
    <row r="42" spans="1:21" ht="15.75" hidden="1">
      <c r="A42" s="804"/>
      <c r="B42" s="753"/>
      <c r="C42" s="482"/>
      <c r="D42" s="482"/>
      <c r="E42" s="482"/>
      <c r="F42" s="355"/>
      <c r="G42" s="483"/>
      <c r="H42" s="484"/>
      <c r="I42" s="483"/>
      <c r="J42" s="484"/>
      <c r="K42" s="483"/>
      <c r="L42" s="484"/>
      <c r="M42" s="483"/>
      <c r="N42" s="484"/>
      <c r="O42" s="842">
        <f t="shared" si="2"/>
        <v>0</v>
      </c>
      <c r="P42" s="394">
        <f t="shared" si="3"/>
        <v>0</v>
      </c>
      <c r="Q42" s="355"/>
      <c r="R42" s="355"/>
      <c r="S42" s="355"/>
      <c r="T42" s="355"/>
      <c r="U42" s="355"/>
    </row>
    <row r="43" spans="1:21" ht="15.75" hidden="1">
      <c r="A43" s="804"/>
      <c r="B43" s="753"/>
      <c r="C43" s="482"/>
      <c r="D43" s="482"/>
      <c r="E43" s="482"/>
      <c r="F43" s="355"/>
      <c r="G43" s="483"/>
      <c r="H43" s="484"/>
      <c r="I43" s="483"/>
      <c r="J43" s="484"/>
      <c r="K43" s="483"/>
      <c r="L43" s="484"/>
      <c r="M43" s="483"/>
      <c r="N43" s="484"/>
      <c r="O43" s="842">
        <f t="shared" si="2"/>
        <v>0</v>
      </c>
      <c r="P43" s="394">
        <f t="shared" si="3"/>
        <v>0</v>
      </c>
      <c r="Q43" s="355"/>
      <c r="R43" s="355"/>
      <c r="S43" s="355"/>
      <c r="T43" s="355"/>
      <c r="U43" s="355"/>
    </row>
    <row r="44" spans="1:21" ht="15.75" hidden="1">
      <c r="A44" s="804"/>
      <c r="B44" s="754"/>
      <c r="C44" s="482"/>
      <c r="D44" s="482"/>
      <c r="E44" s="482"/>
      <c r="F44" s="355"/>
      <c r="G44" s="483"/>
      <c r="H44" s="484"/>
      <c r="I44" s="483"/>
      <c r="J44" s="484"/>
      <c r="K44" s="483"/>
      <c r="L44" s="484"/>
      <c r="M44" s="483"/>
      <c r="N44" s="484"/>
      <c r="O44" s="842">
        <f t="shared" si="2"/>
        <v>0</v>
      </c>
      <c r="P44" s="394">
        <f t="shared" si="3"/>
        <v>0</v>
      </c>
      <c r="Q44" s="355"/>
      <c r="R44" s="355"/>
      <c r="S44" s="355"/>
      <c r="T44" s="355"/>
      <c r="U44" s="355"/>
    </row>
    <row r="45" spans="1:21" ht="15.75" hidden="1">
      <c r="A45" s="804"/>
      <c r="B45" s="794" t="s">
        <v>1705</v>
      </c>
      <c r="C45" s="482"/>
      <c r="D45" s="482"/>
      <c r="E45" s="482"/>
      <c r="F45" s="355"/>
      <c r="G45" s="483"/>
      <c r="H45" s="484"/>
      <c r="I45" s="483"/>
      <c r="J45" s="484"/>
      <c r="K45" s="483"/>
      <c r="L45" s="484"/>
      <c r="M45" s="483"/>
      <c r="N45" s="484"/>
      <c r="O45" s="842">
        <f t="shared" si="2"/>
        <v>0</v>
      </c>
      <c r="P45" s="394">
        <f t="shared" si="3"/>
        <v>0</v>
      </c>
      <c r="Q45" s="355"/>
      <c r="R45" s="355"/>
      <c r="S45" s="355"/>
      <c r="T45" s="355"/>
      <c r="U45" s="355"/>
    </row>
    <row r="46" spans="1:21" ht="15.75" hidden="1">
      <c r="A46" s="804"/>
      <c r="B46" s="753"/>
      <c r="C46" s="482"/>
      <c r="D46" s="482"/>
      <c r="E46" s="482"/>
      <c r="F46" s="355"/>
      <c r="G46" s="483"/>
      <c r="H46" s="484"/>
      <c r="I46" s="483"/>
      <c r="J46" s="484"/>
      <c r="K46" s="483"/>
      <c r="L46" s="484"/>
      <c r="M46" s="483"/>
      <c r="N46" s="484"/>
      <c r="O46" s="842">
        <f t="shared" si="2"/>
        <v>0</v>
      </c>
      <c r="P46" s="394">
        <f t="shared" si="3"/>
        <v>0</v>
      </c>
      <c r="Q46" s="355"/>
      <c r="R46" s="355"/>
      <c r="S46" s="355"/>
      <c r="T46" s="355"/>
      <c r="U46" s="355"/>
    </row>
    <row r="47" spans="1:21" ht="15.75" hidden="1">
      <c r="A47" s="804"/>
      <c r="B47" s="753"/>
      <c r="C47" s="482"/>
      <c r="D47" s="482"/>
      <c r="E47" s="482"/>
      <c r="F47" s="355"/>
      <c r="G47" s="483"/>
      <c r="H47" s="484"/>
      <c r="I47" s="483"/>
      <c r="J47" s="484"/>
      <c r="K47" s="483"/>
      <c r="L47" s="484"/>
      <c r="M47" s="483"/>
      <c r="N47" s="484"/>
      <c r="O47" s="842">
        <f t="shared" si="2"/>
        <v>0</v>
      </c>
      <c r="P47" s="394">
        <f t="shared" si="3"/>
        <v>0</v>
      </c>
      <c r="Q47" s="355"/>
      <c r="R47" s="355"/>
      <c r="S47" s="355"/>
      <c r="T47" s="355"/>
      <c r="U47" s="355"/>
    </row>
    <row r="48" spans="1:21" ht="15.75" hidden="1">
      <c r="A48" s="804"/>
      <c r="B48" s="754"/>
      <c r="C48" s="482"/>
      <c r="D48" s="482"/>
      <c r="E48" s="482"/>
      <c r="F48" s="355"/>
      <c r="G48" s="483"/>
      <c r="H48" s="484"/>
      <c r="I48" s="483"/>
      <c r="J48" s="484"/>
      <c r="K48" s="483"/>
      <c r="L48" s="484"/>
      <c r="M48" s="483"/>
      <c r="N48" s="484"/>
      <c r="O48" s="842">
        <f t="shared" si="2"/>
        <v>0</v>
      </c>
      <c r="P48" s="394">
        <f t="shared" si="3"/>
        <v>0</v>
      </c>
      <c r="Q48" s="355"/>
      <c r="R48" s="355"/>
      <c r="S48" s="355"/>
      <c r="T48" s="355"/>
      <c r="U48" s="355"/>
    </row>
    <row r="49" spans="1:21" ht="15.75" hidden="1">
      <c r="A49" s="804"/>
      <c r="B49" s="794" t="s">
        <v>1706</v>
      </c>
      <c r="C49" s="482"/>
      <c r="D49" s="482"/>
      <c r="E49" s="482"/>
      <c r="F49" s="355"/>
      <c r="G49" s="483"/>
      <c r="H49" s="484"/>
      <c r="I49" s="483"/>
      <c r="J49" s="484"/>
      <c r="K49" s="483"/>
      <c r="L49" s="484"/>
      <c r="M49" s="483"/>
      <c r="N49" s="484"/>
      <c r="O49" s="842">
        <f t="shared" si="2"/>
        <v>0</v>
      </c>
      <c r="P49" s="394">
        <f t="shared" si="3"/>
        <v>0</v>
      </c>
      <c r="Q49" s="355"/>
      <c r="R49" s="355"/>
      <c r="S49" s="355"/>
      <c r="T49" s="355"/>
      <c r="U49" s="355"/>
    </row>
    <row r="50" spans="1:21" ht="15.75" hidden="1">
      <c r="A50" s="804"/>
      <c r="B50" s="753"/>
      <c r="C50" s="482"/>
      <c r="D50" s="482"/>
      <c r="E50" s="482"/>
      <c r="F50" s="355"/>
      <c r="G50" s="483"/>
      <c r="H50" s="484"/>
      <c r="I50" s="483"/>
      <c r="J50" s="484"/>
      <c r="K50" s="483"/>
      <c r="L50" s="484"/>
      <c r="M50" s="483"/>
      <c r="N50" s="484"/>
      <c r="O50" s="842">
        <f t="shared" si="2"/>
        <v>0</v>
      </c>
      <c r="P50" s="394">
        <f t="shared" si="3"/>
        <v>0</v>
      </c>
      <c r="Q50" s="355"/>
      <c r="R50" s="355"/>
      <c r="S50" s="355"/>
      <c r="T50" s="355"/>
      <c r="U50" s="355"/>
    </row>
    <row r="51" spans="1:21" ht="15.75" hidden="1" customHeight="1">
      <c r="A51" s="804"/>
      <c r="B51" s="753"/>
      <c r="C51" s="482"/>
      <c r="D51" s="482"/>
      <c r="E51" s="482"/>
      <c r="F51" s="355"/>
      <c r="G51" s="483"/>
      <c r="H51" s="484"/>
      <c r="I51" s="483"/>
      <c r="J51" s="484"/>
      <c r="K51" s="483"/>
      <c r="L51" s="484"/>
      <c r="M51" s="483"/>
      <c r="N51" s="484"/>
      <c r="O51" s="842">
        <f t="shared" si="2"/>
        <v>0</v>
      </c>
      <c r="P51" s="394">
        <f t="shared" si="3"/>
        <v>0</v>
      </c>
      <c r="Q51" s="355"/>
      <c r="R51" s="355"/>
      <c r="S51" s="355"/>
      <c r="T51" s="355"/>
      <c r="U51" s="355"/>
    </row>
    <row r="52" spans="1:21" ht="15.75" hidden="1">
      <c r="A52" s="804"/>
      <c r="B52" s="754"/>
      <c r="C52" s="482"/>
      <c r="D52" s="482"/>
      <c r="E52" s="482"/>
      <c r="F52" s="355"/>
      <c r="G52" s="483"/>
      <c r="H52" s="484"/>
      <c r="I52" s="483"/>
      <c r="J52" s="484"/>
      <c r="K52" s="483"/>
      <c r="L52" s="484"/>
      <c r="M52" s="483"/>
      <c r="N52" s="484"/>
      <c r="O52" s="842">
        <f t="shared" si="2"/>
        <v>0</v>
      </c>
      <c r="P52" s="394">
        <f t="shared" si="3"/>
        <v>0</v>
      </c>
      <c r="Q52" s="355"/>
      <c r="R52" s="355"/>
      <c r="S52" s="355"/>
      <c r="T52" s="355"/>
      <c r="U52" s="355"/>
    </row>
    <row r="53" spans="1:21" ht="15.75" hidden="1" customHeight="1">
      <c r="A53" s="804"/>
      <c r="B53" s="803" t="s">
        <v>1707</v>
      </c>
      <c r="C53" s="482"/>
      <c r="D53" s="482"/>
      <c r="E53" s="482"/>
      <c r="F53" s="355"/>
      <c r="G53" s="355"/>
      <c r="H53" s="484"/>
      <c r="I53" s="355"/>
      <c r="J53" s="484"/>
      <c r="K53" s="355"/>
      <c r="L53" s="484"/>
      <c r="M53" s="355"/>
      <c r="N53" s="484"/>
      <c r="O53" s="842">
        <f t="shared" ref="O53:P53" si="4">G53+I53+K53+M53</f>
        <v>0</v>
      </c>
      <c r="P53" s="394">
        <f t="shared" si="4"/>
        <v>0</v>
      </c>
      <c r="Q53" s="355"/>
      <c r="R53" s="485"/>
      <c r="S53" s="355"/>
      <c r="T53" s="355"/>
      <c r="U53" s="355"/>
    </row>
    <row r="54" spans="1:21" ht="15.75">
      <c r="A54" s="293"/>
      <c r="B54" s="293"/>
      <c r="C54" s="293"/>
      <c r="D54" s="292" t="s">
        <v>1493</v>
      </c>
      <c r="E54" s="293"/>
      <c r="F54" s="294"/>
      <c r="G54" s="75">
        <f t="shared" ref="G54:P54" si="5">SUM(G11:G53)</f>
        <v>1</v>
      </c>
      <c r="H54" s="235">
        <f t="shared" si="5"/>
        <v>10360</v>
      </c>
      <c r="I54" s="75">
        <f t="shared" si="5"/>
        <v>0</v>
      </c>
      <c r="J54" s="235">
        <f t="shared" si="5"/>
        <v>0</v>
      </c>
      <c r="K54" s="75">
        <f t="shared" si="5"/>
        <v>2</v>
      </c>
      <c r="L54" s="235">
        <f t="shared" si="5"/>
        <v>11900</v>
      </c>
      <c r="M54" s="75">
        <f t="shared" si="5"/>
        <v>0</v>
      </c>
      <c r="N54" s="235">
        <f t="shared" si="5"/>
        <v>0</v>
      </c>
      <c r="O54" s="850">
        <f t="shared" si="5"/>
        <v>3</v>
      </c>
      <c r="P54" s="235">
        <f t="shared" si="5"/>
        <v>22260</v>
      </c>
      <c r="Q54" s="68"/>
      <c r="R54" s="68"/>
      <c r="S54" s="68"/>
      <c r="T54" s="68"/>
      <c r="U54" s="68"/>
    </row>
    <row r="55" spans="1:21" ht="15" customHeight="1">
      <c r="A55" s="600"/>
      <c r="B55" s="600"/>
      <c r="C55" s="600"/>
    </row>
    <row r="56" spans="1:21" ht="15" customHeight="1">
      <c r="A56" s="600"/>
      <c r="B56" s="600"/>
      <c r="C56" s="600"/>
    </row>
    <row r="57" spans="1:21">
      <c r="A57" s="600"/>
      <c r="B57" s="600"/>
      <c r="C57" s="600"/>
    </row>
    <row r="58" spans="1:21">
      <c r="A58" s="600"/>
      <c r="B58" s="600"/>
      <c r="C58" s="600"/>
    </row>
  </sheetData>
  <mergeCells count="30">
    <mergeCell ref="B32:B35"/>
    <mergeCell ref="B36:B39"/>
    <mergeCell ref="B41:B44"/>
    <mergeCell ref="B45:B48"/>
    <mergeCell ref="B49:B52"/>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A24:A31"/>
    <mergeCell ref="B24:B27"/>
    <mergeCell ref="B28:B31"/>
    <mergeCell ref="O7:P8"/>
    <mergeCell ref="B16:B19"/>
    <mergeCell ref="B20:B23"/>
    <mergeCell ref="B11:B12"/>
    <mergeCell ref="A11:A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AK1" zoomScale="80" zoomScaleNormal="80" workbookViewId="0">
      <pane ySplit="11" topLeftCell="A545" activePane="bottomLeft" state="frozen"/>
      <selection activeCell="A11" sqref="A11"/>
      <selection pane="bottomLeft" activeCell="C20" sqref="C20"/>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2"/>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59"/>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1483</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725" t="s">
        <v>393</v>
      </c>
      <c r="L10" s="725"/>
      <c r="M10" s="725"/>
      <c r="N10" s="725"/>
      <c r="O10" s="725"/>
      <c r="P10" s="725"/>
      <c r="Q10" s="725"/>
      <c r="R10" s="725"/>
      <c r="S10" s="725"/>
      <c r="T10" s="725"/>
      <c r="U10" s="725"/>
      <c r="V10" s="725"/>
      <c r="W10" s="725"/>
      <c r="X10" s="725"/>
      <c r="Y10" s="725"/>
      <c r="Z10" s="725"/>
      <c r="AA10" s="725"/>
    </row>
    <row r="11" spans="1:571" ht="79.5" thickBot="1">
      <c r="A11" s="367"/>
      <c r="B11" s="318" t="s">
        <v>133</v>
      </c>
      <c r="C11" s="193" t="s">
        <v>132</v>
      </c>
      <c r="D11" s="194" t="s">
        <v>129</v>
      </c>
      <c r="E11" s="211" t="s">
        <v>1486</v>
      </c>
      <c r="F11" s="194" t="s">
        <v>248</v>
      </c>
      <c r="G11" s="194" t="s">
        <v>460</v>
      </c>
      <c r="H11" s="194" t="s">
        <v>462</v>
      </c>
      <c r="I11" s="211" t="s">
        <v>463</v>
      </c>
      <c r="J11" s="194" t="s">
        <v>461</v>
      </c>
      <c r="K11" s="336" t="s">
        <v>1357</v>
      </c>
      <c r="L11" s="336" t="s">
        <v>1359</v>
      </c>
      <c r="M11" s="336" t="s">
        <v>471</v>
      </c>
      <c r="N11" s="336" t="s">
        <v>1358</v>
      </c>
      <c r="O11" s="336" t="s">
        <v>1360</v>
      </c>
      <c r="P11" s="336" t="s">
        <v>472</v>
      </c>
      <c r="Q11" s="336" t="s">
        <v>1361</v>
      </c>
      <c r="R11" s="336" t="s">
        <v>1362</v>
      </c>
      <c r="S11" s="336" t="s">
        <v>1363</v>
      </c>
      <c r="T11" s="336" t="s">
        <v>1441</v>
      </c>
      <c r="U11" s="336" t="s">
        <v>1364</v>
      </c>
      <c r="V11" s="336" t="s">
        <v>1365</v>
      </c>
      <c r="W11" s="336" t="s">
        <v>1366</v>
      </c>
      <c r="X11" s="336" t="s">
        <v>1367</v>
      </c>
      <c r="Y11" s="336" t="s">
        <v>1368</v>
      </c>
      <c r="Z11" s="336" t="s">
        <v>1456</v>
      </c>
      <c r="AA11" s="336" t="s">
        <v>1494</v>
      </c>
      <c r="AB11" s="335" t="s">
        <v>394</v>
      </c>
      <c r="AC11" s="211" t="s">
        <v>412</v>
      </c>
      <c r="AD11" s="211" t="s">
        <v>395</v>
      </c>
      <c r="AE11" s="211" t="s">
        <v>409</v>
      </c>
      <c r="AF11" s="211" t="s">
        <v>396</v>
      </c>
      <c r="AG11" s="211" t="s">
        <v>397</v>
      </c>
      <c r="AH11" s="211" t="s">
        <v>398</v>
      </c>
      <c r="AI11" s="211" t="s">
        <v>408</v>
      </c>
      <c r="AJ11" s="211" t="s">
        <v>399</v>
      </c>
      <c r="AK11" s="211" t="s">
        <v>400</v>
      </c>
      <c r="AL11" s="211" t="s">
        <v>401</v>
      </c>
      <c r="AM11" s="211" t="s">
        <v>407</v>
      </c>
      <c r="AN11" s="211" t="s">
        <v>402</v>
      </c>
      <c r="AO11" s="211" t="s">
        <v>403</v>
      </c>
      <c r="AP11" s="211" t="s">
        <v>404</v>
      </c>
      <c r="AQ11" s="211" t="s">
        <v>406</v>
      </c>
      <c r="AR11" s="211" t="s">
        <v>405</v>
      </c>
    </row>
    <row r="12" spans="1:571">
      <c r="A12" s="366"/>
      <c r="B12" s="187" t="s">
        <v>251</v>
      </c>
      <c r="C12" s="188" t="s">
        <v>134</v>
      </c>
      <c r="D12" s="189">
        <f>D13+D47+D83+D89+D96</f>
        <v>375202.66499999998</v>
      </c>
      <c r="E12" s="189">
        <f>E13+E47+E83+E89+E96</f>
        <v>1903446.9449999998</v>
      </c>
      <c r="F12" s="189">
        <f t="shared" ref="F12:F106" si="0">D12+E12</f>
        <v>2278649.61</v>
      </c>
      <c r="G12" s="189">
        <f>G13+G47+G83+G89+G96</f>
        <v>0</v>
      </c>
      <c r="H12" s="189">
        <f>F12-G12</f>
        <v>2278649.61</v>
      </c>
      <c r="I12" s="189">
        <f>I13+I47+I83+I89+I96</f>
        <v>0</v>
      </c>
      <c r="J12" s="189">
        <f>F12-I12</f>
        <v>2278649.61</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2278649.61</v>
      </c>
      <c r="V12" s="189">
        <f t="shared" si="1"/>
        <v>0</v>
      </c>
      <c r="W12" s="189">
        <f t="shared" si="1"/>
        <v>0</v>
      </c>
      <c r="X12" s="189">
        <f t="shared" si="1"/>
        <v>0</v>
      </c>
      <c r="Y12" s="189">
        <f t="shared" ref="Y12:Z12" si="3">Y13+Y47+Y83+Y89+Y96</f>
        <v>0</v>
      </c>
      <c r="Z12" s="189">
        <f t="shared" si="3"/>
        <v>0</v>
      </c>
      <c r="AA12" s="189">
        <f t="shared" si="1"/>
        <v>0</v>
      </c>
      <c r="AB12" s="189">
        <f t="shared" si="1"/>
        <v>202500</v>
      </c>
      <c r="AC12" s="189">
        <f t="shared" si="1"/>
        <v>0</v>
      </c>
      <c r="AD12" s="189">
        <f t="shared" si="1"/>
        <v>2076149.6099999996</v>
      </c>
      <c r="AE12" s="189">
        <f>AB12+AC12+AD12</f>
        <v>2278649.6099999994</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2278649.6099999994</v>
      </c>
    </row>
    <row r="13" spans="1:571">
      <c r="B13" s="190" t="s">
        <v>252</v>
      </c>
      <c r="C13" s="191" t="s">
        <v>135</v>
      </c>
      <c r="D13" s="192">
        <f>SUM(D14:D46)</f>
        <v>375202.66499999998</v>
      </c>
      <c r="E13" s="192">
        <f>SUM(E14:E46)</f>
        <v>1903446.9449999998</v>
      </c>
      <c r="F13" s="192">
        <f t="shared" si="0"/>
        <v>2278649.61</v>
      </c>
      <c r="G13" s="192">
        <f>SUM(G14:G46)</f>
        <v>0</v>
      </c>
      <c r="H13" s="192">
        <f t="shared" ref="H13:H220" si="4">F13-G13</f>
        <v>2278649.61</v>
      </c>
      <c r="I13" s="192">
        <f>SUM(I14:I46)</f>
        <v>0</v>
      </c>
      <c r="J13" s="192">
        <f t="shared" ref="J13:J220" si="5">F13-I13</f>
        <v>2278649.61</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2278649.61</v>
      </c>
      <c r="V13" s="192">
        <f t="shared" si="6"/>
        <v>0</v>
      </c>
      <c r="W13" s="192">
        <f t="shared" si="6"/>
        <v>0</v>
      </c>
      <c r="X13" s="192">
        <f t="shared" si="6"/>
        <v>0</v>
      </c>
      <c r="Y13" s="192">
        <f t="shared" ref="Y13:Z13" si="8">SUM(Y14:Y46)</f>
        <v>0</v>
      </c>
      <c r="Z13" s="192">
        <f t="shared" si="8"/>
        <v>0</v>
      </c>
      <c r="AA13" s="192">
        <f t="shared" si="6"/>
        <v>0</v>
      </c>
      <c r="AB13" s="192">
        <f t="shared" si="6"/>
        <v>202500</v>
      </c>
      <c r="AC13" s="192">
        <f t="shared" si="6"/>
        <v>0</v>
      </c>
      <c r="AD13" s="192">
        <f t="shared" si="6"/>
        <v>2076149.6099999996</v>
      </c>
      <c r="AE13" s="192">
        <f t="shared" ref="AE13:AE220" si="9">AB13+AC13+AD13</f>
        <v>2278649.6099999994</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2278649.6099999994</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333513.48</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1691952.8399999999</v>
      </c>
      <c r="F15" s="183">
        <f t="shared" si="0"/>
        <v>2025466.3199999998</v>
      </c>
      <c r="G15" s="183"/>
      <c r="H15" s="183">
        <f t="shared" si="4"/>
        <v>2025466.3199999998</v>
      </c>
      <c r="I15" s="183"/>
      <c r="J15" s="183">
        <f t="shared" si="5"/>
        <v>2025466.3199999998</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2025466.3199999998</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1845466.3199999998</v>
      </c>
      <c r="AE15" s="183">
        <f t="shared" si="9"/>
        <v>2025466.3199999998</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2025466.3199999998</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27792.789999999997</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140996.07</v>
      </c>
      <c r="F28" s="183">
        <f t="shared" si="14"/>
        <v>168788.86000000002</v>
      </c>
      <c r="G28" s="183"/>
      <c r="H28" s="183">
        <f t="shared" si="15"/>
        <v>168788.86000000002</v>
      </c>
      <c r="I28" s="183"/>
      <c r="J28" s="183">
        <f t="shared" si="16"/>
        <v>168788.86000000002</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168788.86</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153788.85999999999</v>
      </c>
      <c r="AE28" s="183">
        <f t="shared" si="17"/>
        <v>168788.86</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168788.86</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13896.394999999999</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70498.035000000003</v>
      </c>
      <c r="F29" s="183">
        <f t="shared" ref="F29:F30" si="38">D29+E29</f>
        <v>84394.430000000008</v>
      </c>
      <c r="G29" s="183"/>
      <c r="H29" s="183">
        <f t="shared" ref="H29:H30" si="39">F29-G29</f>
        <v>84394.430000000008</v>
      </c>
      <c r="I29" s="183"/>
      <c r="J29" s="183">
        <f t="shared" ref="J29:J30" si="40">F29-I29</f>
        <v>84394.430000000008</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84394.43</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76894.429999999993</v>
      </c>
      <c r="AE29" s="183">
        <f t="shared" ref="AE29:AE30" si="41">AB29+AC29+AD29</f>
        <v>84394.43</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84394.43</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59700</v>
      </c>
      <c r="E106" s="180">
        <f>E107+E118+E133+E149+E164+E190+E207+E214</f>
        <v>25000</v>
      </c>
      <c r="F106" s="180">
        <f t="shared" si="0"/>
        <v>84700</v>
      </c>
      <c r="G106" s="180">
        <f>G107+G118+G133+G149+G164+G190+G207+G214</f>
        <v>0</v>
      </c>
      <c r="H106" s="180">
        <f t="shared" si="4"/>
        <v>84700</v>
      </c>
      <c r="I106" s="180">
        <f>I107+I118+I133+I149+I164+I190+I207+I214</f>
        <v>0</v>
      </c>
      <c r="J106" s="180">
        <f t="shared" si="5"/>
        <v>84700</v>
      </c>
      <c r="K106" s="180">
        <f t="shared" ref="K106:AD106" si="297">K107+K118+K133+K149+K164+K190+K207+K214</f>
        <v>0</v>
      </c>
      <c r="L106" s="180">
        <f t="shared" si="297"/>
        <v>25600</v>
      </c>
      <c r="M106" s="180">
        <f t="shared" si="297"/>
        <v>15200</v>
      </c>
      <c r="N106" s="180">
        <f t="shared" si="297"/>
        <v>0</v>
      </c>
      <c r="O106" s="180">
        <f t="shared" si="297"/>
        <v>6900</v>
      </c>
      <c r="P106" s="180">
        <f t="shared" si="297"/>
        <v>0</v>
      </c>
      <c r="Q106" s="180">
        <f t="shared" si="297"/>
        <v>12000</v>
      </c>
      <c r="R106" s="180">
        <f t="shared" si="297"/>
        <v>0</v>
      </c>
      <c r="S106" s="180">
        <f t="shared" si="297"/>
        <v>0</v>
      </c>
      <c r="T106" s="180">
        <f t="shared" ref="T106" si="298">T107+T118+T133+T149+T164+T190+T207+T214</f>
        <v>0</v>
      </c>
      <c r="U106" s="180">
        <f t="shared" si="297"/>
        <v>25000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71900</v>
      </c>
      <c r="AD106" s="180">
        <f t="shared" si="297"/>
        <v>0</v>
      </c>
      <c r="AE106" s="180">
        <f t="shared" si="9"/>
        <v>71900</v>
      </c>
      <c r="AF106" s="180">
        <f>AF107+AF118+AF133+AF149+AF164+AF190+AF207+AF214</f>
        <v>0</v>
      </c>
      <c r="AG106" s="180">
        <f>AG107+AG118+AG133+AG149+AG164+AG190+AG207+AG214</f>
        <v>900</v>
      </c>
      <c r="AH106" s="180">
        <f>AH107+AH118+AH133+AH149+AH164+AH190+AH207+AH214</f>
        <v>7700</v>
      </c>
      <c r="AI106" s="180">
        <f t="shared" si="10"/>
        <v>8600</v>
      </c>
      <c r="AJ106" s="180">
        <f>AJ107+AJ118+AJ133+AJ149+AJ164+AJ190+AJ207+AJ214</f>
        <v>4200</v>
      </c>
      <c r="AK106" s="180">
        <f>AK107+AK118+AK133+AK149+AK164+AK190+AK207+AK214</f>
        <v>0</v>
      </c>
      <c r="AL106" s="180">
        <f>AL107+AL118+AL133+AL149+AL164+AL190+AL207+AL214</f>
        <v>0</v>
      </c>
      <c r="AM106" s="180">
        <f t="shared" si="11"/>
        <v>4200</v>
      </c>
      <c r="AN106" s="180">
        <f>AN107+AN118+AN133+AN149+AN164+AN190+AN207+AN214</f>
        <v>0</v>
      </c>
      <c r="AO106" s="180">
        <f>AO107+AO118+AO133+AO149+AO164+AO190+AO207+AO214</f>
        <v>0</v>
      </c>
      <c r="AP106" s="180">
        <f>AP107+AP118+AP133+AP149+AP164+AP190+AP207+AP214</f>
        <v>0</v>
      </c>
      <c r="AQ106" s="180">
        <f t="shared" si="12"/>
        <v>0</v>
      </c>
      <c r="AR106" s="180">
        <f t="shared" si="13"/>
        <v>84700</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29900</v>
      </c>
      <c r="E118" s="192">
        <f>SUM(E119:E132)</f>
        <v>25000</v>
      </c>
      <c r="F118" s="192">
        <f t="shared" si="300"/>
        <v>54900</v>
      </c>
      <c r="G118" s="192">
        <f t="shared" ref="G118:I118" si="337">SUM(G119:G132)</f>
        <v>0</v>
      </c>
      <c r="H118" s="192">
        <f t="shared" si="4"/>
        <v>54900</v>
      </c>
      <c r="I118" s="192">
        <f t="shared" si="337"/>
        <v>0</v>
      </c>
      <c r="J118" s="192">
        <f t="shared" si="5"/>
        <v>54900</v>
      </c>
      <c r="K118" s="192">
        <f t="shared" ref="K118:AP118" si="338">SUM(K119:K132)</f>
        <v>0</v>
      </c>
      <c r="L118" s="192">
        <f t="shared" si="338"/>
        <v>20500</v>
      </c>
      <c r="M118" s="192">
        <f t="shared" si="338"/>
        <v>8200</v>
      </c>
      <c r="N118" s="192">
        <f t="shared" si="338"/>
        <v>0</v>
      </c>
      <c r="O118" s="192">
        <f t="shared" si="338"/>
        <v>1200</v>
      </c>
      <c r="P118" s="192">
        <f t="shared" ref="P118:Q118" si="339">SUM(P119:P132)</f>
        <v>0</v>
      </c>
      <c r="Q118" s="192">
        <f t="shared" si="339"/>
        <v>0</v>
      </c>
      <c r="R118" s="192">
        <f t="shared" si="338"/>
        <v>0</v>
      </c>
      <c r="S118" s="192">
        <f t="shared" si="338"/>
        <v>0</v>
      </c>
      <c r="T118" s="192">
        <f t="shared" ref="T118" si="340">SUM(T119:T132)</f>
        <v>0</v>
      </c>
      <c r="U118" s="192">
        <f t="shared" si="338"/>
        <v>25000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51300</v>
      </c>
      <c r="AD118" s="192">
        <f t="shared" si="338"/>
        <v>0</v>
      </c>
      <c r="AE118" s="192">
        <f t="shared" si="9"/>
        <v>51300</v>
      </c>
      <c r="AF118" s="192">
        <f t="shared" si="338"/>
        <v>0</v>
      </c>
      <c r="AG118" s="192">
        <f t="shared" si="338"/>
        <v>0</v>
      </c>
      <c r="AH118" s="192">
        <f t="shared" si="338"/>
        <v>3600</v>
      </c>
      <c r="AI118" s="192">
        <f t="shared" si="10"/>
        <v>3600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54900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29900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132" s="183">
        <f t="shared" si="300"/>
        <v>54900</v>
      </c>
      <c r="G132" s="183"/>
      <c r="H132" s="183">
        <f t="shared" si="343"/>
        <v>54900</v>
      </c>
      <c r="I132" s="183"/>
      <c r="J132" s="183">
        <f t="shared" si="344"/>
        <v>54900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20500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8200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51300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51300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I132" s="183">
        <f t="shared" si="346"/>
        <v>3600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54900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29800</v>
      </c>
      <c r="E164" s="192">
        <f>SUM(E165:E189)</f>
        <v>0</v>
      </c>
      <c r="F164" s="192">
        <f t="shared" si="300"/>
        <v>29800</v>
      </c>
      <c r="G164" s="192">
        <f>SUM(G165:G189)</f>
        <v>0</v>
      </c>
      <c r="H164" s="192">
        <f t="shared" si="4"/>
        <v>29800</v>
      </c>
      <c r="I164" s="192">
        <f>SUM(I165:I189)</f>
        <v>0</v>
      </c>
      <c r="J164" s="192">
        <f t="shared" si="5"/>
        <v>29800</v>
      </c>
      <c r="K164" s="192">
        <f t="shared" ref="K164:AD164" si="447">SUM(K165:K189)</f>
        <v>0</v>
      </c>
      <c r="L164" s="192">
        <f t="shared" si="447"/>
        <v>5100</v>
      </c>
      <c r="M164" s="192">
        <f t="shared" si="447"/>
        <v>7000</v>
      </c>
      <c r="N164" s="192">
        <f t="shared" si="447"/>
        <v>0</v>
      </c>
      <c r="O164" s="192">
        <f t="shared" si="447"/>
        <v>5700</v>
      </c>
      <c r="P164" s="192">
        <f t="shared" ref="P164:Q164" si="448">SUM(P165:P189)</f>
        <v>0</v>
      </c>
      <c r="Q164" s="192">
        <f t="shared" si="448"/>
        <v>12000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20600</v>
      </c>
      <c r="AD164" s="192">
        <f t="shared" si="447"/>
        <v>0</v>
      </c>
      <c r="AE164" s="192">
        <f t="shared" si="9"/>
        <v>20600</v>
      </c>
      <c r="AF164" s="192">
        <f>SUM(AF165:AF189)</f>
        <v>0</v>
      </c>
      <c r="AG164" s="192">
        <f>SUM(AG165:AG189)</f>
        <v>900</v>
      </c>
      <c r="AH164" s="192">
        <f>SUM(AH165:AH189)</f>
        <v>4100</v>
      </c>
      <c r="AI164" s="192">
        <f t="shared" si="10"/>
        <v>5000</v>
      </c>
      <c r="AJ164" s="192">
        <f>SUM(AJ165:AJ189)</f>
        <v>4200</v>
      </c>
      <c r="AK164" s="192">
        <f>SUM(AK165:AK189)</f>
        <v>0</v>
      </c>
      <c r="AL164" s="192">
        <f>SUM(AL165:AL189)</f>
        <v>0</v>
      </c>
      <c r="AM164" s="192">
        <f t="shared" si="11"/>
        <v>4200</v>
      </c>
      <c r="AN164" s="192">
        <f>SUM(AN165:AN189)</f>
        <v>0</v>
      </c>
      <c r="AO164" s="192">
        <f>SUM(AO165:AO189)</f>
        <v>0</v>
      </c>
      <c r="AP164" s="192">
        <f>SUM(AP165:AP189)</f>
        <v>0</v>
      </c>
      <c r="AQ164" s="192">
        <f t="shared" si="12"/>
        <v>0</v>
      </c>
      <c r="AR164" s="192">
        <f t="shared" si="13"/>
        <v>29800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14800</v>
      </c>
      <c r="G171" s="183"/>
      <c r="H171" s="183">
        <f t="shared" si="468"/>
        <v>14800</v>
      </c>
      <c r="I171" s="183"/>
      <c r="J171" s="183">
        <f t="shared" si="469"/>
        <v>14800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5600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4100</v>
      </c>
      <c r="AI171" s="183">
        <f t="shared" si="471"/>
        <v>5000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4200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14800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15000</v>
      </c>
      <c r="G187" s="183"/>
      <c r="H187" s="183">
        <f t="shared" si="484"/>
        <v>15000</v>
      </c>
      <c r="I187" s="183"/>
      <c r="J187" s="183">
        <f t="shared" si="485"/>
        <v>15000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15000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15000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297753</v>
      </c>
      <c r="E222" s="180">
        <f>E223+E235+E243+E260+E267+E312</f>
        <v>246156</v>
      </c>
      <c r="F222" s="180">
        <f t="shared" ref="F222:F382" si="622">D222+E222</f>
        <v>543909</v>
      </c>
      <c r="G222" s="180">
        <f>G223+G235+G243+G260+G267+G312</f>
        <v>0</v>
      </c>
      <c r="H222" s="180">
        <f t="shared" ref="H222:H498" si="623">F222-G222</f>
        <v>543909</v>
      </c>
      <c r="I222" s="180">
        <f>I223+I235+I243+I260+I267+I312</f>
        <v>0</v>
      </c>
      <c r="J222" s="180">
        <f t="shared" ref="J222:J498" si="624">F222-I222</f>
        <v>543909</v>
      </c>
      <c r="K222" s="180">
        <f t="shared" ref="K222:AD222" si="625">K223+K235+K243+K260+K267+K312</f>
        <v>5400</v>
      </c>
      <c r="L222" s="180">
        <f t="shared" si="625"/>
        <v>3600</v>
      </c>
      <c r="M222" s="180">
        <f t="shared" si="625"/>
        <v>34400</v>
      </c>
      <c r="N222" s="180">
        <f t="shared" si="625"/>
        <v>5600</v>
      </c>
      <c r="O222" s="180">
        <f t="shared" si="625"/>
        <v>28100</v>
      </c>
      <c r="P222" s="180">
        <f t="shared" si="625"/>
        <v>6000</v>
      </c>
      <c r="Q222" s="180">
        <f t="shared" si="625"/>
        <v>0</v>
      </c>
      <c r="R222" s="180">
        <f t="shared" si="625"/>
        <v>0</v>
      </c>
      <c r="S222" s="180">
        <f t="shared" si="625"/>
        <v>0</v>
      </c>
      <c r="T222" s="180">
        <f t="shared" ref="T222" si="626">T223+T235+T243+T260+T267+T312</f>
        <v>0</v>
      </c>
      <c r="U222" s="180">
        <f t="shared" si="625"/>
        <v>432199</v>
      </c>
      <c r="V222" s="180">
        <f t="shared" si="625"/>
        <v>0</v>
      </c>
      <c r="W222" s="180">
        <f t="shared" si="625"/>
        <v>0</v>
      </c>
      <c r="X222" s="180">
        <f t="shared" si="625"/>
        <v>22700</v>
      </c>
      <c r="Y222" s="180">
        <f t="shared" ref="Y222:Z222" si="627">Y223+Y235+Y243+Y260+Y267+Y312</f>
        <v>0</v>
      </c>
      <c r="Z222" s="180">
        <f t="shared" si="627"/>
        <v>1600</v>
      </c>
      <c r="AA222" s="180">
        <f t="shared" si="625"/>
        <v>4310</v>
      </c>
      <c r="AB222" s="180">
        <f t="shared" si="625"/>
        <v>0</v>
      </c>
      <c r="AC222" s="180">
        <f t="shared" si="625"/>
        <v>317789</v>
      </c>
      <c r="AD222" s="180">
        <f t="shared" si="625"/>
        <v>23710</v>
      </c>
      <c r="AE222" s="180">
        <f t="shared" ref="AE222:AE498" si="628">AB222+AC222+AD222</f>
        <v>341499</v>
      </c>
      <c r="AF222" s="180">
        <f>AF223+AF235+AF243+AF260+AF267+AF312</f>
        <v>40100</v>
      </c>
      <c r="AG222" s="180">
        <f>AG223+AG235+AG243+AG260+AG267+AG312</f>
        <v>0</v>
      </c>
      <c r="AH222" s="180">
        <f>AH223+AH235+AH243+AH260+AH267+AH312</f>
        <v>153850</v>
      </c>
      <c r="AI222" s="180">
        <f t="shared" ref="AI222:AI498" si="629">AF222+AG222+AH222</f>
        <v>193950</v>
      </c>
      <c r="AJ222" s="180">
        <f>AJ223+AJ235+AJ243+AJ260+AJ267+AJ312</f>
        <v>0</v>
      </c>
      <c r="AK222" s="180">
        <f>AK223+AK235+AK243+AK260+AK267+AK312</f>
        <v>3000</v>
      </c>
      <c r="AL222" s="180">
        <f>AL223+AL235+AL243+AL260+AL267+AL312</f>
        <v>5460</v>
      </c>
      <c r="AM222" s="180">
        <f t="shared" ref="AM222:AM498" si="630">AJ222+AK222+AL222</f>
        <v>8460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543909</v>
      </c>
    </row>
    <row r="223" spans="2:44">
      <c r="B223" s="190" t="s">
        <v>310</v>
      </c>
      <c r="C223" s="191" t="s">
        <v>189</v>
      </c>
      <c r="D223" s="192">
        <f>SUM(D224:D234)</f>
        <v>47010</v>
      </c>
      <c r="E223" s="192">
        <f>SUM(E224:E234)</f>
        <v>0</v>
      </c>
      <c r="F223" s="192">
        <f t="shared" si="622"/>
        <v>47010</v>
      </c>
      <c r="G223" s="192">
        <f>SUM(G224:G234)</f>
        <v>0</v>
      </c>
      <c r="H223" s="192">
        <f t="shared" si="623"/>
        <v>47010</v>
      </c>
      <c r="I223" s="192">
        <f>SUM(I224:I234)</f>
        <v>0</v>
      </c>
      <c r="J223" s="192">
        <f t="shared" si="624"/>
        <v>47010</v>
      </c>
      <c r="K223" s="192">
        <f t="shared" ref="K223:AD223" si="633">SUM(K224:K234)</f>
        <v>0</v>
      </c>
      <c r="L223" s="192">
        <f t="shared" si="633"/>
        <v>0</v>
      </c>
      <c r="M223" s="192">
        <f t="shared" si="633"/>
        <v>10200</v>
      </c>
      <c r="N223" s="192">
        <f t="shared" si="633"/>
        <v>0</v>
      </c>
      <c r="O223" s="192">
        <f t="shared" si="633"/>
        <v>24900</v>
      </c>
      <c r="P223" s="192">
        <f t="shared" si="633"/>
        <v>6000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1600</v>
      </c>
      <c r="AA223" s="192">
        <f t="shared" si="633"/>
        <v>4310</v>
      </c>
      <c r="AB223" s="192">
        <f t="shared" si="633"/>
        <v>0</v>
      </c>
      <c r="AC223" s="192">
        <f t="shared" si="633"/>
        <v>5500</v>
      </c>
      <c r="AD223" s="192">
        <f t="shared" si="633"/>
        <v>2310</v>
      </c>
      <c r="AE223" s="192">
        <f t="shared" si="628"/>
        <v>7810</v>
      </c>
      <c r="AF223" s="192">
        <f>SUM(AF224:AF234)</f>
        <v>23000</v>
      </c>
      <c r="AG223" s="192">
        <f>SUM(AG224:AG234)</f>
        <v>0</v>
      </c>
      <c r="AH223" s="192">
        <f>SUM(AH224:AH234)</f>
        <v>13200</v>
      </c>
      <c r="AI223" s="192">
        <f t="shared" si="629"/>
        <v>36200</v>
      </c>
      <c r="AJ223" s="192">
        <f>SUM(AJ224:AJ234)</f>
        <v>0</v>
      </c>
      <c r="AK223" s="192">
        <f>SUM(AK224:AK234)</f>
        <v>3000</v>
      </c>
      <c r="AL223" s="192">
        <f>SUM(AL224:AL234)</f>
        <v>0</v>
      </c>
      <c r="AM223" s="192">
        <f t="shared" si="630"/>
        <v>3000</v>
      </c>
      <c r="AN223" s="192">
        <f>SUM(AN224:AN234)</f>
        <v>0</v>
      </c>
      <c r="AO223" s="192">
        <f>SUM(AO224:AO234)</f>
        <v>0</v>
      </c>
      <c r="AP223" s="192">
        <f>SUM(AP224:AP234)</f>
        <v>0</v>
      </c>
      <c r="AQ223" s="192">
        <f t="shared" si="631"/>
        <v>0</v>
      </c>
      <c r="AR223" s="192">
        <f t="shared" si="632"/>
        <v>47010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47010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47010</v>
      </c>
      <c r="G225" s="183"/>
      <c r="H225" s="183">
        <f t="shared" si="623"/>
        <v>47010</v>
      </c>
      <c r="I225" s="183"/>
      <c r="J225" s="183">
        <f t="shared" si="624"/>
        <v>47010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4310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2310</v>
      </c>
      <c r="AE225" s="183">
        <f t="shared" si="628"/>
        <v>7810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13200</v>
      </c>
      <c r="AI225" s="183">
        <f t="shared" si="629"/>
        <v>36200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3000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47010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120450</v>
      </c>
      <c r="E243" s="192">
        <f>SUM(E244:E259)</f>
        <v>0</v>
      </c>
      <c r="F243" s="192">
        <f t="shared" si="622"/>
        <v>120450</v>
      </c>
      <c r="G243" s="192">
        <f>SUM(G244:G259)</f>
        <v>0</v>
      </c>
      <c r="H243" s="192">
        <f t="shared" si="623"/>
        <v>120450</v>
      </c>
      <c r="I243" s="192">
        <f>SUM(I244:I259)</f>
        <v>0</v>
      </c>
      <c r="J243" s="192">
        <f t="shared" si="624"/>
        <v>120450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120450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120450</v>
      </c>
      <c r="AI243" s="192">
        <f t="shared" si="629"/>
        <v>120450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120450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120450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120450</v>
      </c>
      <c r="G251" s="183"/>
      <c r="H251" s="183">
        <f t="shared" si="695"/>
        <v>120450</v>
      </c>
      <c r="I251" s="183"/>
      <c r="J251" s="183">
        <f t="shared" si="696"/>
        <v>120450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120450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120450</v>
      </c>
      <c r="AI251" s="183">
        <f t="shared" si="698"/>
        <v>120450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120450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560</v>
      </c>
      <c r="E260" s="192">
        <f>SUM(E261:E266)</f>
        <v>0</v>
      </c>
      <c r="F260" s="192">
        <f t="shared" si="622"/>
        <v>560</v>
      </c>
      <c r="G260" s="192">
        <f>SUM(G261:G266)</f>
        <v>0</v>
      </c>
      <c r="H260" s="192">
        <f t="shared" si="623"/>
        <v>560</v>
      </c>
      <c r="I260" s="192">
        <f>SUM(I261:I266)</f>
        <v>0</v>
      </c>
      <c r="J260" s="192">
        <f t="shared" si="624"/>
        <v>560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560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560</v>
      </c>
      <c r="AM260" s="192">
        <f t="shared" si="630"/>
        <v>560</v>
      </c>
      <c r="AN260" s="192">
        <f>SUM(AN261:AN266)</f>
        <v>0</v>
      </c>
      <c r="AO260" s="192">
        <f>SUM(AO261:AO266)</f>
        <v>0</v>
      </c>
      <c r="AP260" s="192">
        <f>SUM(AP261:AP266)</f>
        <v>0</v>
      </c>
      <c r="AQ260" s="192">
        <f t="shared" si="631"/>
        <v>0</v>
      </c>
      <c r="AR260" s="192">
        <f t="shared" si="632"/>
        <v>560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560</v>
      </c>
      <c r="G264" s="183"/>
      <c r="H264" s="183">
        <f t="shared" ref="H264:H266" si="716">F264-G264</f>
        <v>560</v>
      </c>
      <c r="I264" s="183"/>
      <c r="J264" s="183">
        <f t="shared" ref="J264:J266" si="717">F264-I264</f>
        <v>560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v>
      </c>
      <c r="AM264" s="183">
        <f t="shared" ref="AM264:AM266" si="720">AJ264+AK264+AL264</f>
        <v>560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560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129733</v>
      </c>
      <c r="E267" s="192">
        <f>SUM(E268:E311)</f>
        <v>41400</v>
      </c>
      <c r="F267" s="192">
        <f t="shared" si="622"/>
        <v>171133</v>
      </c>
      <c r="G267" s="192">
        <f>SUM(G268:G311)</f>
        <v>0</v>
      </c>
      <c r="H267" s="192">
        <f t="shared" si="623"/>
        <v>171133</v>
      </c>
      <c r="I267" s="192">
        <f>SUM(I268:I311)</f>
        <v>0</v>
      </c>
      <c r="J267" s="192">
        <f t="shared" si="624"/>
        <v>171133</v>
      </c>
      <c r="K267" s="192">
        <f t="shared" ref="K267:AD267" si="723">SUM(K268:K311)</f>
        <v>5400</v>
      </c>
      <c r="L267" s="192">
        <f t="shared" si="723"/>
        <v>3600</v>
      </c>
      <c r="M267" s="192">
        <f t="shared" si="723"/>
        <v>24200</v>
      </c>
      <c r="N267" s="192">
        <f t="shared" si="723"/>
        <v>5600</v>
      </c>
      <c r="O267" s="192">
        <f t="shared" si="723"/>
        <v>3200</v>
      </c>
      <c r="P267" s="192">
        <f t="shared" ref="P267:Q267" si="724">SUM(P268:P311)</f>
        <v>0</v>
      </c>
      <c r="Q267" s="192">
        <f t="shared" si="724"/>
        <v>0</v>
      </c>
      <c r="R267" s="192">
        <f t="shared" si="723"/>
        <v>0</v>
      </c>
      <c r="S267" s="192">
        <f t="shared" si="723"/>
        <v>0</v>
      </c>
      <c r="T267" s="192">
        <f t="shared" ref="T267" si="725">SUM(T268:T311)</f>
        <v>0</v>
      </c>
      <c r="U267" s="192">
        <f t="shared" si="723"/>
        <v>106433</v>
      </c>
      <c r="V267" s="192">
        <f t="shared" si="723"/>
        <v>0</v>
      </c>
      <c r="W267" s="192">
        <f t="shared" ref="W267" si="726">SUM(W268:W311)</f>
        <v>0</v>
      </c>
      <c r="X267" s="192">
        <f t="shared" si="723"/>
        <v>22700</v>
      </c>
      <c r="Y267" s="192">
        <f t="shared" ref="Y267:Z267" si="727">SUM(Y268:Y311)</f>
        <v>0</v>
      </c>
      <c r="Z267" s="192">
        <f t="shared" si="727"/>
        <v>0</v>
      </c>
      <c r="AA267" s="192">
        <f t="shared" si="723"/>
        <v>0</v>
      </c>
      <c r="AB267" s="192">
        <f t="shared" si="723"/>
        <v>0</v>
      </c>
      <c r="AC267" s="192">
        <f t="shared" si="723"/>
        <v>127433</v>
      </c>
      <c r="AD267" s="192">
        <f t="shared" si="723"/>
        <v>6400</v>
      </c>
      <c r="AE267" s="192">
        <f t="shared" si="628"/>
        <v>133833</v>
      </c>
      <c r="AF267" s="192">
        <f>SUM(AF268:AF311)</f>
        <v>17100</v>
      </c>
      <c r="AG267" s="192">
        <f>SUM(AG268:AG311)</f>
        <v>0</v>
      </c>
      <c r="AH267" s="192">
        <f>SUM(AH268:AH311)</f>
        <v>20200</v>
      </c>
      <c r="AI267" s="192">
        <f t="shared" si="629"/>
        <v>37300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171133</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15000</v>
      </c>
      <c r="G270" s="183"/>
      <c r="H270" s="183">
        <f t="shared" si="729"/>
        <v>15000</v>
      </c>
      <c r="I270" s="183"/>
      <c r="J270" s="183">
        <f t="shared" si="730"/>
        <v>15000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270" s="183">
        <f t="shared" si="732"/>
        <v>15000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15000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900</v>
      </c>
      <c r="G273" s="183"/>
      <c r="H273" s="183">
        <f t="shared" si="729"/>
        <v>900</v>
      </c>
      <c r="I273" s="183"/>
      <c r="J273" s="183">
        <f t="shared" si="730"/>
        <v>900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900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900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29600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17600</v>
      </c>
      <c r="F277" s="183">
        <f t="shared" si="728"/>
        <v>47200</v>
      </c>
      <c r="G277" s="183"/>
      <c r="H277" s="183">
        <f t="shared" si="729"/>
        <v>47200</v>
      </c>
      <c r="I277" s="183"/>
      <c r="J277" s="183">
        <f t="shared" si="730"/>
        <v>47200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22700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39600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v>
      </c>
      <c r="AE277" s="183">
        <f t="shared" si="731"/>
        <v>46000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I277" s="183">
        <f t="shared" si="732"/>
        <v>1200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47200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4000</v>
      </c>
      <c r="G284" s="183"/>
      <c r="H284" s="183">
        <f t="shared" si="729"/>
        <v>4000</v>
      </c>
      <c r="I284" s="183"/>
      <c r="J284" s="183">
        <f t="shared" si="730"/>
        <v>4000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I284" s="183">
        <f t="shared" si="732"/>
        <v>4000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4000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37822</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23800</v>
      </c>
      <c r="F289" s="183">
        <f t="shared" si="728"/>
        <v>61622</v>
      </c>
      <c r="G289" s="183"/>
      <c r="H289" s="183">
        <f t="shared" si="729"/>
        <v>61622</v>
      </c>
      <c r="I289" s="183"/>
      <c r="J289" s="183">
        <f t="shared" si="730"/>
        <v>61622</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61622</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61622</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61622</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61622</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23100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23100</v>
      </c>
      <c r="G291" s="183"/>
      <c r="H291" s="183">
        <f t="shared" si="729"/>
        <v>23100</v>
      </c>
      <c r="I291" s="183"/>
      <c r="J291" s="183">
        <f t="shared" si="730"/>
        <v>23100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23100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23100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23100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23100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2211</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2211</v>
      </c>
      <c r="G294" s="183"/>
      <c r="H294" s="183">
        <f t="shared" si="729"/>
        <v>2211</v>
      </c>
      <c r="I294" s="183"/>
      <c r="J294" s="183">
        <f t="shared" si="730"/>
        <v>2211</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2211</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2211</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2211</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2211</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17100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17100</v>
      </c>
      <c r="G302" s="183"/>
      <c r="H302" s="183">
        <f t="shared" si="623"/>
        <v>17100</v>
      </c>
      <c r="I302" s="183"/>
      <c r="J302" s="183">
        <f t="shared" si="624"/>
        <v>17100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17100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17100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17100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17100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0</v>
      </c>
      <c r="E312" s="192">
        <f>SUM(E313:E326)</f>
        <v>204756</v>
      </c>
      <c r="F312" s="192">
        <f t="shared" si="622"/>
        <v>204756</v>
      </c>
      <c r="G312" s="192">
        <f>SUM(G313:G326)</f>
        <v>0</v>
      </c>
      <c r="H312" s="192">
        <f t="shared" si="623"/>
        <v>204756</v>
      </c>
      <c r="I312" s="192">
        <f>SUM(I313:I326)</f>
        <v>0</v>
      </c>
      <c r="J312" s="192">
        <f t="shared" si="624"/>
        <v>204756</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204756</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184856</v>
      </c>
      <c r="AD312" s="192">
        <f t="shared" si="744"/>
        <v>15000</v>
      </c>
      <c r="AE312" s="192">
        <f t="shared" si="628"/>
        <v>199856</v>
      </c>
      <c r="AF312" s="192">
        <f>SUM(AF313:AF326)</f>
        <v>0</v>
      </c>
      <c r="AG312" s="192">
        <f>SUM(AG313:AG326)</f>
        <v>0</v>
      </c>
      <c r="AH312" s="192">
        <f>SUM(AH313:AH326)</f>
        <v>0</v>
      </c>
      <c r="AI312" s="192">
        <f t="shared" si="629"/>
        <v>0</v>
      </c>
      <c r="AJ312" s="192">
        <f>SUM(AJ313:AJ326)</f>
        <v>0</v>
      </c>
      <c r="AK312" s="192">
        <f>SUM(AK313:AK326)</f>
        <v>0</v>
      </c>
      <c r="AL312" s="192">
        <f>SUM(AL313:AL326)</f>
        <v>4900</v>
      </c>
      <c r="AM312" s="192">
        <f t="shared" si="630"/>
        <v>4900</v>
      </c>
      <c r="AN312" s="192">
        <f>SUM(AN313:AN326)</f>
        <v>0</v>
      </c>
      <c r="AO312" s="192">
        <f>SUM(AO313:AO326)</f>
        <v>0</v>
      </c>
      <c r="AP312" s="192">
        <f>SUM(AP313:AP326)</f>
        <v>0</v>
      </c>
      <c r="AQ312" s="192">
        <f t="shared" si="631"/>
        <v>0</v>
      </c>
      <c r="AR312" s="192">
        <f t="shared" si="632"/>
        <v>204756</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17" s="183">
        <f t="shared" si="622"/>
        <v>15000</v>
      </c>
      <c r="G317" s="183"/>
      <c r="H317" s="183">
        <f t="shared" si="623"/>
        <v>15000</v>
      </c>
      <c r="I317" s="183"/>
      <c r="J317" s="183">
        <f t="shared" si="624"/>
        <v>15000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17" s="183">
        <f t="shared" si="628"/>
        <v>15000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15000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189756</v>
      </c>
      <c r="F320" s="183">
        <f t="shared" ref="F320:F323" si="757">D320+E320</f>
        <v>189756</v>
      </c>
      <c r="G320" s="183"/>
      <c r="H320" s="183">
        <f t="shared" ref="H320:H323" si="758">F320-G320</f>
        <v>189756</v>
      </c>
      <c r="I320" s="183"/>
      <c r="J320" s="183">
        <f t="shared" ref="J320:J323" si="759">F320-I320</f>
        <v>189756</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189756</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184856</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184856</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v>
      </c>
      <c r="AM320" s="183">
        <f t="shared" ref="AM320:AM323" si="762">AJ320+AK320+AL320</f>
        <v>4900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189756</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13000</v>
      </c>
      <c r="E327" s="180">
        <f>E328+E345+E383+E389</f>
        <v>29310610.520301748</v>
      </c>
      <c r="F327" s="180">
        <f t="shared" si="622"/>
        <v>29323610.520301748</v>
      </c>
      <c r="G327" s="180">
        <f>G328+G345+G383+G389</f>
        <v>0</v>
      </c>
      <c r="H327" s="180">
        <f t="shared" si="623"/>
        <v>29323610.520301748</v>
      </c>
      <c r="I327" s="180">
        <f>I328+I345+I383+I389</f>
        <v>0</v>
      </c>
      <c r="J327" s="180">
        <f t="shared" si="624"/>
        <v>29323610.520301748</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37800</v>
      </c>
      <c r="U327" s="180">
        <f t="shared" si="781"/>
        <v>29285810.520301748</v>
      </c>
      <c r="V327" s="180">
        <f t="shared" si="781"/>
        <v>0</v>
      </c>
      <c r="W327" s="180">
        <f t="shared" si="781"/>
        <v>0</v>
      </c>
      <c r="X327" s="180">
        <f t="shared" si="781"/>
        <v>0</v>
      </c>
      <c r="Y327" s="180">
        <f t="shared" ref="Y327:Z327" si="783">Y328+Y345+Y383+Y389</f>
        <v>0</v>
      </c>
      <c r="Z327" s="180">
        <f t="shared" si="783"/>
        <v>0</v>
      </c>
      <c r="AA327" s="180">
        <f t="shared" si="781"/>
        <v>0</v>
      </c>
      <c r="AB327" s="180">
        <f t="shared" si="781"/>
        <v>19883452.93</v>
      </c>
      <c r="AC327" s="180">
        <f t="shared" si="781"/>
        <v>8276364.0803017477</v>
      </c>
      <c r="AD327" s="180">
        <f t="shared" si="781"/>
        <v>524700</v>
      </c>
      <c r="AE327" s="180">
        <f t="shared" si="628"/>
        <v>28684517.010301746</v>
      </c>
      <c r="AF327" s="180">
        <f>AF328+AF345+AF383+AF389</f>
        <v>0</v>
      </c>
      <c r="AG327" s="180">
        <f>AG328+AG345+AG383+AG389</f>
        <v>0</v>
      </c>
      <c r="AH327" s="180">
        <f>AH328+AH345+AH383+AH389</f>
        <v>78000</v>
      </c>
      <c r="AI327" s="180">
        <f t="shared" si="629"/>
        <v>78000</v>
      </c>
      <c r="AJ327" s="180">
        <f>AJ328+AJ345+AJ383+AJ389</f>
        <v>52000</v>
      </c>
      <c r="AK327" s="180">
        <f>AK328+AK345+AK383+AK389</f>
        <v>0</v>
      </c>
      <c r="AL327" s="180">
        <f>AL328+AL345+AL383+AL389</f>
        <v>442607.41</v>
      </c>
      <c r="AM327" s="180">
        <f t="shared" si="630"/>
        <v>494607.41</v>
      </c>
      <c r="AN327" s="180">
        <f>AN328+AN345+AN383+AN389</f>
        <v>0</v>
      </c>
      <c r="AO327" s="180">
        <f>AO328+AO345+AO383+AO389</f>
        <v>8686.1</v>
      </c>
      <c r="AP327" s="180">
        <f>AP328+AP345+AP383+AP389</f>
        <v>30800</v>
      </c>
      <c r="AQ327" s="180">
        <f t="shared" si="631"/>
        <v>39486.1</v>
      </c>
      <c r="AR327" s="180">
        <f t="shared" si="632"/>
        <v>29296610.520301748</v>
      </c>
    </row>
    <row r="328" spans="2:44">
      <c r="B328" s="190" t="s">
        <v>331</v>
      </c>
      <c r="C328" s="191" t="s">
        <v>203</v>
      </c>
      <c r="D328" s="192">
        <f>SUM(D329:D344)</f>
        <v>0</v>
      </c>
      <c r="E328" s="192">
        <f>SUM(E329:E344)</f>
        <v>23035725.07</v>
      </c>
      <c r="F328" s="192">
        <f t="shared" si="622"/>
        <v>23035725.07</v>
      </c>
      <c r="G328" s="192">
        <f>SUM(G329:G344)</f>
        <v>0</v>
      </c>
      <c r="H328" s="192">
        <f t="shared" si="623"/>
        <v>23035725.07</v>
      </c>
      <c r="I328" s="192">
        <f>SUM(I329:I344)</f>
        <v>0</v>
      </c>
      <c r="J328" s="192">
        <f t="shared" si="624"/>
        <v>23035725.07</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23035725.07</v>
      </c>
      <c r="V328" s="192">
        <f t="shared" si="784"/>
        <v>0</v>
      </c>
      <c r="W328" s="192">
        <f t="shared" si="784"/>
        <v>0</v>
      </c>
      <c r="X328" s="192">
        <f t="shared" si="784"/>
        <v>0</v>
      </c>
      <c r="Y328" s="192">
        <f t="shared" ref="Y328:Z328" si="786">SUM(Y329:Y344)</f>
        <v>0</v>
      </c>
      <c r="Z328" s="192">
        <f t="shared" si="786"/>
        <v>0</v>
      </c>
      <c r="AA328" s="192">
        <f t="shared" si="784"/>
        <v>0</v>
      </c>
      <c r="AB328" s="192">
        <f t="shared" si="784"/>
        <v>19591588</v>
      </c>
      <c r="AC328" s="192">
        <f t="shared" si="784"/>
        <v>3070496.1</v>
      </c>
      <c r="AD328" s="192">
        <f t="shared" si="784"/>
        <v>0</v>
      </c>
      <c r="AE328" s="192">
        <f t="shared" si="628"/>
        <v>22662084.100000001</v>
      </c>
      <c r="AF328" s="192">
        <f>SUM(AF329:AF344)</f>
        <v>0</v>
      </c>
      <c r="AG328" s="192">
        <f>SUM(AG329:AG344)</f>
        <v>0</v>
      </c>
      <c r="AH328" s="192">
        <f>SUM(AH329:AH344)</f>
        <v>0</v>
      </c>
      <c r="AI328" s="192">
        <f t="shared" si="629"/>
        <v>0</v>
      </c>
      <c r="AJ328" s="192">
        <f>SUM(AJ329:AJ344)</f>
        <v>0</v>
      </c>
      <c r="AK328" s="192">
        <f>SUM(AK329:AK344)</f>
        <v>0</v>
      </c>
      <c r="AL328" s="192">
        <f>SUM(AL329:AL344)</f>
        <v>372890.97</v>
      </c>
      <c r="AM328" s="192">
        <f t="shared" si="630"/>
        <v>372890.97</v>
      </c>
      <c r="AN328" s="192">
        <f>SUM(AN329:AN344)</f>
        <v>0</v>
      </c>
      <c r="AO328" s="192">
        <f>SUM(AO329:AO344)</f>
        <v>750</v>
      </c>
      <c r="AP328" s="192">
        <f>SUM(AP329:AP344)</f>
        <v>0</v>
      </c>
      <c r="AQ328" s="192">
        <f t="shared" si="631"/>
        <v>750</v>
      </c>
      <c r="AR328" s="192">
        <f t="shared" si="632"/>
        <v>23035725.07</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23035725.07</v>
      </c>
      <c r="F340" s="183">
        <f t="shared" ref="F340" si="803">D340+E340</f>
        <v>23035725.07</v>
      </c>
      <c r="G340" s="183"/>
      <c r="H340" s="183">
        <f t="shared" ref="H340" si="804">F340-G340</f>
        <v>23035725.07</v>
      </c>
      <c r="I340" s="183"/>
      <c r="J340" s="183">
        <f t="shared" ref="J340" si="805">F340-I340</f>
        <v>23035725.07</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23035725.07</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19591588</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3070496.1</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22662084.100000001</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372890.97</v>
      </c>
      <c r="AM340" s="183">
        <f t="shared" ref="AM340" si="808">AJ340+AK340+AL340</f>
        <v>372890.97</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750</v>
      </c>
      <c r="AR340" s="183">
        <f t="shared" ref="AR340" si="810">AE340+AI340+AM340+AQ340</f>
        <v>23035725.07</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13000</v>
      </c>
      <c r="E345" s="192">
        <f>SUM(E346:E382)</f>
        <v>6063214.7603017464</v>
      </c>
      <c r="F345" s="192">
        <f t="shared" si="622"/>
        <v>6076214.7603017464</v>
      </c>
      <c r="G345" s="192">
        <f>SUM(G346:G382)</f>
        <v>0</v>
      </c>
      <c r="H345" s="192">
        <f t="shared" si="623"/>
        <v>6076214.7603017464</v>
      </c>
      <c r="I345" s="192">
        <f>SUM(I346:I382)</f>
        <v>0</v>
      </c>
      <c r="J345" s="192">
        <f t="shared" si="624"/>
        <v>6076214.7603017464</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37800</v>
      </c>
      <c r="U345" s="192">
        <f t="shared" si="819"/>
        <v>6038414.7603017464</v>
      </c>
      <c r="V345" s="192">
        <f t="shared" si="819"/>
        <v>0</v>
      </c>
      <c r="W345" s="192">
        <f t="shared" si="819"/>
        <v>0</v>
      </c>
      <c r="X345" s="192">
        <f t="shared" si="819"/>
        <v>0</v>
      </c>
      <c r="Y345" s="192">
        <f t="shared" ref="Y345:Z345" si="821">SUM(Y346:Y382)</f>
        <v>0</v>
      </c>
      <c r="Z345" s="192">
        <f t="shared" si="821"/>
        <v>0</v>
      </c>
      <c r="AA345" s="192">
        <f t="shared" si="819"/>
        <v>0</v>
      </c>
      <c r="AB345" s="192">
        <f t="shared" si="819"/>
        <v>291864.93</v>
      </c>
      <c r="AC345" s="192">
        <f t="shared" si="819"/>
        <v>4994197.2903017467</v>
      </c>
      <c r="AD345" s="192">
        <f t="shared" si="819"/>
        <v>524700</v>
      </c>
      <c r="AE345" s="192">
        <f t="shared" si="628"/>
        <v>5810762.2203017464</v>
      </c>
      <c r="AF345" s="192">
        <f>SUM(AF346:AF382)</f>
        <v>0</v>
      </c>
      <c r="AG345" s="192">
        <f>SUM(AG346:AG382)</f>
        <v>0</v>
      </c>
      <c r="AH345" s="192">
        <f>SUM(AH346:AH382)</f>
        <v>78000</v>
      </c>
      <c r="AI345" s="192">
        <f t="shared" si="629"/>
        <v>78000</v>
      </c>
      <c r="AJ345" s="192">
        <f>SUM(AJ346:AJ382)</f>
        <v>52000</v>
      </c>
      <c r="AK345" s="192">
        <f>SUM(AK346:AK382)</f>
        <v>0</v>
      </c>
      <c r="AL345" s="192">
        <f>SUM(AL346:AL382)</f>
        <v>69716.44</v>
      </c>
      <c r="AM345" s="192">
        <f t="shared" si="630"/>
        <v>121716.44</v>
      </c>
      <c r="AN345" s="192">
        <f>SUM(AN346:AN382)</f>
        <v>0</v>
      </c>
      <c r="AO345" s="192">
        <f>SUM(AO346:AO382)</f>
        <v>7936.1</v>
      </c>
      <c r="AP345" s="192">
        <f>SUM(AP346:AP382)</f>
        <v>30800</v>
      </c>
      <c r="AQ345" s="192">
        <f t="shared" si="631"/>
        <v>38736.1</v>
      </c>
      <c r="AR345" s="192">
        <f t="shared" si="632"/>
        <v>6049214.7603017464</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381800</v>
      </c>
      <c r="F348" s="183">
        <f t="shared" si="622"/>
        <v>381800</v>
      </c>
      <c r="G348" s="183"/>
      <c r="H348" s="183">
        <f t="shared" si="623"/>
        <v>381800</v>
      </c>
      <c r="I348" s="183"/>
      <c r="J348" s="183">
        <f t="shared" si="624"/>
        <v>381800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21800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190000</v>
      </c>
      <c r="AE348" s="183">
        <f t="shared" si="628"/>
        <v>262000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v>
      </c>
      <c r="AI348" s="183">
        <f t="shared" si="629"/>
        <v>62000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v>
      </c>
      <c r="AQ348" s="183">
        <f t="shared" si="631"/>
        <v>30800</v>
      </c>
      <c r="AR348" s="183">
        <f t="shared" si="632"/>
        <v>354800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v>
      </c>
      <c r="F350" s="183">
        <f t="shared" si="622"/>
        <v>220000</v>
      </c>
      <c r="G350" s="183"/>
      <c r="H350" s="183">
        <f t="shared" si="623"/>
        <v>220000</v>
      </c>
      <c r="I350" s="183"/>
      <c r="J350" s="183">
        <f t="shared" si="624"/>
        <v>220000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112000</v>
      </c>
      <c r="AE350" s="183">
        <f t="shared" si="628"/>
        <v>212000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I350" s="183">
        <f t="shared" si="629"/>
        <v>8000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220000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1035000</v>
      </c>
      <c r="F357" s="183">
        <f t="shared" si="622"/>
        <v>1048000</v>
      </c>
      <c r="G357" s="183"/>
      <c r="H357" s="183">
        <f t="shared" si="623"/>
        <v>1048000</v>
      </c>
      <c r="I357" s="183"/>
      <c r="J357" s="183">
        <f t="shared" si="624"/>
        <v>1048000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1048000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875000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121000</v>
      </c>
      <c r="AE357" s="183">
        <f t="shared" si="628"/>
        <v>996000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52000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1048000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3874314.7603017469</v>
      </c>
      <c r="F359" s="183">
        <f t="shared" si="622"/>
        <v>3874314.7603017469</v>
      </c>
      <c r="G359" s="183"/>
      <c r="H359" s="183">
        <f t="shared" si="623"/>
        <v>3874314.7603017469</v>
      </c>
      <c r="I359" s="183"/>
      <c r="J359" s="183">
        <f t="shared" si="624"/>
        <v>3874314.7603017469</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3874314.7603017469</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101864.93</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3762197.2903017467</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3864062.2203017469</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9716.44</v>
      </c>
      <c r="AM359" s="183">
        <f t="shared" si="630"/>
        <v>9716.44</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536.1</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536.1</v>
      </c>
      <c r="AR359" s="183">
        <f t="shared" si="632"/>
        <v>3874314.7603017469</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552100</v>
      </c>
      <c r="F366" s="183">
        <f t="shared" si="822"/>
        <v>552100</v>
      </c>
      <c r="G366" s="183"/>
      <c r="H366" s="183">
        <f t="shared" si="823"/>
        <v>552100</v>
      </c>
      <c r="I366" s="183"/>
      <c r="J366" s="183">
        <f t="shared" si="824"/>
        <v>552100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552100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101700</v>
      </c>
      <c r="AE366" s="183">
        <f t="shared" si="825"/>
        <v>476700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I366" s="183">
        <f t="shared" si="826"/>
        <v>8000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M366" s="183">
        <f t="shared" si="827"/>
        <v>60000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7400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7400</v>
      </c>
      <c r="AR366" s="183">
        <f t="shared" si="829"/>
        <v>552100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211670.69</v>
      </c>
      <c r="F389" s="192">
        <f t="shared" si="830"/>
        <v>211670.69</v>
      </c>
      <c r="G389" s="192">
        <f>SUM(G390:G396)</f>
        <v>0</v>
      </c>
      <c r="H389" s="192">
        <f t="shared" si="623"/>
        <v>211670.69</v>
      </c>
      <c r="I389" s="192">
        <f>SUM(I390:I396)</f>
        <v>0</v>
      </c>
      <c r="J389" s="192">
        <f t="shared" si="624"/>
        <v>211670.69</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211670.69</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211670.69</v>
      </c>
      <c r="AD389" s="192">
        <f t="shared" si="852"/>
        <v>0</v>
      </c>
      <c r="AE389" s="192">
        <f t="shared" si="628"/>
        <v>211670.69</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211670.69</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211670.69</v>
      </c>
      <c r="F391" s="183">
        <f t="shared" ref="F391:F394" si="855">D391+E391</f>
        <v>211670.69</v>
      </c>
      <c r="G391" s="183"/>
      <c r="H391" s="183">
        <f t="shared" ref="H391:H394" si="856">F391-G391</f>
        <v>211670.69</v>
      </c>
      <c r="I391" s="183"/>
      <c r="J391" s="183">
        <f t="shared" ref="J391:J394" si="857">F391-I391</f>
        <v>211670.69</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211670.69</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211670.69</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211670.69</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211670.69</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745655.66500000004</v>
      </c>
      <c r="E566" s="186">
        <f>E12+E106+E222+E327+E397+E499+E526+E560</f>
        <v>31485213.465301748</v>
      </c>
      <c r="F566" s="186">
        <f t="shared" si="1050"/>
        <v>32230869.130301747</v>
      </c>
      <c r="G566" s="186">
        <f>G12+G106+G222+G327+G397+G499+G526+G560</f>
        <v>0</v>
      </c>
      <c r="H566" s="186">
        <f t="shared" si="1052"/>
        <v>32230869.130301747</v>
      </c>
      <c r="I566" s="186">
        <f>I12+I106+I222+I327+I397+I499+I526+I560</f>
        <v>0</v>
      </c>
      <c r="J566" s="186">
        <f t="shared" si="1053"/>
        <v>32230869.130301747</v>
      </c>
      <c r="K566" s="186">
        <f t="shared" ref="K566:AD566" si="1209">K12+K106+K222+K327+K397+K499+K526+K560</f>
        <v>5400</v>
      </c>
      <c r="L566" s="186">
        <f t="shared" si="1209"/>
        <v>29200</v>
      </c>
      <c r="M566" s="186">
        <f t="shared" si="1209"/>
        <v>49600</v>
      </c>
      <c r="N566" s="186">
        <f t="shared" si="1209"/>
        <v>5600</v>
      </c>
      <c r="O566" s="186">
        <f t="shared" si="1209"/>
        <v>35000</v>
      </c>
      <c r="P566" s="186">
        <f t="shared" ref="P566:Q566" si="1210">P12+P106+P222+P327+P397+P499+P526+P560</f>
        <v>6000</v>
      </c>
      <c r="Q566" s="186">
        <f t="shared" si="1210"/>
        <v>12000</v>
      </c>
      <c r="R566" s="186">
        <f t="shared" si="1209"/>
        <v>0</v>
      </c>
      <c r="S566" s="186">
        <f t="shared" si="1209"/>
        <v>0</v>
      </c>
      <c r="T566" s="186">
        <f t="shared" ref="T566" si="1211">T12+T106+T222+T327+T397+T499+T526+T560</f>
        <v>37800</v>
      </c>
      <c r="U566" s="186">
        <f t="shared" si="1209"/>
        <v>32021659.130301747</v>
      </c>
      <c r="V566" s="186">
        <f t="shared" si="1209"/>
        <v>0</v>
      </c>
      <c r="W566" s="186">
        <f t="shared" ref="W566" si="1212">W12+W106+W222+W327+W397+W499+W526+W560</f>
        <v>0</v>
      </c>
      <c r="X566" s="186">
        <f t="shared" si="1209"/>
        <v>22700</v>
      </c>
      <c r="Y566" s="186">
        <f t="shared" ref="Y566:Z566" si="1213">Y12+Y106+Y222+Y327+Y397+Y499+Y526+Y560</f>
        <v>0</v>
      </c>
      <c r="Z566" s="186">
        <f t="shared" si="1213"/>
        <v>1600</v>
      </c>
      <c r="AA566" s="186">
        <f t="shared" si="1209"/>
        <v>4310</v>
      </c>
      <c r="AB566" s="186">
        <f t="shared" si="1209"/>
        <v>20085952.93</v>
      </c>
      <c r="AC566" s="186">
        <f t="shared" si="1209"/>
        <v>8666053.0803017467</v>
      </c>
      <c r="AD566" s="186">
        <f t="shared" si="1209"/>
        <v>2624559.6099999994</v>
      </c>
      <c r="AE566" s="186">
        <f t="shared" si="1059"/>
        <v>31376565.620301746</v>
      </c>
      <c r="AF566" s="186">
        <f t="shared" ref="AF566:AH566" si="1214">AF12+AF106+AF222+AF327+AF397+AF499+AF526+AF560</f>
        <v>40100</v>
      </c>
      <c r="AG566" s="186">
        <f t="shared" si="1214"/>
        <v>900</v>
      </c>
      <c r="AH566" s="186">
        <f t="shared" si="1214"/>
        <v>239550</v>
      </c>
      <c r="AI566" s="186">
        <f t="shared" si="1060"/>
        <v>280550</v>
      </c>
      <c r="AJ566" s="186">
        <f t="shared" ref="AJ566:AL566" si="1215">AJ12+AJ106+AJ222+AJ327+AJ397+AJ499+AJ526+AJ560</f>
        <v>56200</v>
      </c>
      <c r="AK566" s="186">
        <f t="shared" si="1215"/>
        <v>3000</v>
      </c>
      <c r="AL566" s="186">
        <f t="shared" si="1215"/>
        <v>448067.41</v>
      </c>
      <c r="AM566" s="186">
        <f t="shared" si="1061"/>
        <v>507267.41</v>
      </c>
      <c r="AN566" s="186">
        <f t="shared" ref="AN566:AP566" si="1216">AN12+AN106+AN222+AN327+AN397+AN499+AN526+AN560</f>
        <v>0</v>
      </c>
      <c r="AO566" s="186">
        <f t="shared" si="1216"/>
        <v>8686.1</v>
      </c>
      <c r="AP566" s="186">
        <f t="shared" si="1216"/>
        <v>30800</v>
      </c>
      <c r="AQ566" s="186">
        <f t="shared" si="1062"/>
        <v>39486.1</v>
      </c>
      <c r="AR566" s="186">
        <f t="shared" si="1063"/>
        <v>32203869.130301747</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146"/>
  <sheetViews>
    <sheetView showGridLines="0" topLeftCell="A4" workbookViewId="0">
      <selection activeCell="A4" sqref="A4"/>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1441</v>
      </c>
      <c r="K2" s="125" t="s">
        <v>1364</v>
      </c>
      <c r="L2" s="125" t="s">
        <v>1365</v>
      </c>
      <c r="M2" s="125" t="s">
        <v>1366</v>
      </c>
      <c r="N2" s="125" t="s">
        <v>1367</v>
      </c>
      <c r="O2" s="125" t="s">
        <v>1368</v>
      </c>
      <c r="P2" s="122" t="s">
        <v>1456</v>
      </c>
      <c r="Q2" s="122" t="s">
        <v>1494</v>
      </c>
      <c r="S2" s="454" t="str">
        <f>+Presupuesto!D11</f>
        <v>Recurrente</v>
      </c>
      <c r="T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60" customHeight="1">
      <c r="C5" s="195" t="s">
        <v>249</v>
      </c>
      <c r="D5" s="455">
        <f>SUMIF(C:C,$C$10,D:D)</f>
        <v>70710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SUM(G17:G19)</f>
        <v>3900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61" t="s">
        <v>1670</v>
      </c>
      <c r="E13" s="93"/>
      <c r="F13" s="93"/>
      <c r="G13" s="93"/>
      <c r="H13" s="76"/>
      <c r="I13" s="76"/>
      <c r="J13" s="76"/>
      <c r="K13" s="112"/>
      <c r="N13" s="153"/>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Brindar  3 cursos del area de informatica diriguido a los estudiantes de la carrera </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ht="15.75" thickBot="1">
      <c r="B17" s="93"/>
      <c r="C17" s="99" t="s">
        <v>1626</v>
      </c>
      <c r="D17" s="727"/>
      <c r="E17" s="200">
        <v>90</v>
      </c>
      <c r="F17" s="100">
        <v>10</v>
      </c>
      <c r="G17" s="97">
        <f>E17*F17</f>
        <v>900</v>
      </c>
      <c r="H17" s="325" t="s">
        <v>129</v>
      </c>
      <c r="I17" s="98" t="s">
        <v>717</v>
      </c>
      <c r="J17" s="98" t="str">
        <f>VLOOKUP(I17,Presupuesto!$B$11:$C$566,2,0)</f>
        <v>SERVICIOS DE IMPRENTA PUBLIC.Y REPRODUCCION</v>
      </c>
      <c r="K17" s="98" t="s">
        <v>1360</v>
      </c>
      <c r="L17" s="98" t="s">
        <v>397</v>
      </c>
      <c r="N17" s="153"/>
    </row>
    <row r="18" spans="2:14" ht="15.75" thickBot="1">
      <c r="B18" s="93"/>
      <c r="C18" s="99" t="s">
        <v>49</v>
      </c>
      <c r="D18" s="727"/>
      <c r="E18" s="200">
        <v>120</v>
      </c>
      <c r="F18" s="100">
        <v>25</v>
      </c>
      <c r="G18" s="97">
        <f t="shared" ref="G18" si="0">E18*F18</f>
        <v>3000</v>
      </c>
      <c r="H18" s="325" t="s">
        <v>129</v>
      </c>
      <c r="I18" s="98" t="s">
        <v>792</v>
      </c>
      <c r="J18" s="98" t="str">
        <f>VLOOKUP(I18,Presupuesto!$B$11:$C$566,2,0)</f>
        <v>ALIMENTOS B EBIDAS PARA PERSONAS</v>
      </c>
      <c r="K18" s="98" t="s">
        <v>1360</v>
      </c>
      <c r="L18" s="98" t="s">
        <v>400</v>
      </c>
      <c r="N18" s="153"/>
    </row>
    <row r="19" spans="2:14" ht="15.75" thickBot="1">
      <c r="B19" s="93"/>
      <c r="C19" s="216" t="s">
        <v>432</v>
      </c>
      <c r="D19" s="217">
        <v>0</v>
      </c>
      <c r="E19" s="327">
        <v>0</v>
      </c>
      <c r="F19" s="104">
        <f>HLOOKUP(C19,$AH$2:$BU$3,2,0)</f>
        <v>1750</v>
      </c>
      <c r="G19" s="105">
        <f>D19*E19*F19</f>
        <v>0</v>
      </c>
      <c r="H19" s="325" t="s">
        <v>129</v>
      </c>
      <c r="I19" s="329" t="s">
        <v>301</v>
      </c>
      <c r="J19" s="106" t="str">
        <f>VLOOKUP(I19,Presupuesto!$B$11:$C$566,2,0)</f>
        <v>VIATICOS (26200-00)</v>
      </c>
      <c r="K19" s="330" t="e">
        <f>#REF!</f>
        <v>#REF!</v>
      </c>
      <c r="L19" s="330" t="s">
        <v>412</v>
      </c>
    </row>
    <row r="20" spans="2:14">
      <c r="B20" s="93"/>
      <c r="C20" s="93"/>
      <c r="E20" s="112"/>
      <c r="F20" s="112"/>
      <c r="G20" s="112"/>
      <c r="H20" s="174"/>
      <c r="I20" s="112"/>
      <c r="J20" s="112"/>
      <c r="K20" s="112"/>
    </row>
    <row r="21" spans="2:14" ht="15.75" thickBot="1"/>
    <row r="22" spans="2:14" ht="15.75" thickBot="1">
      <c r="C22" s="29" t="s">
        <v>43</v>
      </c>
      <c r="D22" s="30">
        <f>SUM(G29:G31)</f>
        <v>11900</v>
      </c>
      <c r="E22" s="93"/>
      <c r="F22" s="93"/>
      <c r="G22" s="93"/>
      <c r="H22" s="76"/>
      <c r="I22" s="76"/>
      <c r="J22" s="76"/>
      <c r="K22" s="112"/>
    </row>
    <row r="23" spans="2:14">
      <c r="C23" s="70"/>
      <c r="D23" s="31"/>
      <c r="E23" s="93"/>
      <c r="F23" s="93"/>
      <c r="G23" s="93"/>
      <c r="H23" s="76"/>
      <c r="I23" s="76"/>
      <c r="J23" s="76"/>
      <c r="K23" s="112"/>
    </row>
    <row r="24" spans="2:14">
      <c r="C24" s="70"/>
      <c r="D24" s="31"/>
      <c r="E24" s="93"/>
      <c r="F24" s="93"/>
      <c r="G24" s="93"/>
      <c r="H24" s="76"/>
      <c r="I24" s="76"/>
      <c r="J24" s="76"/>
      <c r="K24" s="112"/>
    </row>
    <row r="25" spans="2:14" ht="15.75">
      <c r="C25" s="202" t="s">
        <v>392</v>
      </c>
      <c r="D25" s="361" t="s">
        <v>1708</v>
      </c>
      <c r="E25" s="93"/>
      <c r="F25" s="93"/>
      <c r="G25" s="93"/>
      <c r="H25" s="76"/>
      <c r="I25" s="76"/>
      <c r="J25" s="76"/>
      <c r="K25" s="112"/>
    </row>
    <row r="26" spans="2:14" ht="18.75">
      <c r="C26" s="210"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U.'!$E:$F,2,0)))))))))))))))))</f>
        <v xml:space="preserve">Gestionar una capacitacion con personal de la DEGT sobre server mta  diriguida a Docentes del Area de Informatica </v>
      </c>
      <c r="D26" s="31"/>
      <c r="E26" s="93"/>
      <c r="F26" s="93"/>
      <c r="G26" s="93"/>
      <c r="H26" s="76"/>
      <c r="I26" s="76"/>
      <c r="J26" s="76"/>
      <c r="K26" s="112"/>
    </row>
    <row r="27" spans="2:14" ht="15.75" thickBot="1">
      <c r="C27" s="70"/>
      <c r="D27" s="31"/>
      <c r="E27" s="93"/>
      <c r="F27" s="93"/>
      <c r="G27" s="93"/>
      <c r="H27" s="76"/>
      <c r="I27" s="76"/>
      <c r="J27" s="76"/>
      <c r="K27" s="112"/>
    </row>
    <row r="28" spans="2:14" ht="30.75" thickBot="1">
      <c r="C28" s="126" t="s">
        <v>44</v>
      </c>
      <c r="D28" s="129" t="s">
        <v>45</v>
      </c>
      <c r="E28" s="128" t="s">
        <v>55</v>
      </c>
      <c r="F28" s="128" t="s">
        <v>57</v>
      </c>
      <c r="G28" s="127" t="s">
        <v>27</v>
      </c>
      <c r="H28" s="133" t="s">
        <v>131</v>
      </c>
      <c r="I28" s="128" t="s">
        <v>46</v>
      </c>
      <c r="J28" s="128" t="s">
        <v>132</v>
      </c>
      <c r="K28" s="128" t="s">
        <v>410</v>
      </c>
      <c r="L28" s="128" t="s">
        <v>411</v>
      </c>
    </row>
    <row r="29" spans="2:14" ht="15.75" thickBot="1">
      <c r="C29" s="322" t="s">
        <v>47</v>
      </c>
      <c r="D29" s="726">
        <v>8</v>
      </c>
      <c r="E29" s="323"/>
      <c r="F29" s="115">
        <v>30000</v>
      </c>
      <c r="G29" s="324">
        <f t="shared" ref="G29:G30" si="1">E29*F29</f>
        <v>0</v>
      </c>
      <c r="H29" s="325"/>
      <c r="I29" s="116" t="s">
        <v>699</v>
      </c>
      <c r="J29" s="116" t="str">
        <f>VLOOKUP(I29,Presupuesto!$B$11:$C$566,2,0)</f>
        <v>SERVICIOS DE CAPACITACION.</v>
      </c>
      <c r="K29" s="326" t="s">
        <v>1494</v>
      </c>
      <c r="L29" s="116" t="s">
        <v>394</v>
      </c>
    </row>
    <row r="30" spans="2:14" ht="15.75" thickBot="1">
      <c r="C30" s="99" t="s">
        <v>49</v>
      </c>
      <c r="D30" s="727"/>
      <c r="E30" s="200">
        <v>50</v>
      </c>
      <c r="F30" s="100">
        <v>40</v>
      </c>
      <c r="G30" s="97">
        <f t="shared" si="1"/>
        <v>2000</v>
      </c>
      <c r="H30" s="161" t="s">
        <v>129</v>
      </c>
      <c r="I30" s="98" t="s">
        <v>792</v>
      </c>
      <c r="J30" s="98" t="str">
        <f>VLOOKUP(I30,Presupuesto!$B$11:$C$566,2,0)</f>
        <v>ALIMENTOS B EBIDAS PARA PERSONAS</v>
      </c>
      <c r="K30" s="326" t="s">
        <v>1494</v>
      </c>
      <c r="L30" s="98" t="s">
        <v>396</v>
      </c>
    </row>
    <row r="31" spans="2:14" ht="15.75" thickBot="1">
      <c r="C31" s="216" t="s">
        <v>434</v>
      </c>
      <c r="D31" s="217">
        <v>2</v>
      </c>
      <c r="E31" s="327">
        <v>5.5</v>
      </c>
      <c r="F31" s="104">
        <f>HLOOKUP(C31,$AH$2:$BU$3,2,0)</f>
        <v>900</v>
      </c>
      <c r="G31" s="105">
        <f>D31*E31*F31</f>
        <v>9900</v>
      </c>
      <c r="H31" s="328" t="s">
        <v>129</v>
      </c>
      <c r="I31" s="329" t="s">
        <v>301</v>
      </c>
      <c r="J31" s="106" t="str">
        <f>VLOOKUP(I31,Presupuesto!$B$11:$C$566,2,0)</f>
        <v>VIATICOS (26200-00)</v>
      </c>
      <c r="K31" s="326" t="s">
        <v>1494</v>
      </c>
      <c r="L31" s="330" t="s">
        <v>412</v>
      </c>
    </row>
    <row r="33" spans="3:12" ht="15.75" thickBot="1"/>
    <row r="34" spans="3:12" ht="15.75" thickBot="1">
      <c r="C34" s="29" t="s">
        <v>43</v>
      </c>
      <c r="D34" s="30">
        <f>SUM(G41:G43)</f>
        <v>3000</v>
      </c>
      <c r="E34" s="93"/>
      <c r="F34" s="93"/>
      <c r="G34" s="93"/>
      <c r="H34" s="76"/>
      <c r="I34" s="76"/>
      <c r="J34" s="76"/>
      <c r="K34" s="112"/>
    </row>
    <row r="35" spans="3:12">
      <c r="C35" s="70"/>
      <c r="D35" s="31"/>
      <c r="E35" s="93"/>
      <c r="F35" s="93"/>
      <c r="G35" s="93"/>
      <c r="H35" s="76"/>
      <c r="I35" s="76"/>
      <c r="J35" s="76"/>
      <c r="K35" s="112"/>
    </row>
    <row r="36" spans="3:12">
      <c r="C36" s="70"/>
      <c r="D36" s="31"/>
      <c r="E36" s="93"/>
      <c r="F36" s="93"/>
      <c r="G36" s="93"/>
      <c r="H36" s="76"/>
      <c r="I36" s="76"/>
      <c r="J36" s="76"/>
      <c r="K36" s="112"/>
    </row>
    <row r="37" spans="3:12" ht="15.75">
      <c r="C37" s="202" t="s">
        <v>392</v>
      </c>
      <c r="D37" s="361" t="s">
        <v>1725</v>
      </c>
      <c r="E37" s="93"/>
      <c r="F37" s="93"/>
      <c r="G37" s="93"/>
      <c r="H37" s="76"/>
      <c r="I37" s="76"/>
      <c r="J37" s="76"/>
      <c r="K37" s="112"/>
    </row>
    <row r="38" spans="3:12" ht="18.75">
      <c r="C38" s="210"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Preparación de los aspirantes  para la prueba del conocimiento en las areas de Quimica y Ciencias Naturales</v>
      </c>
      <c r="D38" s="31"/>
      <c r="E38" s="93"/>
      <c r="F38" s="93"/>
      <c r="G38" s="93"/>
      <c r="H38" s="76"/>
      <c r="I38" s="76"/>
      <c r="J38" s="76"/>
      <c r="K38" s="112"/>
    </row>
    <row r="39" spans="3:12" ht="15.75" thickBot="1">
      <c r="C39" s="70"/>
      <c r="D39" s="31"/>
      <c r="E39" s="93"/>
      <c r="F39" s="93"/>
      <c r="G39" s="93"/>
      <c r="H39" s="76"/>
      <c r="I39" s="76"/>
      <c r="J39" s="76"/>
      <c r="K39" s="112"/>
    </row>
    <row r="40" spans="3:12" ht="30.75" thickBot="1">
      <c r="C40" s="126" t="s">
        <v>44</v>
      </c>
      <c r="D40" s="129" t="s">
        <v>45</v>
      </c>
      <c r="E40" s="128" t="s">
        <v>55</v>
      </c>
      <c r="F40" s="128" t="s">
        <v>57</v>
      </c>
      <c r="G40" s="127" t="s">
        <v>27</v>
      </c>
      <c r="H40" s="133" t="s">
        <v>131</v>
      </c>
      <c r="I40" s="128" t="s">
        <v>46</v>
      </c>
      <c r="J40" s="128" t="s">
        <v>132</v>
      </c>
      <c r="K40" s="128" t="s">
        <v>410</v>
      </c>
      <c r="L40" s="128" t="s">
        <v>411</v>
      </c>
    </row>
    <row r="41" spans="3:12">
      <c r="C41" s="322" t="s">
        <v>47</v>
      </c>
      <c r="D41" s="726">
        <v>150</v>
      </c>
      <c r="E41" s="323"/>
      <c r="F41" s="115">
        <v>30000</v>
      </c>
      <c r="G41" s="324">
        <f t="shared" ref="G41:G42" si="2">E41*F41</f>
        <v>0</v>
      </c>
      <c r="H41" s="325"/>
      <c r="I41" s="116" t="s">
        <v>699</v>
      </c>
      <c r="J41" s="116" t="str">
        <f>VLOOKUP(I41,Presupuesto!$B$11:$C$566,2,0)</f>
        <v>SERVICIOS DE CAPACITACION.</v>
      </c>
      <c r="K41" s="98" t="s">
        <v>471</v>
      </c>
      <c r="L41" s="116"/>
    </row>
    <row r="42" spans="3:12">
      <c r="C42" s="99" t="s">
        <v>48</v>
      </c>
      <c r="D42" s="727"/>
      <c r="E42" s="200">
        <f>D41</f>
        <v>150</v>
      </c>
      <c r="F42" s="100">
        <v>20</v>
      </c>
      <c r="G42" s="97">
        <f t="shared" si="2"/>
        <v>3000</v>
      </c>
      <c r="H42" s="161" t="s">
        <v>129</v>
      </c>
      <c r="I42" s="98" t="s">
        <v>717</v>
      </c>
      <c r="J42" s="98" t="str">
        <f>VLOOKUP(I42,Presupuesto!$B$11:$C$566,2,0)</f>
        <v>SERVICIOS DE IMPRENTA PUBLIC.Y REPRODUCCION</v>
      </c>
      <c r="K42" s="98" t="s">
        <v>471</v>
      </c>
      <c r="L42" s="98" t="s">
        <v>399</v>
      </c>
    </row>
    <row r="43" spans="3:12" ht="15.75" thickBot="1">
      <c r="C43" s="216" t="s">
        <v>430</v>
      </c>
      <c r="D43" s="217">
        <v>0</v>
      </c>
      <c r="E43" s="327">
        <v>0</v>
      </c>
      <c r="F43" s="104">
        <f>HLOOKUP(C43,$AH$2:$BU$3,2,0)</f>
        <v>1150</v>
      </c>
      <c r="G43" s="105">
        <f>D43*E43*F43</f>
        <v>0</v>
      </c>
      <c r="H43" s="328"/>
      <c r="I43" s="329" t="s">
        <v>301</v>
      </c>
      <c r="J43" s="106" t="str">
        <f>VLOOKUP(I43,Presupuesto!$B$11:$C$566,2,0)</f>
        <v>VIATICOS (26200-00)</v>
      </c>
      <c r="K43" s="98" t="s">
        <v>471</v>
      </c>
      <c r="L43" s="330"/>
    </row>
    <row r="44" spans="3:12">
      <c r="C44" s="93"/>
      <c r="E44" s="112"/>
      <c r="F44" s="112"/>
      <c r="G44" s="112"/>
      <c r="H44" s="174"/>
      <c r="I44" s="112"/>
      <c r="J44" s="112"/>
      <c r="K44" s="112"/>
    </row>
    <row r="45" spans="3:12" s="458" customFormat="1" ht="15.75" thickBot="1">
      <c r="C45" s="93"/>
      <c r="E45" s="112"/>
      <c r="F45" s="112"/>
      <c r="G45" s="112"/>
      <c r="H45" s="174"/>
      <c r="I45" s="112"/>
      <c r="J45" s="112"/>
      <c r="K45" s="112"/>
    </row>
    <row r="46" spans="3:12" s="458" customFormat="1" ht="15.75" thickBot="1">
      <c r="C46" s="29" t="s">
        <v>43</v>
      </c>
      <c r="D46" s="30">
        <f>SUM(G53:G55)</f>
        <v>1200</v>
      </c>
      <c r="E46" s="93"/>
      <c r="F46" s="93"/>
      <c r="G46" s="93"/>
      <c r="H46" s="76"/>
      <c r="I46" s="76"/>
      <c r="J46" s="76"/>
      <c r="K46" s="112"/>
    </row>
    <row r="47" spans="3:12" s="458" customFormat="1">
      <c r="C47" s="70"/>
      <c r="D47" s="31"/>
      <c r="E47" s="93"/>
      <c r="F47" s="93"/>
      <c r="G47" s="93"/>
      <c r="H47" s="76"/>
      <c r="I47" s="76"/>
      <c r="J47" s="76"/>
      <c r="K47" s="112"/>
    </row>
    <row r="48" spans="3:12" s="458" customFormat="1">
      <c r="C48" s="70"/>
      <c r="D48" s="31"/>
      <c r="E48" s="93"/>
      <c r="F48" s="93"/>
      <c r="G48" s="93"/>
      <c r="H48" s="76"/>
      <c r="I48" s="76"/>
      <c r="J48" s="76"/>
      <c r="K48" s="112"/>
    </row>
    <row r="49" spans="3:12" s="458" customFormat="1" ht="15.75">
      <c r="C49" s="202" t="s">
        <v>392</v>
      </c>
      <c r="D49" s="361" t="s">
        <v>1772</v>
      </c>
      <c r="E49" s="93"/>
      <c r="F49" s="93"/>
      <c r="G49" s="93"/>
      <c r="H49" s="76"/>
      <c r="I49" s="76"/>
      <c r="J49" s="76"/>
      <c r="K49" s="112"/>
    </row>
    <row r="50" spans="3:12" s="458" customFormat="1" ht="18.75">
      <c r="C50" s="210" t="str">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Proceso...'!$E:$F,2,FALSE),IFERROR(VLOOKUP(D49,'12.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U.'!$E:$F,2,0)))))))))))))))))</f>
        <v> Brindar I Taller de Ortografía con duración de tres meses a los privados en libertad del Centro Penal de Danlí</v>
      </c>
      <c r="D50" s="31"/>
      <c r="E50" s="93"/>
      <c r="F50" s="93"/>
      <c r="G50" s="93"/>
      <c r="H50" s="76"/>
      <c r="I50" s="76"/>
      <c r="J50" s="76"/>
      <c r="K50" s="112"/>
    </row>
    <row r="51" spans="3:12" s="458" customFormat="1" ht="15.75" thickBot="1">
      <c r="C51" s="70"/>
      <c r="D51" s="31"/>
      <c r="E51" s="93"/>
      <c r="F51" s="93"/>
      <c r="G51" s="93"/>
      <c r="H51" s="76"/>
      <c r="I51" s="76"/>
      <c r="J51" s="76"/>
      <c r="K51" s="112"/>
    </row>
    <row r="52" spans="3:12" s="458" customFormat="1" ht="30.75" thickBot="1">
      <c r="C52" s="126" t="s">
        <v>44</v>
      </c>
      <c r="D52" s="129" t="s">
        <v>45</v>
      </c>
      <c r="E52" s="128" t="s">
        <v>55</v>
      </c>
      <c r="F52" s="128" t="s">
        <v>57</v>
      </c>
      <c r="G52" s="127" t="s">
        <v>27</v>
      </c>
      <c r="H52" s="133" t="s">
        <v>131</v>
      </c>
      <c r="I52" s="128" t="s">
        <v>46</v>
      </c>
      <c r="J52" s="128" t="s">
        <v>132</v>
      </c>
      <c r="K52" s="128" t="s">
        <v>410</v>
      </c>
      <c r="L52" s="128" t="s">
        <v>411</v>
      </c>
    </row>
    <row r="53" spans="3:12" s="458" customFormat="1">
      <c r="C53" s="322" t="s">
        <v>47</v>
      </c>
      <c r="D53" s="726">
        <v>20</v>
      </c>
      <c r="E53" s="323"/>
      <c r="F53" s="115">
        <v>30000</v>
      </c>
      <c r="G53" s="324">
        <f t="shared" ref="G53:G54" si="3">E53*F53</f>
        <v>0</v>
      </c>
      <c r="H53" s="325"/>
      <c r="I53" s="116" t="s">
        <v>699</v>
      </c>
      <c r="J53" s="116" t="str">
        <f>VLOOKUP(I53,Presupuesto!$B$11:$C$566,2,0)</f>
        <v>SERVICIOS DE CAPACITACION.</v>
      </c>
      <c r="K53" s="98" t="s">
        <v>471</v>
      </c>
      <c r="L53" s="116"/>
    </row>
    <row r="54" spans="3:12" s="458" customFormat="1">
      <c r="C54" s="99" t="s">
        <v>48</v>
      </c>
      <c r="D54" s="727"/>
      <c r="E54" s="200">
        <f>D53</f>
        <v>20</v>
      </c>
      <c r="F54" s="100">
        <v>60</v>
      </c>
      <c r="G54" s="97">
        <f t="shared" si="3"/>
        <v>1200</v>
      </c>
      <c r="H54" s="161" t="s">
        <v>129</v>
      </c>
      <c r="I54" s="98" t="s">
        <v>717</v>
      </c>
      <c r="J54" s="98" t="str">
        <f>VLOOKUP(I54,Presupuesto!$B$11:$C$566,2,0)</f>
        <v>SERVICIOS DE IMPRENTA PUBLIC.Y REPRODUCCION</v>
      </c>
      <c r="K54" s="98" t="s">
        <v>471</v>
      </c>
      <c r="L54" s="98" t="s">
        <v>399</v>
      </c>
    </row>
    <row r="55" spans="3:12" s="458" customFormat="1" ht="15.75" thickBot="1">
      <c r="C55" s="216" t="s">
        <v>430</v>
      </c>
      <c r="D55" s="217">
        <v>0</v>
      </c>
      <c r="E55" s="327">
        <v>0</v>
      </c>
      <c r="F55" s="104">
        <f>HLOOKUP(C55,$AH$2:$BU$3,2,0)</f>
        <v>1150</v>
      </c>
      <c r="G55" s="105">
        <f>D55*E55*F55</f>
        <v>0</v>
      </c>
      <c r="H55" s="328"/>
      <c r="I55" s="329" t="s">
        <v>301</v>
      </c>
      <c r="J55" s="106" t="str">
        <f>VLOOKUP(I55,Presupuesto!$B$11:$C$566,2,0)</f>
        <v>VIATICOS (26200-00)</v>
      </c>
      <c r="K55" s="98" t="s">
        <v>471</v>
      </c>
      <c r="L55" s="330"/>
    </row>
    <row r="56" spans="3:12" s="458" customFormat="1">
      <c r="C56" s="93"/>
      <c r="E56" s="112"/>
      <c r="F56" s="112"/>
      <c r="G56" s="112"/>
      <c r="H56" s="174"/>
      <c r="I56" s="112"/>
      <c r="J56" s="112"/>
      <c r="K56" s="112"/>
    </row>
    <row r="57" spans="3:12" s="458" customFormat="1">
      <c r="C57" s="93"/>
      <c r="E57" s="112"/>
      <c r="F57" s="112"/>
      <c r="G57" s="112"/>
      <c r="H57" s="174"/>
      <c r="I57" s="112"/>
      <c r="J57" s="112"/>
      <c r="K57" s="112"/>
    </row>
    <row r="58" spans="3:12" ht="15.75" thickBot="1"/>
    <row r="59" spans="3:12" ht="15.75" thickBot="1">
      <c r="C59" s="29" t="s">
        <v>43</v>
      </c>
      <c r="D59" s="30">
        <f>SUM(G66:G69)</f>
        <v>10360</v>
      </c>
      <c r="E59" s="93"/>
      <c r="F59" s="93"/>
      <c r="G59" s="93"/>
      <c r="H59" s="76"/>
      <c r="I59" s="76"/>
      <c r="J59" s="76"/>
      <c r="K59" s="112"/>
    </row>
    <row r="60" spans="3:12">
      <c r="C60" s="70"/>
      <c r="D60" s="31"/>
      <c r="E60" s="93"/>
      <c r="F60" s="93"/>
      <c r="G60" s="93"/>
      <c r="H60" s="76"/>
      <c r="I60" s="76"/>
      <c r="J60" s="76"/>
      <c r="K60" s="112"/>
    </row>
    <row r="61" spans="3:12">
      <c r="C61" s="70"/>
      <c r="D61" s="31"/>
      <c r="E61" s="93"/>
      <c r="F61" s="93"/>
      <c r="G61" s="93"/>
      <c r="H61" s="76"/>
      <c r="I61" s="76"/>
      <c r="J61" s="76"/>
      <c r="K61" s="112"/>
    </row>
    <row r="62" spans="3:12" ht="15.75">
      <c r="C62" s="202" t="s">
        <v>392</v>
      </c>
      <c r="D62" s="361" t="s">
        <v>1880</v>
      </c>
      <c r="E62" s="93"/>
      <c r="F62" s="93"/>
      <c r="G62" s="93"/>
      <c r="H62" s="76"/>
      <c r="I62" s="76"/>
      <c r="J62" s="76"/>
      <c r="K62" s="112"/>
    </row>
    <row r="63" spans="3:12" ht="18.75">
      <c r="C63" s="210" t="str">
        <f>IFERROR(VLOOKUP(D62,'1. Desarrollo e Innov. Curricu.'!$E:$F,2,FALSE),IFERROR(VLOOKUP(D62,'2. Investigación Científica'!$E:$F,2,FALSE),IFERROR(VLOOKUP(D62,'3. Vinculación Univ. Sociedad'!$E:$F,2,FALSE),IFERROR(VLOOKUP(D62,'4. Docencia y Profesorado Univ.'!$E:$F,2,FALSE),IFERROR(VLOOKUP(D62,'5. Estudiantes y Graduados'!$E:$F,2,FALSE),IFERROR(VLOOKUP(D62,'11. Gestion Administrativa'!$E:$F,2,FALSE),IFERROR(VLOOKUP(D62,'13. Gestión Académica'!$E:$F,2,FALSE),IFERROR(VLOOKUP(D62,'8. Asegura. de la Calid. y M'!$E:$F,2,FALSE),IFERROR(VLOOKUP(D62,'6. Gestión del Conocimiento'!$E:$F,2,FALSE),IFERROR(VLOOKUP(D62,'15. Gobernabilidad y Proceso...'!$E:$F,2,FALSE),IFERROR(VLOOKUP(D62,'12. Gestión del Talento Humano'!$E:$F,2,FALSE),IFERROR(VLOOKUP(D62,'14. Internacional... de la E.S.'!$E:$F,2,FALSE),IFERROR(VLOOKUP(D62,'10. Posgrado'!$E:$F,2,FALSE),IFERROR(VLOOKUP(D62,'17. Gestión TIC'!$E:$F,2,FALSE),IFERROR(VLOOKUP(D62,'16. Desa. del Sistema Educ.Sup.'!$E:$F,2,FALSE),IFERROR(VLOOKUP(D62,'9. Cultura de Inno. Insti...'!$E:$F,2,FALSE),VLOOKUP(D62,'7. Lo Esencial de la Reforma U.'!$E:$F,2,0)))))))))))))))))</f>
        <v xml:space="preserve">Gestionar capacitación con personal de la DEGT en el area de las TIC's digiguido a los docentes de Depto de Humanidades y Enfermeria  </v>
      </c>
      <c r="D63" s="31"/>
      <c r="E63" s="93"/>
      <c r="F63" s="93"/>
      <c r="G63" s="93"/>
      <c r="H63" s="76"/>
      <c r="I63" s="76"/>
      <c r="J63" s="76"/>
      <c r="K63" s="112"/>
    </row>
    <row r="64" spans="3:12" ht="15.75" thickBot="1">
      <c r="C64" s="70"/>
      <c r="D64" s="31"/>
      <c r="E64" s="93"/>
      <c r="F64" s="93"/>
      <c r="G64" s="93"/>
      <c r="H64" s="76"/>
      <c r="I64" s="76"/>
      <c r="J64" s="76"/>
      <c r="K64" s="112"/>
    </row>
    <row r="65" spans="3:12" ht="30.75" thickBot="1">
      <c r="C65" s="126" t="s">
        <v>44</v>
      </c>
      <c r="D65" s="129" t="s">
        <v>45</v>
      </c>
      <c r="E65" s="128" t="s">
        <v>55</v>
      </c>
      <c r="F65" s="128" t="s">
        <v>57</v>
      </c>
      <c r="G65" s="127" t="s">
        <v>27</v>
      </c>
      <c r="H65" s="133" t="s">
        <v>131</v>
      </c>
      <c r="I65" s="128" t="s">
        <v>46</v>
      </c>
      <c r="J65" s="128" t="s">
        <v>132</v>
      </c>
      <c r="K65" s="128" t="s">
        <v>410</v>
      </c>
      <c r="L65" s="128" t="s">
        <v>411</v>
      </c>
    </row>
    <row r="66" spans="3:12" ht="15.75" thickBot="1">
      <c r="C66" s="322" t="s">
        <v>47</v>
      </c>
      <c r="D66" s="726">
        <v>22</v>
      </c>
      <c r="E66" s="323"/>
      <c r="F66" s="115">
        <v>30000</v>
      </c>
      <c r="G66" s="324">
        <f t="shared" ref="G66:G68" si="4">E66*F66</f>
        <v>0</v>
      </c>
      <c r="H66" s="325"/>
      <c r="I66" s="116" t="s">
        <v>699</v>
      </c>
      <c r="J66" s="116" t="str">
        <f>VLOOKUP(I66,Presupuesto!$B$11:$C$566,2,0)</f>
        <v>SERVICIOS DE CAPACITACION.</v>
      </c>
      <c r="K66" s="326" t="s">
        <v>1494</v>
      </c>
      <c r="L66" s="116" t="s">
        <v>394</v>
      </c>
    </row>
    <row r="67" spans="3:12" ht="15.75" thickBot="1">
      <c r="C67" s="99" t="s">
        <v>48</v>
      </c>
      <c r="D67" s="727"/>
      <c r="E67" s="200"/>
      <c r="F67" s="100">
        <v>50</v>
      </c>
      <c r="G67" s="97">
        <f t="shared" si="4"/>
        <v>0</v>
      </c>
      <c r="H67" s="161"/>
      <c r="I67" s="98" t="s">
        <v>717</v>
      </c>
      <c r="J67" s="98" t="str">
        <f>VLOOKUP(I67,Presupuesto!$B$11:$C$566,2,0)</f>
        <v>SERVICIOS DE IMPRENTA PUBLIC.Y REPRODUCCION</v>
      </c>
      <c r="K67" s="326" t="s">
        <v>1494</v>
      </c>
      <c r="L67" s="98" t="s">
        <v>412</v>
      </c>
    </row>
    <row r="68" spans="3:12" ht="15.75" thickBot="1">
      <c r="C68" s="99" t="s">
        <v>49</v>
      </c>
      <c r="D68" s="727"/>
      <c r="E68" s="200">
        <f>D66*3</f>
        <v>66</v>
      </c>
      <c r="F68" s="100">
        <v>35</v>
      </c>
      <c r="G68" s="97">
        <f t="shared" si="4"/>
        <v>2310</v>
      </c>
      <c r="H68" s="161" t="s">
        <v>129</v>
      </c>
      <c r="I68" s="98" t="s">
        <v>792</v>
      </c>
      <c r="J68" s="98" t="str">
        <f>VLOOKUP(I68,Presupuesto!$B$11:$C$566,2,0)</f>
        <v>ALIMENTOS B EBIDAS PARA PERSONAS</v>
      </c>
      <c r="K68" s="326" t="s">
        <v>1494</v>
      </c>
      <c r="L68" s="98" t="s">
        <v>1885</v>
      </c>
    </row>
    <row r="69" spans="3:12" ht="15.75" thickBot="1">
      <c r="C69" s="216" t="s">
        <v>430</v>
      </c>
      <c r="D69" s="217">
        <v>2</v>
      </c>
      <c r="E69" s="327">
        <v>3.5</v>
      </c>
      <c r="F69" s="104">
        <f>HLOOKUP(C69,$AH$2:$BU$3,2,0)</f>
        <v>1150</v>
      </c>
      <c r="G69" s="105">
        <f>D69*E69*F69</f>
        <v>8050</v>
      </c>
      <c r="H69" s="328" t="s">
        <v>129</v>
      </c>
      <c r="I69" s="329" t="s">
        <v>301</v>
      </c>
      <c r="J69" s="106" t="str">
        <f>VLOOKUP(I69,Presupuesto!$B$11:$C$566,2,0)</f>
        <v>VIATICOS (26200-00)</v>
      </c>
      <c r="K69" s="326" t="s">
        <v>1494</v>
      </c>
      <c r="L69" s="98" t="s">
        <v>1885</v>
      </c>
    </row>
    <row r="71" spans="3:12" ht="15.75" thickBot="1"/>
    <row r="72" spans="3:12" ht="15.75" thickBot="1">
      <c r="C72" s="29" t="s">
        <v>43</v>
      </c>
      <c r="D72" s="30">
        <f>SUM(G79:G82)</f>
        <v>3500</v>
      </c>
      <c r="E72" s="93"/>
      <c r="F72" s="93"/>
      <c r="G72" s="93"/>
      <c r="H72" s="76"/>
      <c r="I72" s="76"/>
      <c r="J72" s="76"/>
      <c r="K72" s="112"/>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1" t="s">
        <v>1932</v>
      </c>
      <c r="E75" s="93"/>
      <c r="F75" s="93"/>
      <c r="G75" s="93"/>
      <c r="H75" s="76"/>
      <c r="I75" s="76"/>
      <c r="J75" s="76"/>
      <c r="K75" s="112"/>
    </row>
    <row r="76" spans="3:12" ht="18.75">
      <c r="C76" s="210" t="str">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Brindar capacitaciones sobre calidad de agua  y protección de la cuenca en la comunidad de San Marcos Arriba, Danlí, El Paraíso en fechas posteriores al desarrollo de nuestra investigación sobre este tema.</v>
      </c>
      <c r="D76" s="31"/>
      <c r="E76" s="93"/>
      <c r="F76" s="93"/>
      <c r="G76" s="93"/>
      <c r="H76" s="76"/>
      <c r="I76" s="76"/>
      <c r="J76" s="76"/>
      <c r="K76" s="112"/>
    </row>
    <row r="77" spans="3:12" ht="15.75" thickBot="1">
      <c r="C77" s="70"/>
      <c r="D77" s="31"/>
      <c r="E77" s="93"/>
      <c r="F77" s="93"/>
      <c r="G77" s="93"/>
      <c r="H77" s="76"/>
      <c r="I77" s="76"/>
      <c r="J77" s="76"/>
      <c r="K77" s="112"/>
    </row>
    <row r="78" spans="3:12" ht="30.75" thickBot="1">
      <c r="C78" s="126" t="s">
        <v>44</v>
      </c>
      <c r="D78" s="129" t="s">
        <v>45</v>
      </c>
      <c r="E78" s="128" t="s">
        <v>55</v>
      </c>
      <c r="F78" s="128" t="s">
        <v>57</v>
      </c>
      <c r="G78" s="127" t="s">
        <v>27</v>
      </c>
      <c r="H78" s="133" t="s">
        <v>131</v>
      </c>
      <c r="I78" s="128" t="s">
        <v>46</v>
      </c>
      <c r="J78" s="128" t="s">
        <v>132</v>
      </c>
      <c r="K78" s="128" t="s">
        <v>410</v>
      </c>
      <c r="L78" s="128" t="s">
        <v>411</v>
      </c>
    </row>
    <row r="79" spans="3:12">
      <c r="C79" s="322" t="s">
        <v>47</v>
      </c>
      <c r="D79" s="726">
        <v>40</v>
      </c>
      <c r="E79" s="323"/>
      <c r="F79" s="115">
        <v>30000</v>
      </c>
      <c r="G79" s="324">
        <f t="shared" ref="G79:G81" si="5">E79*F79</f>
        <v>0</v>
      </c>
      <c r="H79" s="325"/>
      <c r="I79" s="116" t="s">
        <v>699</v>
      </c>
      <c r="J79" s="116" t="str">
        <f>VLOOKUP(I79,Presupuesto!$B$11:$C$566,2,0)</f>
        <v>SERVICIOS DE CAPACITACION.</v>
      </c>
      <c r="K79" s="326" t="s">
        <v>1494</v>
      </c>
      <c r="L79" s="116" t="s">
        <v>394</v>
      </c>
    </row>
    <row r="80" spans="3:12">
      <c r="C80" s="99" t="s">
        <v>48</v>
      </c>
      <c r="D80" s="727"/>
      <c r="E80" s="200">
        <f>D79</f>
        <v>40</v>
      </c>
      <c r="F80" s="100">
        <v>50</v>
      </c>
      <c r="G80" s="97">
        <f t="shared" si="5"/>
        <v>2000</v>
      </c>
      <c r="H80" s="161" t="s">
        <v>129</v>
      </c>
      <c r="I80" s="98" t="s">
        <v>717</v>
      </c>
      <c r="J80" s="98" t="str">
        <f>VLOOKUP(I80,Presupuesto!$B$11:$C$566,2,0)</f>
        <v>SERVICIOS DE IMPRENTA PUBLIC.Y REPRODUCCION</v>
      </c>
      <c r="K80" s="98" t="s">
        <v>471</v>
      </c>
      <c r="L80" s="98" t="s">
        <v>412</v>
      </c>
    </row>
    <row r="81" spans="3:12">
      <c r="C81" s="99" t="s">
        <v>49</v>
      </c>
      <c r="D81" s="727"/>
      <c r="E81" s="200">
        <f>D79</f>
        <v>40</v>
      </c>
      <c r="F81" s="100">
        <v>37.5</v>
      </c>
      <c r="G81" s="97">
        <f t="shared" si="5"/>
        <v>1500</v>
      </c>
      <c r="H81" s="161" t="s">
        <v>129</v>
      </c>
      <c r="I81" s="98" t="s">
        <v>792</v>
      </c>
      <c r="J81" s="98" t="str">
        <f>VLOOKUP(I81,Presupuesto!$B$11:$C$566,2,0)</f>
        <v>ALIMENTOS B EBIDAS PARA PERSONAS</v>
      </c>
      <c r="K81" s="98" t="s">
        <v>471</v>
      </c>
      <c r="L81" s="98" t="s">
        <v>396</v>
      </c>
    </row>
    <row r="82" spans="3:12" ht="15.75" thickBot="1">
      <c r="C82" s="216" t="s">
        <v>430</v>
      </c>
      <c r="D82" s="217">
        <v>0</v>
      </c>
      <c r="E82" s="327">
        <v>0</v>
      </c>
      <c r="F82" s="104">
        <f>HLOOKUP(C82,$AH$2:$BU$3,2,0)</f>
        <v>1150</v>
      </c>
      <c r="G82" s="105">
        <f>D82*E82*F82</f>
        <v>0</v>
      </c>
      <c r="H82" s="328"/>
      <c r="I82" s="329" t="s">
        <v>301</v>
      </c>
      <c r="J82" s="106" t="str">
        <f>VLOOKUP(I82,Presupuesto!$B$11:$C$566,2,0)</f>
        <v>VIATICOS (26200-00)</v>
      </c>
      <c r="K82" s="330" t="s">
        <v>471</v>
      </c>
      <c r="L82" s="330" t="s">
        <v>412</v>
      </c>
    </row>
    <row r="83" spans="3:12">
      <c r="C83" s="93"/>
      <c r="E83" s="112"/>
      <c r="F83" s="112"/>
      <c r="G83" s="112"/>
      <c r="H83" s="174"/>
      <c r="I83" s="112"/>
      <c r="J83" s="112"/>
      <c r="K83" s="112"/>
    </row>
    <row r="84" spans="3:12" ht="15.75" thickBot="1"/>
    <row r="85" spans="3:12" ht="15.75" thickBot="1">
      <c r="C85" s="29" t="s">
        <v>43</v>
      </c>
      <c r="D85" s="30">
        <f>SUM(G92:G93)</f>
        <v>7000</v>
      </c>
      <c r="E85" s="93"/>
      <c r="F85" s="93"/>
      <c r="G85" s="93"/>
      <c r="H85" s="76"/>
      <c r="I85" s="76"/>
      <c r="J85" s="76"/>
      <c r="K85" s="112"/>
    </row>
    <row r="86" spans="3:12">
      <c r="C86" s="70"/>
      <c r="D86" s="31"/>
      <c r="E86" s="93"/>
      <c r="F86" s="93"/>
      <c r="G86" s="93"/>
      <c r="H86" s="76"/>
      <c r="I86" s="76"/>
      <c r="J86" s="76"/>
      <c r="K86" s="112"/>
    </row>
    <row r="87" spans="3:12">
      <c r="C87" s="70"/>
      <c r="D87" s="31"/>
      <c r="E87" s="93"/>
      <c r="F87" s="93"/>
      <c r="G87" s="93"/>
      <c r="H87" s="76"/>
      <c r="I87" s="76"/>
      <c r="J87" s="76"/>
      <c r="K87" s="112"/>
    </row>
    <row r="88" spans="3:12" ht="15.75">
      <c r="C88" s="202" t="s">
        <v>392</v>
      </c>
      <c r="D88" s="361" t="s">
        <v>1949</v>
      </c>
      <c r="E88" s="93"/>
      <c r="F88" s="93"/>
      <c r="G88" s="93"/>
      <c r="H88" s="76"/>
      <c r="I88" s="76"/>
      <c r="J88" s="76"/>
      <c r="K88" s="112"/>
    </row>
    <row r="89" spans="3:12" ht="18.75">
      <c r="C89" s="210" t="str">
        <f>IFERROR(VLOOKUP(D88,'1. Desarrollo e Innov. Curricu.'!$E:$F,2,FALSE),IFERROR(VLOOKUP(D88,'2. Investigación Científica'!$E:$F,2,FALSE),IFERROR(VLOOKUP(D88,'3. Vinculación Univ. Sociedad'!$E:$F,2,FALSE),IFERROR(VLOOKUP(D88,'4. Docencia y Profesorado Univ.'!$E:$F,2,FALSE),IFERROR(VLOOKUP(D88,'5. Estudiantes y Graduados'!$E:$F,2,FALSE),IFERROR(VLOOKUP(D88,'11. Gestion Administrativa'!$E:$F,2,FALSE),IFERROR(VLOOKUP(D88,'13. Gestión Académica'!$E:$F,2,FALSE),IFERROR(VLOOKUP(D88,'8. Asegura. de la Calid. y M'!$E:$F,2,FALSE),IFERROR(VLOOKUP(D88,'6. Gestión del Conocimiento'!$E:$F,2,FALSE),IFERROR(VLOOKUP(D88,'15. Gobernabilidad y Proceso...'!$E:$F,2,FALSE),IFERROR(VLOOKUP(D88,'12. Gestión del Talento Humano'!$E:$F,2,FALSE),IFERROR(VLOOKUP(D88,'14. Internacional... de la E.S.'!$E:$F,2,FALSE),IFERROR(VLOOKUP(D88,'10. Posgrado'!$E:$F,2,FALSE),IFERROR(VLOOKUP(D88,'17. Gestión TIC'!$E:$F,2,FALSE),IFERROR(VLOOKUP(D88,'16. Desa. del Sistema Educ.Sup.'!$E:$F,2,FALSE),IFERROR(VLOOKUP(D88,'9. Cultura de Inno. Insti...'!$E:$F,2,FALSE),VLOOKUP(D88,'7. Lo Esencial de la Reforma U.'!$E:$F,2,0)))))))))))))))))</f>
        <v>Capacitacion analisis microbiologico de aguas en CESCO</v>
      </c>
      <c r="D89" s="31"/>
      <c r="E89" s="93"/>
      <c r="F89" s="93"/>
      <c r="G89" s="93"/>
      <c r="H89" s="76"/>
      <c r="I89" s="76"/>
      <c r="J89" s="76"/>
      <c r="K89" s="112"/>
    </row>
    <row r="90" spans="3:12" ht="15.75" thickBot="1">
      <c r="C90" s="70"/>
      <c r="D90" s="31"/>
      <c r="E90" s="93"/>
      <c r="F90" s="93"/>
      <c r="G90" s="93"/>
      <c r="H90" s="76"/>
      <c r="I90" s="76"/>
      <c r="J90" s="76"/>
      <c r="K90" s="112"/>
    </row>
    <row r="91" spans="3:12" ht="30.75" thickBot="1">
      <c r="C91" s="126" t="s">
        <v>44</v>
      </c>
      <c r="D91" s="129" t="s">
        <v>45</v>
      </c>
      <c r="E91" s="128" t="s">
        <v>55</v>
      </c>
      <c r="F91" s="128" t="s">
        <v>57</v>
      </c>
      <c r="G91" s="127" t="s">
        <v>27</v>
      </c>
      <c r="H91" s="133" t="s">
        <v>131</v>
      </c>
      <c r="I91" s="128" t="s">
        <v>46</v>
      </c>
      <c r="J91" s="128" t="s">
        <v>132</v>
      </c>
      <c r="K91" s="128" t="s">
        <v>410</v>
      </c>
      <c r="L91" s="128" t="s">
        <v>411</v>
      </c>
    </row>
    <row r="92" spans="3:12">
      <c r="C92" s="322" t="s">
        <v>47</v>
      </c>
      <c r="D92" s="569"/>
      <c r="E92" s="323"/>
      <c r="F92" s="115">
        <v>30000</v>
      </c>
      <c r="G92" s="324">
        <f t="shared" ref="G92" si="6">E92*F92</f>
        <v>0</v>
      </c>
      <c r="H92" s="325"/>
      <c r="I92" s="116" t="s">
        <v>699</v>
      </c>
      <c r="J92" s="116" t="str">
        <f>VLOOKUP(I92,Presupuesto!$B$11:$C$566,2,0)</f>
        <v>SERVICIOS DE CAPACITACION.</v>
      </c>
      <c r="K92" s="326" t="s">
        <v>1494</v>
      </c>
      <c r="L92" s="116" t="s">
        <v>394</v>
      </c>
    </row>
    <row r="93" spans="3:12" ht="15.75" thickBot="1">
      <c r="C93" s="216" t="s">
        <v>428</v>
      </c>
      <c r="D93" s="217">
        <v>2</v>
      </c>
      <c r="E93" s="327">
        <v>1.75</v>
      </c>
      <c r="F93" s="104">
        <f>HLOOKUP(C93,$AH$2:$BU$3,2,0)</f>
        <v>2000</v>
      </c>
      <c r="G93" s="105">
        <f>D93*E93*F93</f>
        <v>7000</v>
      </c>
      <c r="H93" s="328" t="s">
        <v>129</v>
      </c>
      <c r="I93" s="329" t="s">
        <v>301</v>
      </c>
      <c r="J93" s="106" t="str">
        <f>VLOOKUP(I93,Presupuesto!$B$11:$C$566,2,0)</f>
        <v>VIATICOS (26200-00)</v>
      </c>
      <c r="K93" s="330" t="s">
        <v>1358</v>
      </c>
      <c r="L93" s="330" t="s">
        <v>412</v>
      </c>
    </row>
    <row r="95" spans="3:12" ht="15.75" thickBot="1"/>
    <row r="96" spans="3:12" ht="15.75" thickBot="1">
      <c r="C96" s="29" t="s">
        <v>43</v>
      </c>
      <c r="D96" s="30">
        <f>SUM(G103:G106)</f>
        <v>21300</v>
      </c>
      <c r="E96" s="93"/>
      <c r="F96" s="93"/>
      <c r="G96" s="93"/>
      <c r="H96" s="76"/>
      <c r="I96" s="76"/>
      <c r="J96" s="76"/>
      <c r="K96" s="112"/>
    </row>
    <row r="97" spans="3:12">
      <c r="C97" s="70"/>
      <c r="D97" s="31"/>
      <c r="E97" s="93"/>
      <c r="F97" s="93"/>
      <c r="G97" s="93"/>
      <c r="H97" s="76"/>
      <c r="I97" s="76"/>
      <c r="J97" s="76"/>
      <c r="K97" s="112"/>
    </row>
    <row r="98" spans="3:12">
      <c r="C98" s="70"/>
      <c r="D98" s="31"/>
      <c r="E98" s="93"/>
      <c r="F98" s="93"/>
      <c r="G98" s="93"/>
      <c r="H98" s="76"/>
      <c r="I98" s="76"/>
      <c r="J98" s="76"/>
      <c r="K98" s="112"/>
    </row>
    <row r="99" spans="3:12" ht="15.75">
      <c r="C99" s="202" t="s">
        <v>392</v>
      </c>
      <c r="D99" s="361" t="s">
        <v>1991</v>
      </c>
      <c r="E99" s="93"/>
      <c r="F99" s="93"/>
      <c r="G99" s="93"/>
      <c r="H99" s="76"/>
      <c r="I99" s="76"/>
      <c r="J99" s="76"/>
      <c r="K99" s="112"/>
    </row>
    <row r="100" spans="3:12" ht="18.75">
      <c r="C100" s="210" t="str">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Brindar a docentes, estudiantes y graduados  4 cursos en  RCP,  buenas practicas clinicas, seguridad alimentaria y quirofano.</v>
      </c>
      <c r="D100" s="31"/>
      <c r="E100" s="93"/>
      <c r="F100" s="93"/>
      <c r="G100" s="93"/>
      <c r="H100" s="76"/>
      <c r="I100" s="76"/>
      <c r="J100" s="76"/>
      <c r="K100" s="112"/>
    </row>
    <row r="101" spans="3:12" ht="15.75" thickBot="1">
      <c r="C101" s="70"/>
      <c r="D101" s="31"/>
      <c r="E101" s="93"/>
      <c r="F101" s="93"/>
      <c r="G101" s="93"/>
      <c r="H101" s="76"/>
      <c r="I101" s="76"/>
      <c r="J101" s="76"/>
      <c r="K101" s="112"/>
    </row>
    <row r="102" spans="3:12" ht="30.75" thickBot="1">
      <c r="C102" s="126" t="s">
        <v>44</v>
      </c>
      <c r="D102" s="129" t="s">
        <v>45</v>
      </c>
      <c r="E102" s="128" t="s">
        <v>55</v>
      </c>
      <c r="F102" s="128" t="s">
        <v>57</v>
      </c>
      <c r="G102" s="127" t="s">
        <v>27</v>
      </c>
      <c r="H102" s="133" t="s">
        <v>131</v>
      </c>
      <c r="I102" s="128" t="s">
        <v>46</v>
      </c>
      <c r="J102" s="128" t="s">
        <v>132</v>
      </c>
      <c r="K102" s="128" t="s">
        <v>410</v>
      </c>
      <c r="L102" s="128" t="s">
        <v>411</v>
      </c>
    </row>
    <row r="103" spans="3:12">
      <c r="C103" s="322" t="s">
        <v>47</v>
      </c>
      <c r="D103" s="726">
        <v>120</v>
      </c>
      <c r="E103" s="323"/>
      <c r="F103" s="115">
        <v>30000</v>
      </c>
      <c r="G103" s="324">
        <f t="shared" ref="G103:G105" si="7">E103*F103</f>
        <v>0</v>
      </c>
      <c r="H103" s="325"/>
      <c r="I103" s="116" t="s">
        <v>699</v>
      </c>
      <c r="J103" s="116" t="str">
        <f>VLOOKUP(I103,Presupuesto!$B$11:$C$566,2,0)</f>
        <v>SERVICIOS DE CAPACITACION.</v>
      </c>
      <c r="K103" s="326" t="s">
        <v>1494</v>
      </c>
      <c r="L103" s="116" t="s">
        <v>394</v>
      </c>
    </row>
    <row r="104" spans="3:12">
      <c r="C104" s="99" t="s">
        <v>1995</v>
      </c>
      <c r="D104" s="727"/>
      <c r="E104" s="200">
        <f>D103</f>
        <v>120</v>
      </c>
      <c r="F104" s="100">
        <v>15</v>
      </c>
      <c r="G104" s="97">
        <f t="shared" si="7"/>
        <v>1800</v>
      </c>
      <c r="H104" s="161" t="s">
        <v>129</v>
      </c>
      <c r="I104" s="98" t="s">
        <v>717</v>
      </c>
      <c r="J104" s="98" t="str">
        <f>VLOOKUP(I104,Presupuesto!$B$11:$C$566,2,0)</f>
        <v>SERVICIOS DE IMPRENTA PUBLIC.Y REPRODUCCION</v>
      </c>
      <c r="K104" s="98" t="s">
        <v>1360</v>
      </c>
      <c r="L104" s="98" t="s">
        <v>412</v>
      </c>
    </row>
    <row r="105" spans="3:12">
      <c r="C105" s="99" t="s">
        <v>49</v>
      </c>
      <c r="D105" s="727"/>
      <c r="E105" s="200">
        <v>780</v>
      </c>
      <c r="F105" s="100">
        <v>25</v>
      </c>
      <c r="G105" s="97">
        <f t="shared" si="7"/>
        <v>19500</v>
      </c>
      <c r="H105" s="161" t="s">
        <v>129</v>
      </c>
      <c r="I105" s="98" t="s">
        <v>792</v>
      </c>
      <c r="J105" s="98" t="str">
        <f>VLOOKUP(I105,Presupuesto!$B$11:$C$566,2,0)</f>
        <v>ALIMENTOS B EBIDAS PARA PERSONAS</v>
      </c>
      <c r="K105" s="98" t="s">
        <v>1360</v>
      </c>
      <c r="L105" s="98" t="s">
        <v>396</v>
      </c>
    </row>
    <row r="106" spans="3:12" ht="15.75" thickBot="1">
      <c r="C106" s="216" t="s">
        <v>430</v>
      </c>
      <c r="D106" s="217">
        <v>0</v>
      </c>
      <c r="E106" s="327">
        <v>0</v>
      </c>
      <c r="F106" s="104">
        <f>HLOOKUP(C106,$AH$2:$BU$3,2,0)</f>
        <v>1150</v>
      </c>
      <c r="G106" s="105">
        <f>D106*E106*F106</f>
        <v>0</v>
      </c>
      <c r="H106" s="328"/>
      <c r="I106" s="329" t="s">
        <v>301</v>
      </c>
      <c r="J106" s="106" t="str">
        <f>VLOOKUP(I106,Presupuesto!$B$11:$C$566,2,0)</f>
        <v>VIATICOS (26200-00)</v>
      </c>
      <c r="K106" s="98" t="s">
        <v>1360</v>
      </c>
      <c r="L106" s="330" t="s">
        <v>412</v>
      </c>
    </row>
    <row r="107" spans="3:12">
      <c r="C107" s="93"/>
      <c r="E107" s="112"/>
      <c r="F107" s="112"/>
      <c r="G107" s="112"/>
      <c r="H107" s="174"/>
      <c r="I107" s="112"/>
      <c r="J107" s="112"/>
      <c r="K107" s="112"/>
    </row>
    <row r="108" spans="3:12" ht="15.75" thickBot="1"/>
    <row r="109" spans="3:12" ht="15.75" thickBot="1">
      <c r="C109" s="29" t="s">
        <v>43</v>
      </c>
      <c r="D109" s="30">
        <f>SUM(G116:G117)</f>
        <v>3600</v>
      </c>
      <c r="E109" s="93"/>
      <c r="F109" s="93"/>
      <c r="G109" s="93"/>
      <c r="H109" s="76"/>
      <c r="I109" s="76"/>
      <c r="J109" s="76"/>
      <c r="K109" s="112"/>
    </row>
    <row r="110" spans="3:12">
      <c r="C110" s="70"/>
      <c r="D110" s="31"/>
      <c r="E110" s="93"/>
      <c r="F110" s="93"/>
      <c r="G110" s="93"/>
      <c r="H110" s="76"/>
      <c r="I110" s="76"/>
      <c r="J110" s="76"/>
      <c r="K110" s="112"/>
    </row>
    <row r="111" spans="3:12">
      <c r="C111" s="70"/>
      <c r="D111" s="31"/>
      <c r="E111" s="93"/>
      <c r="F111" s="93"/>
      <c r="G111" s="93"/>
      <c r="H111" s="76"/>
      <c r="I111" s="76"/>
      <c r="J111" s="76"/>
      <c r="K111" s="112"/>
    </row>
    <row r="112" spans="3:12" ht="15.75">
      <c r="C112" s="202" t="s">
        <v>392</v>
      </c>
      <c r="D112" s="361" t="s">
        <v>2157</v>
      </c>
      <c r="E112" s="93"/>
      <c r="F112" s="93"/>
      <c r="G112" s="93"/>
      <c r="H112" s="76"/>
      <c r="I112" s="76"/>
      <c r="J112" s="76"/>
      <c r="K112" s="112"/>
    </row>
    <row r="113" spans="3:12" ht="18.75">
      <c r="C113" s="210" t="str">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Posgrado'!$E:$F,2,FALSE),IFERROR(VLOOKUP(D112,'17. Gestión TIC'!$E:$F,2,FALSE),IFERROR(VLOOKUP(D112,'16. Desa. del Sistema Educ.Sup.'!$E:$F,2,FALSE),IFERROR(VLOOKUP(D112,'9. Cultura de Inno. Insti...'!$E:$F,2,FALSE),VLOOKUP(D112,'7. Lo Esencial de la Reforma U.'!$E:$F,2,0)))))))))))))))))</f>
        <v xml:space="preserve">participación  como ponentes Nacionales al congreso nacional de Investigacion cientifica UNAH con al menos dos ponencias. </v>
      </c>
      <c r="D113" s="31"/>
      <c r="E113" s="93"/>
      <c r="F113" s="93"/>
      <c r="G113" s="93"/>
      <c r="H113" s="76"/>
      <c r="I113" s="76"/>
      <c r="J113" s="76"/>
      <c r="K113" s="112"/>
    </row>
    <row r="114" spans="3:12" ht="15.75" thickBot="1">
      <c r="C114" s="70"/>
      <c r="D114" s="31"/>
      <c r="E114" s="93"/>
      <c r="F114" s="93"/>
      <c r="G114" s="93"/>
      <c r="H114" s="76"/>
      <c r="I114" s="76"/>
      <c r="J114" s="76"/>
      <c r="K114" s="112"/>
    </row>
    <row r="115" spans="3:12" ht="30.75" thickBot="1">
      <c r="C115" s="126" t="s">
        <v>44</v>
      </c>
      <c r="D115" s="129" t="s">
        <v>45</v>
      </c>
      <c r="E115" s="128" t="s">
        <v>55</v>
      </c>
      <c r="F115" s="128" t="s">
        <v>57</v>
      </c>
      <c r="G115" s="127" t="s">
        <v>27</v>
      </c>
      <c r="H115" s="133" t="s">
        <v>131</v>
      </c>
      <c r="I115" s="128" t="s">
        <v>46</v>
      </c>
      <c r="J115" s="128" t="s">
        <v>132</v>
      </c>
      <c r="K115" s="128" t="s">
        <v>410</v>
      </c>
      <c r="L115" s="128" t="s">
        <v>411</v>
      </c>
    </row>
    <row r="116" spans="3:12">
      <c r="C116" s="109" t="s">
        <v>2070</v>
      </c>
      <c r="D116" s="670"/>
      <c r="E116" s="212">
        <v>1</v>
      </c>
      <c r="F116" s="119">
        <v>600</v>
      </c>
      <c r="G116" s="97">
        <f t="shared" ref="G116" si="8">E116*F116</f>
        <v>600</v>
      </c>
      <c r="H116" s="161" t="s">
        <v>129</v>
      </c>
      <c r="I116" s="622" t="s">
        <v>871</v>
      </c>
      <c r="J116" s="98" t="str">
        <f>VLOOKUP(I116,Presupuesto!$B$11:$C$566,2,0)</f>
        <v>GASOLINA</v>
      </c>
      <c r="K116" s="98" t="s">
        <v>1359</v>
      </c>
      <c r="L116" s="98" t="s">
        <v>412</v>
      </c>
    </row>
    <row r="117" spans="3:12" ht="15.75" thickBot="1">
      <c r="C117" s="216" t="s">
        <v>428</v>
      </c>
      <c r="D117" s="217">
        <v>2</v>
      </c>
      <c r="E117" s="327">
        <v>0.75</v>
      </c>
      <c r="F117" s="104">
        <f>HLOOKUP(C117,$AH$2:$BU$3,2,0)</f>
        <v>2000</v>
      </c>
      <c r="G117" s="105">
        <f>D117*E117*F117</f>
        <v>3000</v>
      </c>
      <c r="H117" s="328" t="s">
        <v>129</v>
      </c>
      <c r="I117" s="329" t="s">
        <v>301</v>
      </c>
      <c r="J117" s="106" t="str">
        <f>VLOOKUP(I117,Presupuesto!$B$11:$C$566,2,0)</f>
        <v>VIATICOS (26200-00)</v>
      </c>
      <c r="K117" s="330" t="s">
        <v>1359</v>
      </c>
      <c r="L117" s="330" t="s">
        <v>412</v>
      </c>
    </row>
    <row r="119" spans="3:12" ht="15.75" thickBot="1"/>
    <row r="120" spans="3:12" ht="15.75" thickBot="1">
      <c r="C120" s="29" t="s">
        <v>43</v>
      </c>
      <c r="D120" s="30">
        <f>SUM(G127:G127)</f>
        <v>4950</v>
      </c>
      <c r="E120" s="93"/>
      <c r="F120" s="93"/>
      <c r="G120" s="93"/>
      <c r="H120" s="76"/>
      <c r="I120" s="76"/>
      <c r="J120" s="76"/>
      <c r="K120" s="112"/>
    </row>
    <row r="121" spans="3:12">
      <c r="C121" s="70"/>
      <c r="D121" s="31"/>
      <c r="E121" s="93"/>
      <c r="F121" s="93"/>
      <c r="G121" s="93"/>
      <c r="H121" s="76"/>
      <c r="I121" s="76"/>
      <c r="J121" s="76"/>
      <c r="K121" s="112"/>
    </row>
    <row r="122" spans="3:12">
      <c r="C122" s="70"/>
      <c r="D122" s="31"/>
      <c r="E122" s="93"/>
      <c r="F122" s="93"/>
      <c r="G122" s="93"/>
      <c r="H122" s="76"/>
      <c r="I122" s="76"/>
      <c r="J122" s="76"/>
      <c r="K122" s="112"/>
    </row>
    <row r="123" spans="3:12" ht="15.75">
      <c r="C123" s="202" t="s">
        <v>392</v>
      </c>
      <c r="D123" s="361" t="s">
        <v>2179</v>
      </c>
      <c r="E123" s="93"/>
      <c r="F123" s="93"/>
      <c r="G123" s="93"/>
      <c r="H123" s="76"/>
      <c r="I123" s="76"/>
      <c r="J123" s="76"/>
      <c r="K123" s="112"/>
    </row>
    <row r="124" spans="3:12" ht="18.75">
      <c r="C124" s="210" t="str">
        <f>IFERROR(VLOOKUP(D123,'1. Desarrollo e Innov. Curricu.'!$E:$F,2,FALSE),IFERROR(VLOOKUP(D123,'2. Investigación Científica'!$E:$F,2,FALSE),IFERROR(VLOOKUP(D123,'3. Vinculación Univ. Sociedad'!$E:$F,2,FALSE),IFERROR(VLOOKUP(D123,'4. Docencia y Profesorado Univ.'!$E:$F,2,FALSE),IFERROR(VLOOKUP(D123,'5. Estudiantes y Graduados'!$E:$F,2,FALSE),IFERROR(VLOOKUP(D123,'11. Gestion Administrativa'!$E:$F,2,FALSE),IFERROR(VLOOKUP(D123,'13. Gestión Académica'!$E:$F,2,FALSE),IFERROR(VLOOKUP(D123,'8. Asegura. de la Calid. y M'!$E:$F,2,FALSE),IFERROR(VLOOKUP(D123,'6. Gestión del Conocimiento'!$E:$F,2,FALSE),IFERROR(VLOOKUP(D123,'15. Gobernabilidad y Proceso...'!$E:$F,2,FALSE),IFERROR(VLOOKUP(D123,'12. Gestión del Talento Humano'!$E:$F,2,FALSE),IFERROR(VLOOKUP(D123,'14. Internacional... de la E.S.'!$E:$F,2,FALSE),IFERROR(VLOOKUP(D123,'10. Posgrado'!$E:$F,2,FALSE),IFERROR(VLOOKUP(D123,'17. Gestión TIC'!$E:$F,2,FALSE),IFERROR(VLOOKUP(D123,'16. Desa. del Sistema Educ.Sup.'!$E:$F,2,FALSE),IFERROR(VLOOKUP(D123,'9. Cultura de Inno. Insti...'!$E:$F,2,FALSE),VLOOKUP(D123,'7. Lo Esencial de la Reforma U.'!$E:$F,2,0)))))))))))))))))</f>
        <v>Crear al menos 3 cursos a estudiantes de ing. agroindustrial</v>
      </c>
      <c r="D124" s="31"/>
      <c r="E124" s="93"/>
      <c r="F124" s="93"/>
      <c r="G124" s="93"/>
      <c r="H124" s="76"/>
      <c r="I124" s="76"/>
      <c r="J124" s="76"/>
      <c r="K124" s="112"/>
    </row>
    <row r="125" spans="3:12" ht="15.75" thickBot="1">
      <c r="C125" s="70"/>
      <c r="D125" s="31"/>
      <c r="E125" s="93"/>
      <c r="F125" s="93"/>
      <c r="G125" s="93"/>
      <c r="H125" s="76"/>
      <c r="I125" s="76"/>
      <c r="J125" s="76"/>
      <c r="K125" s="112"/>
    </row>
    <row r="126" spans="3:12" ht="30.75" thickBot="1">
      <c r="C126" s="126" t="s">
        <v>44</v>
      </c>
      <c r="D126" s="129" t="s">
        <v>45</v>
      </c>
      <c r="E126" s="128" t="s">
        <v>55</v>
      </c>
      <c r="F126" s="128" t="s">
        <v>57</v>
      </c>
      <c r="G126" s="127" t="s">
        <v>27</v>
      </c>
      <c r="H126" s="133" t="s">
        <v>131</v>
      </c>
      <c r="I126" s="128" t="s">
        <v>46</v>
      </c>
      <c r="J126" s="128" t="s">
        <v>132</v>
      </c>
      <c r="K126" s="128" t="s">
        <v>410</v>
      </c>
      <c r="L126" s="128" t="s">
        <v>411</v>
      </c>
    </row>
    <row r="127" spans="3:12" ht="15.75" thickBot="1">
      <c r="C127" s="216" t="s">
        <v>434</v>
      </c>
      <c r="D127" s="217">
        <v>2</v>
      </c>
      <c r="E127" s="327">
        <v>2.75</v>
      </c>
      <c r="F127" s="104">
        <f>HLOOKUP(C127,$AH$2:$BU$3,2,0)</f>
        <v>900</v>
      </c>
      <c r="G127" s="105">
        <f>D127*E127*F127</f>
        <v>4950</v>
      </c>
      <c r="H127" s="328" t="s">
        <v>129</v>
      </c>
      <c r="I127" s="329" t="s">
        <v>301</v>
      </c>
      <c r="J127" s="106" t="str">
        <f>VLOOKUP(I127,Presupuesto!$B$11:$C$566,2,0)</f>
        <v>VIATICOS (26200-00)</v>
      </c>
      <c r="K127" s="330" t="s">
        <v>1360</v>
      </c>
      <c r="L127" s="330" t="s">
        <v>412</v>
      </c>
    </row>
    <row r="128" spans="3:12">
      <c r="C128" s="93"/>
      <c r="E128" s="112"/>
      <c r="F128" s="112"/>
      <c r="G128" s="112"/>
      <c r="H128" s="174"/>
      <c r="I128" s="112"/>
      <c r="J128" s="112"/>
      <c r="K128" s="112"/>
    </row>
    <row r="129" spans="3:12" ht="15.75" thickBot="1"/>
    <row r="130" spans="3:12" ht="15.75" thickBot="1">
      <c r="C130" s="29" t="s">
        <v>43</v>
      </c>
      <c r="D130" s="30">
        <f>SUM(G137:G146)</f>
        <v>0</v>
      </c>
      <c r="E130" s="93"/>
      <c r="F130" s="93"/>
      <c r="G130" s="93"/>
      <c r="H130" s="76"/>
      <c r="I130" s="76"/>
      <c r="J130" s="76"/>
      <c r="K130" s="112"/>
    </row>
    <row r="131" spans="3:12">
      <c r="C131" s="70"/>
      <c r="D131" s="31"/>
      <c r="E131" s="93"/>
      <c r="F131" s="93"/>
      <c r="G131" s="93"/>
      <c r="H131" s="76"/>
      <c r="I131" s="76"/>
      <c r="J131" s="76"/>
      <c r="K131" s="112"/>
    </row>
    <row r="132" spans="3:12">
      <c r="C132" s="70"/>
      <c r="D132" s="31"/>
      <c r="E132" s="93"/>
      <c r="F132" s="93"/>
      <c r="G132" s="93"/>
      <c r="H132" s="76"/>
      <c r="I132" s="76"/>
      <c r="J132" s="76"/>
      <c r="K132" s="112"/>
    </row>
    <row r="133" spans="3:12" ht="15.75">
      <c r="C133" s="202" t="s">
        <v>392</v>
      </c>
      <c r="D133" s="361"/>
      <c r="E133" s="93"/>
      <c r="F133" s="93"/>
      <c r="G133" s="93"/>
      <c r="H133" s="76"/>
      <c r="I133" s="76"/>
      <c r="J133" s="76"/>
      <c r="K133" s="112"/>
    </row>
    <row r="134" spans="3:12" ht="18.75">
      <c r="C134" s="210"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12"/>
    </row>
    <row r="135" spans="3:12" ht="15.75" thickBot="1">
      <c r="C135" s="70"/>
      <c r="D135" s="31"/>
      <c r="E135" s="93"/>
      <c r="F135" s="93"/>
      <c r="G135" s="93"/>
      <c r="H135" s="76"/>
      <c r="I135" s="76"/>
      <c r="J135" s="76"/>
      <c r="K135" s="112"/>
    </row>
    <row r="136" spans="3:12" ht="30.75" thickBot="1">
      <c r="C136" s="126" t="s">
        <v>44</v>
      </c>
      <c r="D136" s="129" t="s">
        <v>45</v>
      </c>
      <c r="E136" s="128" t="s">
        <v>55</v>
      </c>
      <c r="F136" s="128" t="s">
        <v>57</v>
      </c>
      <c r="G136" s="127" t="s">
        <v>27</v>
      </c>
      <c r="H136" s="133" t="s">
        <v>131</v>
      </c>
      <c r="I136" s="128" t="s">
        <v>46</v>
      </c>
      <c r="J136" s="128" t="s">
        <v>132</v>
      </c>
      <c r="K136" s="128" t="s">
        <v>410</v>
      </c>
      <c r="L136" s="128" t="s">
        <v>411</v>
      </c>
    </row>
    <row r="137" spans="3:12">
      <c r="C137" s="322" t="s">
        <v>47</v>
      </c>
      <c r="D137" s="726"/>
      <c r="E137" s="323"/>
      <c r="F137" s="115">
        <v>30000</v>
      </c>
      <c r="G137" s="324">
        <f t="shared" ref="G137:G145" si="9">E137*F137</f>
        <v>0</v>
      </c>
      <c r="H137" s="325"/>
      <c r="I137" s="116" t="s">
        <v>699</v>
      </c>
      <c r="J137" s="116" t="str">
        <f>VLOOKUP(I137,Presupuesto!$B$11:$C$566,2,0)</f>
        <v>SERVICIOS DE CAPACITACION.</v>
      </c>
      <c r="K137" s="326" t="s">
        <v>1494</v>
      </c>
      <c r="L137" s="116" t="s">
        <v>394</v>
      </c>
    </row>
    <row r="138" spans="3:12">
      <c r="C138" s="99" t="s">
        <v>48</v>
      </c>
      <c r="D138" s="727"/>
      <c r="E138" s="200">
        <f>D137</f>
        <v>0</v>
      </c>
      <c r="F138" s="100">
        <v>50</v>
      </c>
      <c r="G138" s="97">
        <f t="shared" si="9"/>
        <v>0</v>
      </c>
      <c r="H138" s="161"/>
      <c r="I138" s="98" t="s">
        <v>717</v>
      </c>
      <c r="J138" s="98" t="str">
        <f>VLOOKUP(I138,Presupuesto!$B$11:$C$566,2,0)</f>
        <v>SERVICIOS DE IMPRENTA PUBLIC.Y REPRODUCCION</v>
      </c>
      <c r="K138" s="98" t="str">
        <f>$K$137</f>
        <v>Gestión Tecnologías de Información y Comunicación</v>
      </c>
      <c r="L138" s="98" t="s">
        <v>412</v>
      </c>
    </row>
    <row r="139" spans="3:12">
      <c r="C139" s="99" t="s">
        <v>49</v>
      </c>
      <c r="D139" s="727"/>
      <c r="E139" s="200">
        <f>D137</f>
        <v>0</v>
      </c>
      <c r="F139" s="100">
        <v>150</v>
      </c>
      <c r="G139" s="97">
        <f t="shared" si="9"/>
        <v>0</v>
      </c>
      <c r="H139" s="161"/>
      <c r="I139" s="98" t="s">
        <v>792</v>
      </c>
      <c r="J139" s="98" t="str">
        <f>VLOOKUP(I139,Presupuesto!$B$11:$C$566,2,0)</f>
        <v>ALIMENTOS B EBIDAS PARA PERSONAS</v>
      </c>
      <c r="K139" s="98" t="str">
        <f t="shared" ref="K139:K146" si="10">$K$137</f>
        <v>Gestión Tecnologías de Información y Comunicación</v>
      </c>
      <c r="L139" s="98" t="s">
        <v>396</v>
      </c>
    </row>
    <row r="140" spans="3:12">
      <c r="C140" s="99" t="s">
        <v>50</v>
      </c>
      <c r="D140" s="727"/>
      <c r="E140" s="151">
        <v>0</v>
      </c>
      <c r="F140" s="118">
        <v>10000</v>
      </c>
      <c r="G140" s="97">
        <f t="shared" si="9"/>
        <v>0</v>
      </c>
      <c r="H140" s="161"/>
      <c r="I140" s="317" t="s">
        <v>300</v>
      </c>
      <c r="J140" s="98" t="str">
        <f>VLOOKUP(I140,Presupuesto!$B$11:$C$566,2,0)</f>
        <v>PASAJES (26100-00)</v>
      </c>
      <c r="K140" s="98" t="str">
        <f t="shared" si="10"/>
        <v>Gestión Tecnologías de Información y Comunicación</v>
      </c>
      <c r="L140" s="98" t="s">
        <v>412</v>
      </c>
    </row>
    <row r="141" spans="3:12">
      <c r="C141" s="99" t="s">
        <v>417</v>
      </c>
      <c r="D141" s="727"/>
      <c r="E141" s="151">
        <v>0</v>
      </c>
      <c r="F141" s="118">
        <v>250</v>
      </c>
      <c r="G141" s="97">
        <f t="shared" si="9"/>
        <v>0</v>
      </c>
      <c r="H141" s="161"/>
      <c r="I141" s="98" t="s">
        <v>821</v>
      </c>
      <c r="J141" s="98" t="str">
        <f>VLOOKUP(I141,Presupuesto!$B$11:$C$566,2,0)</f>
        <v>PRODUCTOS PAPEL Y CARTON</v>
      </c>
      <c r="K141" s="98" t="str">
        <f t="shared" si="10"/>
        <v>Gestión Tecnologías de Información y Comunicación</v>
      </c>
      <c r="L141" s="98" t="s">
        <v>412</v>
      </c>
    </row>
    <row r="142" spans="3:12">
      <c r="C142" s="99" t="s">
        <v>51</v>
      </c>
      <c r="D142" s="727"/>
      <c r="E142" s="200">
        <f>(D137*25)/500</f>
        <v>0</v>
      </c>
      <c r="F142" s="100">
        <v>85</v>
      </c>
      <c r="G142" s="97">
        <f t="shared" si="9"/>
        <v>0</v>
      </c>
      <c r="H142" s="161"/>
      <c r="I142" s="98" t="s">
        <v>821</v>
      </c>
      <c r="J142" s="98" t="str">
        <f>VLOOKUP(I142,Presupuesto!$B$11:$C$566,2,0)</f>
        <v>PRODUCTOS PAPEL Y CARTON</v>
      </c>
      <c r="K142" s="98" t="str">
        <f t="shared" si="10"/>
        <v>Gestión Tecnologías de Información y Comunicación</v>
      </c>
      <c r="L142" s="98" t="s">
        <v>412</v>
      </c>
    </row>
    <row r="143" spans="3:12">
      <c r="C143" s="99" t="s">
        <v>123</v>
      </c>
      <c r="D143" s="727"/>
      <c r="E143" s="200">
        <f>D137/12</f>
        <v>0</v>
      </c>
      <c r="F143" s="100">
        <v>36</v>
      </c>
      <c r="G143" s="97">
        <f t="shared" si="9"/>
        <v>0</v>
      </c>
      <c r="H143" s="161"/>
      <c r="I143" s="98" t="s">
        <v>942</v>
      </c>
      <c r="J143" s="98" t="str">
        <f>VLOOKUP(I143,Presupuesto!$B$11:$C$566,2,0)</f>
        <v>UTILES DE ESCRITORIO, OFICINA Y ENSE¥ANZA</v>
      </c>
      <c r="K143" s="98" t="str">
        <f t="shared" si="10"/>
        <v>Gestión Tecnologías de Información y Comunicación</v>
      </c>
      <c r="L143" s="98" t="s">
        <v>412</v>
      </c>
    </row>
    <row r="144" spans="3:12">
      <c r="C144" s="99" t="s">
        <v>34</v>
      </c>
      <c r="D144" s="727"/>
      <c r="E144" s="200">
        <f>D137/12</f>
        <v>0</v>
      </c>
      <c r="F144" s="100">
        <v>80</v>
      </c>
      <c r="G144" s="97">
        <f t="shared" si="9"/>
        <v>0</v>
      </c>
      <c r="H144" s="161"/>
      <c r="I144" s="98" t="s">
        <v>942</v>
      </c>
      <c r="J144" s="98" t="str">
        <f>VLOOKUP(I144,Presupuesto!$B$11:$C$566,2,0)</f>
        <v>UTILES DE ESCRITORIO, OFICINA Y ENSE¥ANZA</v>
      </c>
      <c r="K144" s="98" t="str">
        <f t="shared" si="10"/>
        <v>Gestión Tecnologías de Información y Comunicación</v>
      </c>
      <c r="L144" s="98" t="s">
        <v>412</v>
      </c>
    </row>
    <row r="145" spans="3:12">
      <c r="C145" s="109" t="s">
        <v>52</v>
      </c>
      <c r="D145" s="727"/>
      <c r="E145" s="212">
        <v>0</v>
      </c>
      <c r="F145" s="119">
        <v>25</v>
      </c>
      <c r="G145" s="97">
        <f t="shared" si="9"/>
        <v>0</v>
      </c>
      <c r="H145" s="161"/>
      <c r="I145" s="98" t="s">
        <v>942</v>
      </c>
      <c r="J145" s="98" t="str">
        <f>VLOOKUP(I145,Presupuesto!$B$11:$C$566,2,0)</f>
        <v>UTILES DE ESCRITORIO, OFICINA Y ENSE¥ANZA</v>
      </c>
      <c r="K145" s="98" t="str">
        <f t="shared" si="10"/>
        <v>Gestión Tecnologías de Información y Comunicación</v>
      </c>
      <c r="L145" s="98" t="s">
        <v>412</v>
      </c>
    </row>
    <row r="146" spans="3:12" ht="15.75" thickBot="1">
      <c r="C146" s="216" t="s">
        <v>430</v>
      </c>
      <c r="D146" s="217">
        <v>0</v>
      </c>
      <c r="E146" s="327">
        <v>0</v>
      </c>
      <c r="F146" s="104">
        <f>HLOOKUP(C146,$AH$2:$BU$3,2,0)</f>
        <v>1150</v>
      </c>
      <c r="G146" s="105">
        <f>D146*E146*F146</f>
        <v>0</v>
      </c>
      <c r="H146" s="328"/>
      <c r="I146" s="329" t="s">
        <v>301</v>
      </c>
      <c r="J146" s="106" t="str">
        <f>VLOOKUP(I146,Presupuesto!$B$11:$C$566,2,0)</f>
        <v>VIATICOS (26200-00)</v>
      </c>
      <c r="K146" s="330" t="str">
        <f t="shared" si="10"/>
        <v>Gestión Tecnologías de Información y Comunicación</v>
      </c>
      <c r="L146" s="330" t="s">
        <v>412</v>
      </c>
    </row>
  </sheetData>
  <protectedRanges>
    <protectedRange password="DE9D" sqref="K79 K92 K29:K31 K66:K69 K103 H16:I19 K16:L19 K137 D16:F19" name="bloqueo"/>
  </protectedRanges>
  <mergeCells count="8">
    <mergeCell ref="D137:D145"/>
    <mergeCell ref="D103:D105"/>
    <mergeCell ref="D17:D18"/>
    <mergeCell ref="D29:D30"/>
    <mergeCell ref="D41:D42"/>
    <mergeCell ref="D66:D68"/>
    <mergeCell ref="D79:D81"/>
    <mergeCell ref="D53:D54"/>
  </mergeCells>
  <dataValidations count="7">
    <dataValidation type="list" allowBlank="1" showInputMessage="1" showErrorMessage="1" sqref="C19 C31 C43 C69 C82 C93 C106 C117 C127 C146 C55">
      <formula1>$AH$2:$BU$2</formula1>
    </dataValidation>
    <dataValidation type="list" allowBlank="1" showInputMessage="1" showErrorMessage="1" errorTitle="¡Ingreso Inválido!" error="Seleccione una opción de la lista" promptTitle="Mes Requerido" prompt="Seleccione el mes en el que requiere el recurso." sqref="L137:L146 L17:L19 L29:L31 L41:L43 L53:L55 L66:L69 L79:L82 L92:L93 L103:L106 L116:L117 L127">
      <formula1>$U$2:$AF$2</formula1>
    </dataValidation>
    <dataValidation type="list" allowBlank="1" showInputMessage="1" showErrorMessage="1" errorTitle="¡Ingreso no valido!" error="Favor ingrese un elemento de la lista." promptTitle="Tipo de Presupuesto" prompt="Seleccione una opción de la lista." sqref="H137:H146 H17:H19 H29:H31 H41:H43 H53:H55 H66:H69 H79:H82 H92:H93 H103:H106 H116:H117 H127">
      <formula1>$S$2:$T$2</formula1>
    </dataValidation>
    <dataValidation type="list" allowBlank="1" showInputMessage="1" showErrorMessage="1" errorTitle="¡Ingreso Inválido!" error="Verifique el valor ingresado.&#10;" sqref="I137:I146 I17:I19 I29:I31 I41:I43 I53:I55 I66:I69 I79:I82 I92:I93 I103:I106 I117 I127">
      <formula1>$A$1:$UI$1</formula1>
    </dataValidation>
    <dataValidation type="list" allowBlank="1" showInputMessage="1" showErrorMessage="1" sqref="K138:K146 K17:K19 K41:K43 K53:K55 K80:K82 K93 K104:K106 K116:K117 K127">
      <formula1>$A$2:$P$2</formula1>
    </dataValidation>
    <dataValidation type="list" allowBlank="1" showInputMessage="1" showErrorMessage="1" errorTitle="¡Ingreso Inválido!" error="Seleccione una opción de la lista." promptTitle="Dimensión Estratégica" prompt="Seleccione una opción de la lista." sqref="K137 K29:K31 K79 K92 K103 K66:K69">
      <formula1>$A$2:$Q$2</formula1>
    </dataValidation>
    <dataValidation type="list" allowBlank="1" showInputMessage="1" showErrorMessage="1" errorTitle="¡Ingreso Inválido!" error="Verifique el valor ingresado." promptTitle="Ingrese el Objeto de Gasto" prompt="Ingrese el Objeto de Gasto" sqref="I116">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835"/>
  <sheetViews>
    <sheetView showGridLines="0" topLeftCell="A4" zoomScale="84" zoomScaleNormal="84" workbookViewId="0">
      <selection activeCell="A76" sqref="A76"/>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1441</v>
      </c>
      <c r="K2" s="122" t="s">
        <v>1364</v>
      </c>
      <c r="L2" s="122" t="s">
        <v>1365</v>
      </c>
      <c r="M2" s="122" t="s">
        <v>1366</v>
      </c>
      <c r="N2" s="122" t="s">
        <v>1367</v>
      </c>
      <c r="O2" s="122" t="s">
        <v>1368</v>
      </c>
      <c r="P2" s="122" t="s">
        <v>1456</v>
      </c>
      <c r="Q2" s="122" t="s">
        <v>1494</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c r="BZ3" s="300">
        <v>43674.39</v>
      </c>
      <c r="CA3" s="300">
        <v>39703.99</v>
      </c>
      <c r="CB3" s="300">
        <v>35733.589999999997</v>
      </c>
      <c r="CC3" s="300">
        <v>31763.19</v>
      </c>
      <c r="CD3" s="300">
        <v>29777.99</v>
      </c>
      <c r="CE3" s="300">
        <v>27792.79</v>
      </c>
      <c r="CF3" s="300">
        <v>18859.39</v>
      </c>
      <c r="CG3" s="300">
        <v>17866.8</v>
      </c>
      <c r="CH3" s="300">
        <v>13896.4</v>
      </c>
      <c r="CI3" s="300">
        <v>15004.09</v>
      </c>
      <c r="CJ3" s="300">
        <v>13238.9</v>
      </c>
      <c r="CK3" s="300">
        <v>12356.31</v>
      </c>
      <c r="CL3" s="300">
        <v>463.22</v>
      </c>
      <c r="CM3" s="300">
        <v>2007.3</v>
      </c>
    </row>
    <row r="5" spans="1:555" ht="52.5">
      <c r="C5" s="195" t="s">
        <v>128</v>
      </c>
      <c r="D5" s="455">
        <f>SUMIF(C:C,$C$10,D:D)</f>
        <v>2278649.61</v>
      </c>
      <c r="CA5" s="300"/>
    </row>
    <row r="6" spans="1:555">
      <c r="CA6" s="300"/>
    </row>
    <row r="7" spans="1:555">
      <c r="CA7" s="300"/>
    </row>
    <row r="8" spans="1:555">
      <c r="C8" s="70" t="s">
        <v>54</v>
      </c>
      <c r="D8" s="79"/>
      <c r="E8" s="70"/>
      <c r="F8" s="70"/>
      <c r="G8" s="70"/>
      <c r="H8" s="79"/>
      <c r="I8" s="70"/>
      <c r="J8" s="70"/>
      <c r="CA8" s="300"/>
    </row>
    <row r="9" spans="1:555" ht="15.75" thickBot="1">
      <c r="C9" s="94"/>
      <c r="D9" s="79"/>
      <c r="E9" s="94"/>
      <c r="F9" s="94"/>
      <c r="G9" s="94"/>
      <c r="H9" s="79"/>
      <c r="I9" s="94"/>
      <c r="J9" s="121"/>
      <c r="CA9" s="300"/>
    </row>
    <row r="10" spans="1:555" ht="15.75" thickBot="1">
      <c r="C10" s="69" t="s">
        <v>43</v>
      </c>
      <c r="D10" s="30">
        <f>SUM(G17:G19)</f>
        <v>375202.66499999998</v>
      </c>
      <c r="E10" s="93"/>
      <c r="F10" s="93"/>
      <c r="G10" s="93"/>
      <c r="H10" s="76"/>
      <c r="I10" s="76"/>
      <c r="J10" s="76"/>
      <c r="K10" s="153"/>
      <c r="CA10" s="300"/>
    </row>
    <row r="11" spans="1:555">
      <c r="B11" s="177"/>
      <c r="D11" s="31"/>
      <c r="E11" s="93"/>
      <c r="F11" s="93"/>
      <c r="G11" s="93"/>
      <c r="H11" s="76"/>
      <c r="I11" s="76"/>
      <c r="J11" s="76"/>
      <c r="K11" s="153"/>
      <c r="CA11" s="300"/>
    </row>
    <row r="12" spans="1:555">
      <c r="B12" s="177"/>
      <c r="D12" s="31"/>
      <c r="E12" s="93"/>
      <c r="F12" s="93"/>
      <c r="G12" s="93"/>
      <c r="H12" s="76"/>
      <c r="I12" s="76"/>
      <c r="J12" s="76"/>
      <c r="K12" s="153"/>
      <c r="CA12" s="300"/>
    </row>
    <row r="13" spans="1:555" ht="15.75">
      <c r="C13" s="202" t="s">
        <v>392</v>
      </c>
      <c r="D13" s="361" t="s">
        <v>1902</v>
      </c>
      <c r="E13" s="93"/>
      <c r="F13" s="93"/>
      <c r="G13" s="93"/>
      <c r="H13" s="76"/>
      <c r="I13" s="76"/>
      <c r="J13" s="76"/>
      <c r="K13" s="153"/>
      <c r="CA13" s="300"/>
    </row>
    <row r="14" spans="1:555" ht="18.75">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Petición de contratación de un profesor auxiliar  Permanate para brindar la asignatura de Historia de Honduras.</v>
      </c>
      <c r="D14" s="31"/>
      <c r="E14" s="93"/>
      <c r="F14" s="93"/>
      <c r="G14" s="93"/>
      <c r="H14" s="76"/>
      <c r="I14" s="76"/>
      <c r="J14" s="76"/>
      <c r="K14" s="153"/>
      <c r="CA14" s="300"/>
    </row>
    <row r="15" spans="1:555" ht="15.75" thickBot="1">
      <c r="C15" s="94"/>
      <c r="D15" s="31"/>
      <c r="E15" s="93"/>
      <c r="F15" s="93"/>
      <c r="G15" s="93"/>
      <c r="H15" s="76"/>
      <c r="I15" s="76"/>
      <c r="J15" s="76"/>
      <c r="K15" s="153"/>
      <c r="CA15" s="300"/>
    </row>
    <row r="16" spans="1:555" ht="30.75" thickBot="1">
      <c r="C16" s="134" t="s">
        <v>44</v>
      </c>
      <c r="D16" s="138" t="s">
        <v>55</v>
      </c>
      <c r="E16" s="170" t="s">
        <v>56</v>
      </c>
      <c r="F16" s="138" t="s">
        <v>57</v>
      </c>
      <c r="G16" s="135" t="s">
        <v>27</v>
      </c>
      <c r="H16" s="133" t="s">
        <v>131</v>
      </c>
      <c r="I16" s="136" t="s">
        <v>46</v>
      </c>
      <c r="J16" s="136" t="s">
        <v>132</v>
      </c>
      <c r="K16" s="136" t="s">
        <v>410</v>
      </c>
      <c r="L16" s="136" t="s">
        <v>411</v>
      </c>
      <c r="CA16" s="300"/>
    </row>
    <row r="17" spans="3:12" ht="15.75" thickBot="1">
      <c r="C17" s="137" t="s">
        <v>487</v>
      </c>
      <c r="D17" s="199">
        <v>1</v>
      </c>
      <c r="E17" s="152">
        <v>12</v>
      </c>
      <c r="F17" s="301">
        <f>HLOOKUP($C17,$BZ$2:$CM$3,2,0)</f>
        <v>27792.79</v>
      </c>
      <c r="G17" s="559">
        <f>D17*E17*F17</f>
        <v>333513.48</v>
      </c>
      <c r="H17" s="166" t="s">
        <v>129</v>
      </c>
      <c r="I17" s="114" t="s">
        <v>496</v>
      </c>
      <c r="J17" s="114" t="str">
        <f>VLOOKUP(I17,Presupuesto!$B$11:$C$565,2,0)</f>
        <v>SUELDOS Y SALARIOS PERMANENTES</v>
      </c>
      <c r="K17" s="98" t="s">
        <v>1364</v>
      </c>
      <c r="L17" s="98" t="s">
        <v>395</v>
      </c>
    </row>
    <row r="18" spans="3:12">
      <c r="C18" s="171" t="s">
        <v>58</v>
      </c>
      <c r="D18" s="163"/>
      <c r="E18" s="154">
        <v>0</v>
      </c>
      <c r="F18" s="100">
        <f>IF(E17=0,"",(G17/E17)/12*E17)</f>
        <v>27792.789999999997</v>
      </c>
      <c r="G18" s="97">
        <f>F18</f>
        <v>27792.789999999997</v>
      </c>
      <c r="H18" s="164" t="s">
        <v>129</v>
      </c>
      <c r="I18" s="116" t="s">
        <v>516</v>
      </c>
      <c r="J18" s="116" t="str">
        <f>VLOOKUP(I18,Presupuesto!$B$11:$C$565,2,0)</f>
        <v>AGUINALDO Y DECIMO CUARTO MES</v>
      </c>
      <c r="K18" s="98" t="s">
        <v>1364</v>
      </c>
      <c r="L18" s="98" t="s">
        <v>395</v>
      </c>
    </row>
    <row r="19" spans="3:12">
      <c r="C19" s="561" t="s">
        <v>59</v>
      </c>
      <c r="D19" s="560"/>
      <c r="E19" s="154">
        <v>0</v>
      </c>
      <c r="F19" s="117">
        <f>IF(E17&lt;6,"",((E17-6)/12)*(G17/E17))</f>
        <v>13896.394999999999</v>
      </c>
      <c r="G19" s="97">
        <f>F19</f>
        <v>13896.394999999999</v>
      </c>
      <c r="H19" s="164" t="s">
        <v>129</v>
      </c>
      <c r="I19" s="101" t="s">
        <v>519</v>
      </c>
      <c r="J19" s="101" t="str">
        <f>VLOOKUP(I19,Presupuesto!$B$11:$C$565,2,0)</f>
        <v>DECIMOCUARTO MES</v>
      </c>
      <c r="K19" s="98" t="s">
        <v>1364</v>
      </c>
      <c r="L19" s="98" t="s">
        <v>395</v>
      </c>
    </row>
    <row r="21" spans="3:12" ht="15.75" thickBot="1">
      <c r="K21" s="153"/>
    </row>
    <row r="22" spans="3:12" ht="15.75" thickBot="1">
      <c r="C22" s="69" t="s">
        <v>43</v>
      </c>
      <c r="D22" s="30">
        <f>SUM(G29:G34)</f>
        <v>994308.21000000008</v>
      </c>
      <c r="E22" s="93"/>
      <c r="F22" s="93"/>
      <c r="G22" s="93"/>
      <c r="H22" s="76"/>
      <c r="I22" s="76"/>
      <c r="J22" s="76"/>
      <c r="K22" s="153"/>
    </row>
    <row r="23" spans="3:12">
      <c r="D23" s="31"/>
      <c r="E23" s="93"/>
      <c r="F23" s="93"/>
      <c r="G23" s="93"/>
      <c r="H23" s="76"/>
      <c r="I23" s="76"/>
      <c r="J23" s="76"/>
      <c r="K23" s="153"/>
    </row>
    <row r="24" spans="3:12">
      <c r="D24" s="31"/>
      <c r="E24" s="93"/>
      <c r="F24" s="93"/>
      <c r="G24" s="93"/>
      <c r="H24" s="76"/>
      <c r="I24" s="76"/>
      <c r="J24" s="76"/>
      <c r="K24" s="153"/>
    </row>
    <row r="25" spans="3:12" ht="15.75">
      <c r="C25" s="202" t="s">
        <v>392</v>
      </c>
      <c r="D25" s="361" t="s">
        <v>1925</v>
      </c>
      <c r="E25" s="93"/>
      <c r="F25" s="93"/>
      <c r="G25" s="93"/>
      <c r="H25" s="76"/>
      <c r="I25" s="76"/>
      <c r="J25" s="76"/>
      <c r="K25" s="153"/>
    </row>
    <row r="26" spans="3:12" ht="18.75">
      <c r="C26" s="210"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U.'!$E:$F,2,0)))))))))))))))))</f>
        <v>Contratación de profesor por hora en el area de Matematica  y Biologia</v>
      </c>
      <c r="D26" s="31"/>
      <c r="E26" s="93"/>
      <c r="F26" s="93"/>
      <c r="G26" s="93"/>
      <c r="H26" s="76"/>
      <c r="I26" s="76"/>
      <c r="J26" s="76"/>
      <c r="K26" s="153"/>
    </row>
    <row r="27" spans="3:12" ht="15.75" thickBot="1">
      <c r="C27" s="177"/>
      <c r="D27" s="31"/>
      <c r="E27" s="93"/>
      <c r="F27" s="93"/>
      <c r="G27" s="93"/>
      <c r="H27" s="76"/>
      <c r="I27" s="76"/>
      <c r="J27" s="76"/>
      <c r="K27" s="153"/>
    </row>
    <row r="28" spans="3:12" ht="30.75" thickBot="1">
      <c r="C28" s="134" t="s">
        <v>44</v>
      </c>
      <c r="D28" s="138" t="s">
        <v>55</v>
      </c>
      <c r="E28" s="170" t="s">
        <v>56</v>
      </c>
      <c r="F28" s="138" t="s">
        <v>57</v>
      </c>
      <c r="G28" s="135" t="s">
        <v>27</v>
      </c>
      <c r="H28" s="133" t="s">
        <v>131</v>
      </c>
      <c r="I28" s="136" t="s">
        <v>46</v>
      </c>
      <c r="J28" s="136" t="s">
        <v>132</v>
      </c>
      <c r="K28" s="136" t="s">
        <v>410</v>
      </c>
      <c r="L28" s="136" t="s">
        <v>411</v>
      </c>
    </row>
    <row r="29" spans="3:12" ht="15.75" thickBot="1">
      <c r="C29" s="137" t="s">
        <v>494</v>
      </c>
      <c r="D29" s="199">
        <v>3</v>
      </c>
      <c r="E29" s="152">
        <v>12</v>
      </c>
      <c r="F29" s="301">
        <f>HLOOKUP($C29,$BZ$2:$CM$3,2,0)</f>
        <v>463.22</v>
      </c>
      <c r="G29" s="113">
        <f>D29*E29*F29</f>
        <v>16675.920000000002</v>
      </c>
      <c r="H29" s="166" t="s">
        <v>1486</v>
      </c>
      <c r="I29" s="114" t="s">
        <v>496</v>
      </c>
      <c r="J29" s="114" t="str">
        <f>VLOOKUP(I29,Presupuesto!$B$11:$C$565,2,0)</f>
        <v>SUELDOS Y SALARIOS PERMANENTES</v>
      </c>
      <c r="K29" s="98" t="s">
        <v>1364</v>
      </c>
      <c r="L29" s="98" t="s">
        <v>395</v>
      </c>
    </row>
    <row r="30" spans="3:12">
      <c r="C30" s="171" t="s">
        <v>58</v>
      </c>
      <c r="D30" s="163"/>
      <c r="E30" s="154">
        <v>0</v>
      </c>
      <c r="F30" s="100">
        <f>IF(E29=0,"",(G29/E29)/12*E29)</f>
        <v>1389.66</v>
      </c>
      <c r="G30" s="97">
        <f>F30</f>
        <v>1389.66</v>
      </c>
      <c r="H30" s="164" t="s">
        <v>1486</v>
      </c>
      <c r="I30" s="116" t="s">
        <v>516</v>
      </c>
      <c r="J30" s="116" t="str">
        <f>VLOOKUP(I30,Presupuesto!$B$11:$C$565,2,0)</f>
        <v>AGUINALDO Y DECIMO CUARTO MES</v>
      </c>
      <c r="K30" s="98" t="s">
        <v>1364</v>
      </c>
      <c r="L30" s="98" t="s">
        <v>395</v>
      </c>
    </row>
    <row r="31" spans="3:12" ht="15.75" thickBot="1">
      <c r="C31" s="172" t="s">
        <v>59</v>
      </c>
      <c r="D31" s="163"/>
      <c r="E31" s="154">
        <v>0</v>
      </c>
      <c r="F31" s="117">
        <f>IF(E29&lt;6,"",((E29-6)/12)*(G29/E29))</f>
        <v>694.83</v>
      </c>
      <c r="G31" s="97">
        <f>F31</f>
        <v>694.83</v>
      </c>
      <c r="H31" s="164" t="s">
        <v>1486</v>
      </c>
      <c r="I31" s="101" t="s">
        <v>519</v>
      </c>
      <c r="J31" s="101" t="str">
        <f>VLOOKUP(I31,Presupuesto!$B$11:$C$565,2,0)</f>
        <v>DECIMOCUARTO MES</v>
      </c>
      <c r="K31" s="98" t="s">
        <v>1364</v>
      </c>
      <c r="L31" s="98" t="s">
        <v>395</v>
      </c>
    </row>
    <row r="32" spans="3:12" ht="15.75" thickBot="1">
      <c r="C32" s="137" t="s">
        <v>495</v>
      </c>
      <c r="D32" s="199">
        <v>36</v>
      </c>
      <c r="E32" s="152">
        <v>12</v>
      </c>
      <c r="F32" s="301">
        <f>HLOOKUP($C32,$BZ$2:$CM$3,2,0)</f>
        <v>2007.3</v>
      </c>
      <c r="G32" s="113">
        <f>D32*E32*F32</f>
        <v>867153.6</v>
      </c>
      <c r="H32" s="166" t="s">
        <v>1486</v>
      </c>
      <c r="I32" s="114" t="s">
        <v>496</v>
      </c>
      <c r="J32" s="114" t="str">
        <f>VLOOKUP(I32,Presupuesto!$B$11:$C$565,2,0)</f>
        <v>SUELDOS Y SALARIOS PERMANENTES</v>
      </c>
      <c r="K32" s="98" t="s">
        <v>1364</v>
      </c>
      <c r="L32" s="98" t="s">
        <v>395</v>
      </c>
    </row>
    <row r="33" spans="3:12">
      <c r="C33" s="171" t="s">
        <v>58</v>
      </c>
      <c r="D33" s="163"/>
      <c r="E33" s="154">
        <v>0</v>
      </c>
      <c r="F33" s="100">
        <f>IF(E32=0,"",(G32/E32)/12*E32)</f>
        <v>72262.8</v>
      </c>
      <c r="G33" s="97">
        <f>F33</f>
        <v>72262.8</v>
      </c>
      <c r="H33" s="164" t="s">
        <v>1486</v>
      </c>
      <c r="I33" s="116" t="s">
        <v>516</v>
      </c>
      <c r="J33" s="116" t="str">
        <f>VLOOKUP(I33,Presupuesto!$B$11:$C$565,2,0)</f>
        <v>AGUINALDO Y DECIMO CUARTO MES</v>
      </c>
      <c r="K33" s="98" t="s">
        <v>1364</v>
      </c>
      <c r="L33" s="98" t="s">
        <v>395</v>
      </c>
    </row>
    <row r="34" spans="3:12">
      <c r="C34" s="172" t="s">
        <v>59</v>
      </c>
      <c r="D34" s="163"/>
      <c r="E34" s="154">
        <v>0</v>
      </c>
      <c r="F34" s="117">
        <f>IF(E32&lt;6,"",((E32-6)/12)*(G32/E32))</f>
        <v>36131.4</v>
      </c>
      <c r="G34" s="97">
        <f>F34</f>
        <v>36131.4</v>
      </c>
      <c r="H34" s="164" t="s">
        <v>1486</v>
      </c>
      <c r="I34" s="101" t="s">
        <v>519</v>
      </c>
      <c r="J34" s="101" t="str">
        <f>VLOOKUP(I34,Presupuesto!$B$11:$C$565,2,0)</f>
        <v>DECIMOCUARTO MES</v>
      </c>
      <c r="K34" s="98" t="s">
        <v>1364</v>
      </c>
      <c r="L34" s="98" t="s">
        <v>395</v>
      </c>
    </row>
    <row r="36" spans="3:12" ht="15.75" thickBot="1">
      <c r="K36" s="153"/>
    </row>
    <row r="37" spans="3:12" ht="15.75" thickBot="1">
      <c r="C37" s="69" t="s">
        <v>43</v>
      </c>
      <c r="D37" s="30">
        <f>SUM(G44:G55)</f>
        <v>909138.73499999999</v>
      </c>
      <c r="E37" s="93"/>
      <c r="F37" s="93"/>
      <c r="G37" s="93"/>
      <c r="H37" s="76"/>
      <c r="I37" s="76"/>
      <c r="J37" s="76"/>
      <c r="K37" s="153"/>
    </row>
    <row r="38" spans="3:12">
      <c r="D38" s="31"/>
      <c r="E38" s="93"/>
      <c r="F38" s="93"/>
      <c r="G38" s="93"/>
      <c r="H38" s="76"/>
      <c r="I38" s="76"/>
      <c r="J38" s="76"/>
      <c r="K38" s="153"/>
    </row>
    <row r="39" spans="3:12">
      <c r="D39" s="31"/>
      <c r="E39" s="93"/>
      <c r="F39" s="93"/>
      <c r="G39" s="93"/>
      <c r="H39" s="76"/>
      <c r="I39" s="76"/>
      <c r="J39" s="76"/>
      <c r="K39" s="153"/>
    </row>
    <row r="40" spans="3:12" ht="15.75">
      <c r="C40" s="202" t="s">
        <v>392</v>
      </c>
      <c r="D40" s="361" t="s">
        <v>2277</v>
      </c>
      <c r="E40" s="93"/>
      <c r="F40" s="93"/>
      <c r="G40" s="93"/>
      <c r="H40" s="76"/>
      <c r="I40" s="76"/>
      <c r="J40" s="76"/>
      <c r="K40" s="153"/>
    </row>
    <row r="41" spans="3:12" ht="18.75">
      <c r="C41" s="210" t="str">
        <f>IFERROR(VLOOKUP(D40,'1. Desarrollo e Innov. Curricu.'!$E:$F,2,FALSE),IFERROR(VLOOKUP(D40,'2. Investigación Científica'!$E:$F,2,FALSE),IFERROR(VLOOKUP(D40,'3. Vinculación Univ. Sociedad'!$E:$F,2,FALSE),IFERROR(VLOOKUP(D40,'4. Docencia y Profesorado Univ.'!$E:$F,2,FALSE),IFERROR(VLOOKUP(D40,'5. Estudiantes y Graduados'!$E:$F,2,FALSE),IFERROR(VLOOKUP(D40,'11. Gestion Administrativa'!$E:$F,2,FALSE),IFERROR(VLOOKUP(D40,'13. Gestión Académica'!$E:$F,2,FALSE),IFERROR(VLOOKUP(D40,'8. Asegura. de la Calid. y M'!$E:$F,2,FALSE),IFERROR(VLOOKUP(D40,'6. Gestión del Conocimiento'!$E:$F,2,FALSE),IFERROR(VLOOKUP(D40,'15. Gobernabilidad y Proceso...'!$E:$F,2,FALSE),IFERROR(VLOOKUP(D40,'12. Gestión del Talento Humano'!$E:$F,2,FALSE),IFERROR(VLOOKUP(D40,'14. Internacional... de la E.S.'!$E:$F,2,FALSE),IFERROR(VLOOKUP(D40,'10. Posgrado'!$E:$F,2,FALSE),IFERROR(VLOOKUP(D40,'17. Gestión TIC'!$E:$F,2,FALSE),IFERROR(VLOOKUP(D40,'16. Desa. del Sistema Educ.Sup.'!$E:$F,2,FALSE),IFERROR(VLOOKUP(D40,'9. Cultura de Inno. Insti...'!$E:$F,2,FALSE),VLOOKUP(D40,'7. Lo Esencial de la Reforma U.'!$E:$F,2,0)))))))))))))))))</f>
        <v>Gestionar la contratación de: un profesor a tiempo completo Ingeniero Agroindustrial con maestria en el campo de agroindustria o ciencia de los alimentos; un profesor por hora para clases especificas de carrera;  un encargado de laboratorio para las plantas de proceso de alimentos.</v>
      </c>
      <c r="D41" s="31"/>
      <c r="E41" s="93"/>
      <c r="F41" s="93"/>
      <c r="G41" s="93"/>
      <c r="H41" s="76"/>
      <c r="I41" s="76"/>
      <c r="J41" s="76"/>
      <c r="K41" s="153"/>
    </row>
    <row r="42" spans="3:12" ht="15.75" thickBot="1">
      <c r="C42" s="177"/>
      <c r="D42" s="31"/>
      <c r="E42" s="93"/>
      <c r="F42" s="93"/>
      <c r="G42" s="93"/>
      <c r="H42" s="76"/>
      <c r="I42" s="76"/>
      <c r="J42" s="76"/>
      <c r="K42" s="153"/>
    </row>
    <row r="43" spans="3:12" ht="30.75" thickBot="1">
      <c r="C43" s="134" t="s">
        <v>44</v>
      </c>
      <c r="D43" s="138" t="s">
        <v>55</v>
      </c>
      <c r="E43" s="170" t="s">
        <v>56</v>
      </c>
      <c r="F43" s="138" t="s">
        <v>57</v>
      </c>
      <c r="G43" s="135" t="s">
        <v>27</v>
      </c>
      <c r="H43" s="133" t="s">
        <v>131</v>
      </c>
      <c r="I43" s="136" t="s">
        <v>46</v>
      </c>
      <c r="J43" s="136" t="s">
        <v>132</v>
      </c>
      <c r="K43" s="136" t="s">
        <v>410</v>
      </c>
      <c r="L43" s="136" t="s">
        <v>411</v>
      </c>
    </row>
    <row r="44" spans="3:12" ht="15.75" thickBot="1">
      <c r="C44" s="137" t="s">
        <v>487</v>
      </c>
      <c r="D44" s="199">
        <v>1</v>
      </c>
      <c r="E44" s="152">
        <v>12</v>
      </c>
      <c r="F44" s="301">
        <f>HLOOKUP($C44,$BZ$2:$CM$3,2,0)</f>
        <v>27792.79</v>
      </c>
      <c r="G44" s="113">
        <f>D44*E44*F44</f>
        <v>333513.48</v>
      </c>
      <c r="H44" s="166" t="s">
        <v>1486</v>
      </c>
      <c r="I44" s="114" t="s">
        <v>496</v>
      </c>
      <c r="J44" s="114" t="str">
        <f>VLOOKUP(I44,Presupuesto!$B$11:$C$565,2,0)</f>
        <v>SUELDOS Y SALARIOS PERMANENTES</v>
      </c>
      <c r="K44" s="98" t="s">
        <v>1364</v>
      </c>
      <c r="L44" s="98" t="s">
        <v>395</v>
      </c>
    </row>
    <row r="45" spans="3:12">
      <c r="C45" s="171" t="s">
        <v>58</v>
      </c>
      <c r="D45" s="163"/>
      <c r="E45" s="154">
        <v>0</v>
      </c>
      <c r="F45" s="100">
        <f>IF(E44=0,"",(G44/E44)/12*E44)</f>
        <v>27792.789999999997</v>
      </c>
      <c r="G45" s="97">
        <f>F45</f>
        <v>27792.789999999997</v>
      </c>
      <c r="H45" s="164" t="s">
        <v>1486</v>
      </c>
      <c r="I45" s="116" t="s">
        <v>516</v>
      </c>
      <c r="J45" s="116" t="str">
        <f>VLOOKUP(I45,Presupuesto!$B$11:$C$565,2,0)</f>
        <v>AGUINALDO Y DECIMO CUARTO MES</v>
      </c>
      <c r="K45" s="609" t="s">
        <v>1364</v>
      </c>
      <c r="L45" s="98" t="s">
        <v>395</v>
      </c>
    </row>
    <row r="46" spans="3:12" ht="15.75" thickBot="1">
      <c r="C46" s="172" t="s">
        <v>59</v>
      </c>
      <c r="D46" s="163"/>
      <c r="E46" s="154">
        <v>0</v>
      </c>
      <c r="F46" s="117">
        <f>IF(E44&lt;6,"",((E44-6)/12)*(G44/E44))</f>
        <v>13896.394999999999</v>
      </c>
      <c r="G46" s="97">
        <f>F46</f>
        <v>13896.394999999999</v>
      </c>
      <c r="H46" s="164" t="s">
        <v>1486</v>
      </c>
      <c r="I46" s="101" t="s">
        <v>519</v>
      </c>
      <c r="J46" s="101" t="str">
        <f>VLOOKUP(I46,Presupuesto!$B$11:$C$565,2,0)</f>
        <v>DECIMOCUARTO MES</v>
      </c>
      <c r="K46" s="609" t="s">
        <v>1364</v>
      </c>
      <c r="L46" s="98" t="s">
        <v>395</v>
      </c>
    </row>
    <row r="47" spans="3:12" ht="15.75" thickBot="1">
      <c r="C47" s="137" t="s">
        <v>494</v>
      </c>
      <c r="D47" s="199">
        <v>1</v>
      </c>
      <c r="E47" s="152">
        <v>12</v>
      </c>
      <c r="F47" s="301">
        <f>HLOOKUP($C47,$BZ$2:$CM$3,2,0)</f>
        <v>463.22</v>
      </c>
      <c r="G47" s="113">
        <f>D47*E47*F47</f>
        <v>5558.64</v>
      </c>
      <c r="H47" s="629" t="s">
        <v>1486</v>
      </c>
      <c r="I47" s="114" t="s">
        <v>496</v>
      </c>
      <c r="J47" s="114" t="str">
        <f>VLOOKUP(I47,Presupuesto!$B$11:$C$565,2,0)</f>
        <v>SUELDOS Y SALARIOS PERMANENTES</v>
      </c>
      <c r="K47" s="609" t="s">
        <v>1364</v>
      </c>
      <c r="L47" s="98" t="s">
        <v>395</v>
      </c>
    </row>
    <row r="48" spans="3:12">
      <c r="C48" s="171" t="s">
        <v>58</v>
      </c>
      <c r="D48" s="163"/>
      <c r="E48" s="154">
        <v>0</v>
      </c>
      <c r="F48" s="100">
        <f>IF(E47=0,"",(G47/E47)/12*E47)</f>
        <v>463.22</v>
      </c>
      <c r="G48" s="97">
        <f>F48</f>
        <v>463.22</v>
      </c>
      <c r="H48" s="627" t="s">
        <v>1486</v>
      </c>
      <c r="I48" s="116" t="s">
        <v>516</v>
      </c>
      <c r="J48" s="116" t="str">
        <f>VLOOKUP(I48,Presupuesto!$B$11:$C$565,2,0)</f>
        <v>AGUINALDO Y DECIMO CUARTO MES</v>
      </c>
      <c r="K48" s="609" t="s">
        <v>1364</v>
      </c>
      <c r="L48" s="98" t="s">
        <v>395</v>
      </c>
    </row>
    <row r="49" spans="3:12" ht="15.75" thickBot="1">
      <c r="C49" s="172" t="s">
        <v>59</v>
      </c>
      <c r="D49" s="163"/>
      <c r="E49" s="154">
        <v>0</v>
      </c>
      <c r="F49" s="117">
        <f>IF(E47&lt;6,"",((E47-6)/12)*(G47/E47))</f>
        <v>231.61</v>
      </c>
      <c r="G49" s="97">
        <f>F49</f>
        <v>231.61</v>
      </c>
      <c r="H49" s="627" t="s">
        <v>1486</v>
      </c>
      <c r="I49" s="101" t="s">
        <v>519</v>
      </c>
      <c r="J49" s="101" t="str">
        <f>VLOOKUP(I49,Presupuesto!$B$11:$C$565,2,0)</f>
        <v>DECIMOCUARTO MES</v>
      </c>
      <c r="K49" s="609" t="s">
        <v>1364</v>
      </c>
      <c r="L49" s="98" t="s">
        <v>395</v>
      </c>
    </row>
    <row r="50" spans="3:12" ht="15.75" thickBot="1">
      <c r="C50" s="137" t="s">
        <v>495</v>
      </c>
      <c r="D50" s="199">
        <v>12</v>
      </c>
      <c r="E50" s="152">
        <v>12</v>
      </c>
      <c r="F50" s="301">
        <f>HLOOKUP($C50,$BZ$2:$CM$3,2,0)</f>
        <v>2007.3</v>
      </c>
      <c r="G50" s="113">
        <f>D50*E50*F50</f>
        <v>289051.2</v>
      </c>
      <c r="H50" s="629" t="s">
        <v>1486</v>
      </c>
      <c r="I50" s="114" t="s">
        <v>496</v>
      </c>
      <c r="J50" s="114" t="str">
        <f>VLOOKUP(I50,Presupuesto!$B$11:$C$565,2,0)</f>
        <v>SUELDOS Y SALARIOS PERMANENTES</v>
      </c>
      <c r="K50" s="609" t="s">
        <v>1364</v>
      </c>
      <c r="L50" s="98" t="s">
        <v>395</v>
      </c>
    </row>
    <row r="51" spans="3:12">
      <c r="C51" s="171" t="s">
        <v>58</v>
      </c>
      <c r="D51" s="163"/>
      <c r="E51" s="154">
        <v>0</v>
      </c>
      <c r="F51" s="100">
        <f>IF(E50=0,"",(G50/E50)/12*E50)</f>
        <v>24087.600000000002</v>
      </c>
      <c r="G51" s="97">
        <f>F51</f>
        <v>24087.600000000002</v>
      </c>
      <c r="H51" s="627" t="s">
        <v>1486</v>
      </c>
      <c r="I51" s="116" t="s">
        <v>516</v>
      </c>
      <c r="J51" s="116" t="str">
        <f>VLOOKUP(I51,Presupuesto!$B$11:$C$565,2,0)</f>
        <v>AGUINALDO Y DECIMO CUARTO MES</v>
      </c>
      <c r="K51" s="609" t="s">
        <v>1364</v>
      </c>
      <c r="L51" s="98" t="s">
        <v>395</v>
      </c>
    </row>
    <row r="52" spans="3:12" ht="15.75" thickBot="1">
      <c r="C52" s="172" t="s">
        <v>59</v>
      </c>
      <c r="D52" s="163"/>
      <c r="E52" s="154">
        <v>0</v>
      </c>
      <c r="F52" s="117">
        <f>IF(E50&lt;6,"",((E50-6)/12)*(G50/E50))</f>
        <v>12043.800000000001</v>
      </c>
      <c r="G52" s="97">
        <f>F52</f>
        <v>12043.800000000001</v>
      </c>
      <c r="H52" s="627" t="s">
        <v>1486</v>
      </c>
      <c r="I52" s="101" t="s">
        <v>519</v>
      </c>
      <c r="J52" s="101" t="str">
        <f>VLOOKUP(I52,Presupuesto!$B$11:$C$565,2,0)</f>
        <v>DECIMOCUARTO MES</v>
      </c>
      <c r="K52" s="609" t="s">
        <v>1364</v>
      </c>
      <c r="L52" s="98" t="s">
        <v>395</v>
      </c>
    </row>
    <row r="53" spans="3:12" ht="15.75" thickBot="1">
      <c r="C53" s="140" t="s">
        <v>2278</v>
      </c>
      <c r="D53" s="199">
        <v>1</v>
      </c>
      <c r="E53" s="152">
        <v>12</v>
      </c>
      <c r="F53" s="118">
        <v>15000</v>
      </c>
      <c r="G53" s="113">
        <f>D53*E53*F53</f>
        <v>180000</v>
      </c>
      <c r="H53" s="629" t="s">
        <v>1486</v>
      </c>
      <c r="I53" s="114" t="s">
        <v>496</v>
      </c>
      <c r="J53" s="114" t="str">
        <f>VLOOKUP(I53,Presupuesto!$B$11:$C$565,2,0)</f>
        <v>SUELDOS Y SALARIOS PERMANENTES</v>
      </c>
      <c r="K53" s="609" t="s">
        <v>1364</v>
      </c>
      <c r="L53" s="98" t="s">
        <v>394</v>
      </c>
    </row>
    <row r="54" spans="3:12">
      <c r="C54" s="171" t="s">
        <v>58</v>
      </c>
      <c r="D54" s="169"/>
      <c r="E54" s="131">
        <v>0</v>
      </c>
      <c r="F54" s="119">
        <f>IF(E53=0,"",(G53/E53)/12*E53)</f>
        <v>15000</v>
      </c>
      <c r="G54" s="120">
        <f>F54</f>
        <v>15000</v>
      </c>
      <c r="H54" s="627" t="s">
        <v>1486</v>
      </c>
      <c r="I54" s="101" t="s">
        <v>516</v>
      </c>
      <c r="J54" s="101" t="str">
        <f>VLOOKUP(I54,Presupuesto!$B$11:$C$565,2,0)</f>
        <v>AGUINALDO Y DECIMO CUARTO MES</v>
      </c>
      <c r="K54" s="609" t="s">
        <v>1364</v>
      </c>
      <c r="L54" s="98" t="s">
        <v>394</v>
      </c>
    </row>
    <row r="55" spans="3:12" ht="15.75" thickBot="1">
      <c r="C55" s="173" t="s">
        <v>59</v>
      </c>
      <c r="D55" s="162"/>
      <c r="E55" s="132">
        <v>0</v>
      </c>
      <c r="F55" s="105">
        <f>IF(E53&lt;6,"",((E53-6)/12)*(G53/E53))</f>
        <v>7500</v>
      </c>
      <c r="G55" s="105">
        <f>F55</f>
        <v>7500</v>
      </c>
      <c r="H55" s="627" t="s">
        <v>1486</v>
      </c>
      <c r="I55" s="106" t="s">
        <v>519</v>
      </c>
      <c r="J55" s="124" t="str">
        <f>VLOOKUP(I55,Presupuesto!$B$11:$C$565,2,0)</f>
        <v>DECIMOCUARTO MES</v>
      </c>
      <c r="K55" s="609" t="s">
        <v>1364</v>
      </c>
      <c r="L55" s="124" t="s">
        <v>394</v>
      </c>
    </row>
    <row r="57" spans="3:12" ht="15.75" thickBot="1">
      <c r="K57" s="153"/>
    </row>
    <row r="58" spans="3:12" ht="15.75" thickBot="1">
      <c r="C58" s="69" t="s">
        <v>43</v>
      </c>
      <c r="D58" s="30">
        <f>SUM(G65:G115)</f>
        <v>0</v>
      </c>
      <c r="E58" s="93"/>
      <c r="F58" s="93"/>
      <c r="G58" s="93"/>
      <c r="H58" s="76"/>
      <c r="I58" s="76"/>
      <c r="J58" s="76"/>
      <c r="K58" s="153"/>
    </row>
    <row r="59" spans="3:12">
      <c r="D59" s="31"/>
      <c r="E59" s="93"/>
      <c r="F59" s="93"/>
      <c r="G59" s="93"/>
      <c r="H59" s="76"/>
      <c r="I59" s="76"/>
      <c r="J59" s="76"/>
      <c r="K59" s="153"/>
    </row>
    <row r="60" spans="3:12">
      <c r="D60" s="31"/>
      <c r="E60" s="93"/>
      <c r="F60" s="93"/>
      <c r="G60" s="93"/>
      <c r="H60" s="76"/>
      <c r="I60" s="76"/>
      <c r="J60" s="76"/>
      <c r="K60" s="153"/>
    </row>
    <row r="61" spans="3:12" ht="15.75">
      <c r="C61" s="202" t="s">
        <v>392</v>
      </c>
      <c r="D61" s="361"/>
      <c r="E61" s="93"/>
      <c r="F61" s="93"/>
      <c r="G61" s="93"/>
      <c r="H61" s="76"/>
      <c r="I61" s="76"/>
      <c r="J61" s="76"/>
      <c r="K61" s="153"/>
    </row>
    <row r="62" spans="3:12" ht="18.75">
      <c r="C62" s="210" t="e">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#N/A</v>
      </c>
      <c r="D62" s="31"/>
      <c r="E62" s="93"/>
      <c r="F62" s="93"/>
      <c r="G62" s="93"/>
      <c r="H62" s="76"/>
      <c r="I62" s="76"/>
      <c r="J62" s="76"/>
      <c r="K62" s="153"/>
    </row>
    <row r="63" spans="3:12" ht="15.75" thickBot="1">
      <c r="C63" s="177"/>
      <c r="D63" s="31"/>
      <c r="E63" s="93"/>
      <c r="F63" s="93"/>
      <c r="G63" s="93"/>
      <c r="H63" s="76"/>
      <c r="I63" s="76"/>
      <c r="J63" s="76"/>
      <c r="K63" s="153"/>
    </row>
    <row r="64" spans="3:12" ht="30.75" thickBot="1">
      <c r="C64" s="134" t="s">
        <v>44</v>
      </c>
      <c r="D64" s="138" t="s">
        <v>55</v>
      </c>
      <c r="E64" s="170" t="s">
        <v>56</v>
      </c>
      <c r="F64" s="138" t="s">
        <v>57</v>
      </c>
      <c r="G64" s="135" t="s">
        <v>27</v>
      </c>
      <c r="H64" s="133" t="s">
        <v>131</v>
      </c>
      <c r="I64" s="136" t="s">
        <v>46</v>
      </c>
      <c r="J64" s="136" t="s">
        <v>132</v>
      </c>
      <c r="K64" s="136" t="s">
        <v>410</v>
      </c>
      <c r="L64" s="136" t="s">
        <v>411</v>
      </c>
    </row>
    <row r="65" spans="3:12" ht="15.75" thickBot="1">
      <c r="C65" s="137" t="s">
        <v>482</v>
      </c>
      <c r="D65" s="199"/>
      <c r="E65" s="152">
        <v>12</v>
      </c>
      <c r="F65" s="301">
        <f>HLOOKUP($C65,$BZ$2:$CM$3,2,0)</f>
        <v>43674.39</v>
      </c>
      <c r="G65" s="113">
        <f>D65*E65*F65</f>
        <v>0</v>
      </c>
      <c r="H65" s="166"/>
      <c r="I65" s="114" t="s">
        <v>496</v>
      </c>
      <c r="J65" s="114" t="str">
        <f>VLOOKUP(I65,Presupuesto!$B$11:$C$565,2,0)</f>
        <v>SUELDOS Y SALARIOS PERMANENTES</v>
      </c>
      <c r="K65" s="218" t="s">
        <v>1441</v>
      </c>
      <c r="L65" s="98" t="s">
        <v>394</v>
      </c>
    </row>
    <row r="66" spans="3:12">
      <c r="C66" s="171" t="s">
        <v>58</v>
      </c>
      <c r="D66" s="163"/>
      <c r="E66" s="154">
        <v>0</v>
      </c>
      <c r="F66" s="100">
        <f>IF(E65=0,"",(G65/E65)/12*E65)</f>
        <v>0</v>
      </c>
      <c r="G66" s="97">
        <f>F66</f>
        <v>0</v>
      </c>
      <c r="H66" s="164"/>
      <c r="I66" s="116" t="s">
        <v>516</v>
      </c>
      <c r="J66" s="116" t="str">
        <f>VLOOKUP(I66,Presupuesto!$B$11:$C$565,2,0)</f>
        <v>AGUINALDO Y DECIMO CUARTO MES</v>
      </c>
      <c r="K66" s="98" t="str">
        <f t="shared" ref="K66:K97" si="0">$K$65</f>
        <v>Posgrado</v>
      </c>
      <c r="L66" s="98" t="s">
        <v>412</v>
      </c>
    </row>
    <row r="67" spans="3:12" ht="15.75" thickBot="1">
      <c r="C67" s="172" t="s">
        <v>59</v>
      </c>
      <c r="D67" s="163"/>
      <c r="E67" s="154">
        <v>0</v>
      </c>
      <c r="F67" s="117">
        <f>IF(E65&lt;6,"",((E65-6)/12)*(G65/E65))</f>
        <v>0</v>
      </c>
      <c r="G67" s="97">
        <f>F67</f>
        <v>0</v>
      </c>
      <c r="H67" s="164"/>
      <c r="I67" s="101" t="s">
        <v>519</v>
      </c>
      <c r="J67" s="101" t="str">
        <f>VLOOKUP(I67,Presupuesto!$B$11:$C$565,2,0)</f>
        <v>DECIMOCUARTO MES</v>
      </c>
      <c r="K67" s="98" t="str">
        <f t="shared" si="0"/>
        <v>Posgrado</v>
      </c>
      <c r="L67" s="98" t="s">
        <v>395</v>
      </c>
    </row>
    <row r="68" spans="3:12" ht="15.75" thickBot="1">
      <c r="C68" s="137" t="s">
        <v>483</v>
      </c>
      <c r="D68" s="199"/>
      <c r="E68" s="152">
        <v>12</v>
      </c>
      <c r="F68" s="301">
        <f>HLOOKUP($C68,$BZ$2:$CM$3,2,0)</f>
        <v>39703.99</v>
      </c>
      <c r="G68" s="113">
        <f>D68*E68*F68</f>
        <v>0</v>
      </c>
      <c r="H68" s="166"/>
      <c r="I68" s="114" t="s">
        <v>496</v>
      </c>
      <c r="J68" s="114" t="str">
        <f>VLOOKUP(I68,Presupuesto!$B$11:$C$565,2,0)</f>
        <v>SUELDOS Y SALARIOS PERMANENTES</v>
      </c>
      <c r="K68" s="98" t="str">
        <f t="shared" si="0"/>
        <v>Posgrado</v>
      </c>
      <c r="L68" s="98" t="s">
        <v>395</v>
      </c>
    </row>
    <row r="69" spans="3:12">
      <c r="C69" s="171" t="s">
        <v>58</v>
      </c>
      <c r="D69" s="163"/>
      <c r="E69" s="154">
        <v>0</v>
      </c>
      <c r="F69" s="100">
        <f>IF(E68=0,"",(G68/E68)/12*E68)</f>
        <v>0</v>
      </c>
      <c r="G69" s="97">
        <f>F69</f>
        <v>0</v>
      </c>
      <c r="H69" s="164"/>
      <c r="I69" s="116" t="s">
        <v>516</v>
      </c>
      <c r="J69" s="116" t="str">
        <f>VLOOKUP(I69,Presupuesto!$B$11:$C$565,2,0)</f>
        <v>AGUINALDO Y DECIMO CUARTO MES</v>
      </c>
      <c r="K69" s="98" t="str">
        <f t="shared" si="0"/>
        <v>Posgrado</v>
      </c>
      <c r="L69" s="98" t="s">
        <v>395</v>
      </c>
    </row>
    <row r="70" spans="3:12" ht="15.75" thickBot="1">
      <c r="C70" s="172" t="s">
        <v>59</v>
      </c>
      <c r="D70" s="163"/>
      <c r="E70" s="154">
        <v>0</v>
      </c>
      <c r="F70" s="117">
        <f>IF(E68&lt;6,"",((E68-6)/12)*(G68/E68))</f>
        <v>0</v>
      </c>
      <c r="G70" s="97">
        <f>F70</f>
        <v>0</v>
      </c>
      <c r="H70" s="164"/>
      <c r="I70" s="101" t="s">
        <v>519</v>
      </c>
      <c r="J70" s="101" t="str">
        <f>VLOOKUP(I70,Presupuesto!$B$11:$C$565,2,0)</f>
        <v>DECIMOCUARTO MES</v>
      </c>
      <c r="K70" s="98" t="str">
        <f t="shared" si="0"/>
        <v>Posgrado</v>
      </c>
      <c r="L70" s="98" t="s">
        <v>395</v>
      </c>
    </row>
    <row r="71" spans="3:12" ht="15.75" thickBot="1">
      <c r="C71" s="137" t="s">
        <v>484</v>
      </c>
      <c r="D71" s="199"/>
      <c r="E71" s="152">
        <v>12</v>
      </c>
      <c r="F71" s="301">
        <f>HLOOKUP($C71,$BZ$2:$CM$3,2,0)</f>
        <v>35733.589999999997</v>
      </c>
      <c r="G71" s="113">
        <f>D71*E71*F71</f>
        <v>0</v>
      </c>
      <c r="H71" s="166"/>
      <c r="I71" s="114" t="s">
        <v>496</v>
      </c>
      <c r="J71" s="114" t="str">
        <f>VLOOKUP(I71,Presupuesto!$B$11:$C$565,2,0)</f>
        <v>SUELDOS Y SALARIOS PERMANENTES</v>
      </c>
      <c r="K71" s="98" t="str">
        <f t="shared" si="0"/>
        <v>Posgrado</v>
      </c>
      <c r="L71" s="98" t="s">
        <v>395</v>
      </c>
    </row>
    <row r="72" spans="3:12">
      <c r="C72" s="171" t="s">
        <v>58</v>
      </c>
      <c r="D72" s="163"/>
      <c r="E72" s="154">
        <v>0</v>
      </c>
      <c r="F72" s="100">
        <f>IF(E71=0,"",(G71/E71)/12*E71)</f>
        <v>0</v>
      </c>
      <c r="G72" s="97">
        <f>F72</f>
        <v>0</v>
      </c>
      <c r="H72" s="164"/>
      <c r="I72" s="116" t="s">
        <v>516</v>
      </c>
      <c r="J72" s="116" t="str">
        <f>VLOOKUP(I72,Presupuesto!$B$11:$C$565,2,0)</f>
        <v>AGUINALDO Y DECIMO CUARTO MES</v>
      </c>
      <c r="K72" s="98" t="str">
        <f t="shared" si="0"/>
        <v>Posgrado</v>
      </c>
      <c r="L72" s="98" t="s">
        <v>395</v>
      </c>
    </row>
    <row r="73" spans="3:12" ht="15.75" thickBot="1">
      <c r="C73" s="172" t="s">
        <v>59</v>
      </c>
      <c r="D73" s="163"/>
      <c r="E73" s="154">
        <v>0</v>
      </c>
      <c r="F73" s="117">
        <f>IF(E71&lt;6,"",((E71-6)/12)*(G71/E71))</f>
        <v>0</v>
      </c>
      <c r="G73" s="97">
        <f>F73</f>
        <v>0</v>
      </c>
      <c r="H73" s="164"/>
      <c r="I73" s="101" t="s">
        <v>519</v>
      </c>
      <c r="J73" s="101" t="str">
        <f>VLOOKUP(I73,Presupuesto!$B$11:$C$565,2,0)</f>
        <v>DECIMOCUARTO MES</v>
      </c>
      <c r="K73" s="98" t="str">
        <f t="shared" si="0"/>
        <v>Posgrado</v>
      </c>
      <c r="L73" s="98" t="s">
        <v>395</v>
      </c>
    </row>
    <row r="74" spans="3:12" ht="15.75" thickBot="1">
      <c r="C74" s="137" t="s">
        <v>485</v>
      </c>
      <c r="D74" s="199"/>
      <c r="E74" s="152">
        <v>12</v>
      </c>
      <c r="F74" s="301">
        <f>HLOOKUP($C74,$BZ$2:$CM$3,2,0)</f>
        <v>31763.19</v>
      </c>
      <c r="G74" s="113">
        <f>D74*E74*F74</f>
        <v>0</v>
      </c>
      <c r="H74" s="166"/>
      <c r="I74" s="114" t="s">
        <v>496</v>
      </c>
      <c r="J74" s="114" t="str">
        <f>VLOOKUP(I74,Presupuesto!$B$11:$C$565,2,0)</f>
        <v>SUELDOS Y SALARIOS PERMANENTES</v>
      </c>
      <c r="K74" s="98" t="str">
        <f t="shared" si="0"/>
        <v>Posgrado</v>
      </c>
      <c r="L74" s="98" t="s">
        <v>395</v>
      </c>
    </row>
    <row r="75" spans="3:12">
      <c r="C75" s="171" t="s">
        <v>58</v>
      </c>
      <c r="D75" s="163"/>
      <c r="E75" s="154">
        <v>0</v>
      </c>
      <c r="F75" s="100">
        <f>IF(E74=0,"",(G74/E74)/12*E74)</f>
        <v>0</v>
      </c>
      <c r="G75" s="97">
        <f>F75</f>
        <v>0</v>
      </c>
      <c r="H75" s="164"/>
      <c r="I75" s="116" t="s">
        <v>516</v>
      </c>
      <c r="J75" s="116" t="str">
        <f>VLOOKUP(I75,Presupuesto!$B$11:$C$565,2,0)</f>
        <v>AGUINALDO Y DECIMO CUARTO MES</v>
      </c>
      <c r="K75" s="98" t="str">
        <f t="shared" si="0"/>
        <v>Posgrado</v>
      </c>
      <c r="L75" s="98" t="s">
        <v>395</v>
      </c>
    </row>
    <row r="76" spans="3:12" ht="15.75" thickBot="1">
      <c r="C76" s="172" t="s">
        <v>59</v>
      </c>
      <c r="D76" s="163"/>
      <c r="E76" s="154">
        <v>0</v>
      </c>
      <c r="F76" s="117">
        <f>IF(E74&lt;6,"",((E74-6)/12)*(G74/E74))</f>
        <v>0</v>
      </c>
      <c r="G76" s="97">
        <f>F76</f>
        <v>0</v>
      </c>
      <c r="H76" s="164"/>
      <c r="I76" s="101" t="s">
        <v>519</v>
      </c>
      <c r="J76" s="101" t="str">
        <f>VLOOKUP(I76,Presupuesto!$B$11:$C$565,2,0)</f>
        <v>DECIMOCUARTO MES</v>
      </c>
      <c r="K76" s="98" t="str">
        <f t="shared" si="0"/>
        <v>Posgrado</v>
      </c>
      <c r="L76" s="98" t="s">
        <v>395</v>
      </c>
    </row>
    <row r="77" spans="3:12" ht="15.75" thickBot="1">
      <c r="C77" s="137" t="s">
        <v>486</v>
      </c>
      <c r="D77" s="199"/>
      <c r="E77" s="152">
        <v>12</v>
      </c>
      <c r="F77" s="301">
        <f>HLOOKUP($C77,$BZ$2:$CM$3,2,0)</f>
        <v>29777.99</v>
      </c>
      <c r="G77" s="113">
        <f>D77*E77*F77</f>
        <v>0</v>
      </c>
      <c r="H77" s="166"/>
      <c r="I77" s="114" t="s">
        <v>496</v>
      </c>
      <c r="J77" s="114" t="str">
        <f>VLOOKUP(I77,Presupuesto!$B$11:$C$565,2,0)</f>
        <v>SUELDOS Y SALARIOS PERMANENTES</v>
      </c>
      <c r="K77" s="98" t="str">
        <f t="shared" si="0"/>
        <v>Posgrado</v>
      </c>
      <c r="L77" s="98" t="s">
        <v>395</v>
      </c>
    </row>
    <row r="78" spans="3:12">
      <c r="C78" s="171" t="s">
        <v>58</v>
      </c>
      <c r="D78" s="163"/>
      <c r="E78" s="154">
        <v>0</v>
      </c>
      <c r="F78" s="100">
        <f>IF(E77=0,"",(G77/E77)/12*E77)</f>
        <v>0</v>
      </c>
      <c r="G78" s="97">
        <f>F78</f>
        <v>0</v>
      </c>
      <c r="H78" s="164"/>
      <c r="I78" s="116" t="s">
        <v>516</v>
      </c>
      <c r="J78" s="116" t="str">
        <f>VLOOKUP(I78,Presupuesto!$B$11:$C$565,2,0)</f>
        <v>AGUINALDO Y DECIMO CUARTO MES</v>
      </c>
      <c r="K78" s="98" t="str">
        <f t="shared" si="0"/>
        <v>Posgrado</v>
      </c>
      <c r="L78" s="98" t="s">
        <v>395</v>
      </c>
    </row>
    <row r="79" spans="3:12" ht="15.75" thickBot="1">
      <c r="C79" s="172" t="s">
        <v>59</v>
      </c>
      <c r="D79" s="163"/>
      <c r="E79" s="154">
        <v>0</v>
      </c>
      <c r="F79" s="117">
        <f>IF(E77&lt;6,"",((E77-6)/12)*(G77/E77))</f>
        <v>0</v>
      </c>
      <c r="G79" s="97">
        <f>F79</f>
        <v>0</v>
      </c>
      <c r="H79" s="164"/>
      <c r="I79" s="101" t="s">
        <v>519</v>
      </c>
      <c r="J79" s="101" t="str">
        <f>VLOOKUP(I79,Presupuesto!$B$11:$C$565,2,0)</f>
        <v>DECIMOCUARTO MES</v>
      </c>
      <c r="K79" s="98" t="str">
        <f t="shared" si="0"/>
        <v>Posgrado</v>
      </c>
      <c r="L79" s="98" t="s">
        <v>395</v>
      </c>
    </row>
    <row r="80" spans="3:12" ht="15.75" thickBot="1">
      <c r="C80" s="137" t="s">
        <v>487</v>
      </c>
      <c r="D80" s="199"/>
      <c r="E80" s="152">
        <v>12</v>
      </c>
      <c r="F80" s="301">
        <f>HLOOKUP($C80,$BZ$2:$CM$3,2,0)</f>
        <v>27792.79</v>
      </c>
      <c r="G80" s="113">
        <f>D80*E80*F80</f>
        <v>0</v>
      </c>
      <c r="H80" s="166"/>
      <c r="I80" s="114" t="s">
        <v>496</v>
      </c>
      <c r="J80" s="114" t="str">
        <f>VLOOKUP(I80,Presupuesto!$B$11:$C$565,2,0)</f>
        <v>SUELDOS Y SALARIOS PERMANENTES</v>
      </c>
      <c r="K80" s="98" t="str">
        <f t="shared" si="0"/>
        <v>Posgrado</v>
      </c>
      <c r="L80" s="98" t="s">
        <v>395</v>
      </c>
    </row>
    <row r="81" spans="3:12">
      <c r="C81" s="171" t="s">
        <v>58</v>
      </c>
      <c r="D81" s="163"/>
      <c r="E81" s="154">
        <v>0</v>
      </c>
      <c r="F81" s="100">
        <f>IF(E80=0,"",(G80/E80)/12*E80)</f>
        <v>0</v>
      </c>
      <c r="G81" s="97">
        <f>F81</f>
        <v>0</v>
      </c>
      <c r="H81" s="164"/>
      <c r="I81" s="116" t="s">
        <v>516</v>
      </c>
      <c r="J81" s="116" t="str">
        <f>VLOOKUP(I81,Presupuesto!$B$11:$C$565,2,0)</f>
        <v>AGUINALDO Y DECIMO CUARTO MES</v>
      </c>
      <c r="K81" s="98" t="str">
        <f t="shared" si="0"/>
        <v>Posgrado</v>
      </c>
      <c r="L81" s="98" t="s">
        <v>395</v>
      </c>
    </row>
    <row r="82" spans="3:12" ht="15.75" thickBot="1">
      <c r="C82" s="172" t="s">
        <v>59</v>
      </c>
      <c r="D82" s="163"/>
      <c r="E82" s="154">
        <v>0</v>
      </c>
      <c r="F82" s="117">
        <f>IF(E80&lt;6,"",((E80-6)/12)*(G80/E80))</f>
        <v>0</v>
      </c>
      <c r="G82" s="97">
        <f>F82</f>
        <v>0</v>
      </c>
      <c r="H82" s="164"/>
      <c r="I82" s="101" t="s">
        <v>519</v>
      </c>
      <c r="J82" s="101" t="str">
        <f>VLOOKUP(I82,Presupuesto!$B$11:$C$565,2,0)</f>
        <v>DECIMOCUARTO MES</v>
      </c>
      <c r="K82" s="98" t="str">
        <f t="shared" si="0"/>
        <v>Posgrado</v>
      </c>
      <c r="L82" s="98" t="s">
        <v>395</v>
      </c>
    </row>
    <row r="83" spans="3:12" ht="15.75" thickBot="1">
      <c r="C83" s="137" t="s">
        <v>488</v>
      </c>
      <c r="D83" s="199"/>
      <c r="E83" s="152">
        <v>12</v>
      </c>
      <c r="F83" s="301">
        <f>HLOOKUP($C83,$BZ$2:$CM$3,2,0)</f>
        <v>18859.39</v>
      </c>
      <c r="G83" s="113">
        <f>D83*E83*F83</f>
        <v>0</v>
      </c>
      <c r="H83" s="166"/>
      <c r="I83" s="114" t="s">
        <v>496</v>
      </c>
      <c r="J83" s="114" t="str">
        <f>VLOOKUP(I83,Presupuesto!$B$11:$C$565,2,0)</f>
        <v>SUELDOS Y SALARIOS PERMANENTES</v>
      </c>
      <c r="K83" s="98" t="str">
        <f t="shared" si="0"/>
        <v>Posgrado</v>
      </c>
      <c r="L83" s="98" t="s">
        <v>395</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si="0"/>
        <v>Posgrado</v>
      </c>
      <c r="L84" s="98" t="s">
        <v>395</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0"/>
        <v>Posgrado</v>
      </c>
      <c r="L85" s="98" t="s">
        <v>395</v>
      </c>
    </row>
    <row r="86" spans="3:12" ht="15.75" thickBot="1">
      <c r="C86" s="137" t="s">
        <v>489</v>
      </c>
      <c r="D86" s="199"/>
      <c r="E86" s="152">
        <v>12</v>
      </c>
      <c r="F86" s="301">
        <f>HLOOKUP($C86,$BZ$2:$CM$3,2,0)</f>
        <v>17866.8</v>
      </c>
      <c r="G86" s="113">
        <f>D86*E86*F86</f>
        <v>0</v>
      </c>
      <c r="H86" s="166"/>
      <c r="I86" s="114" t="s">
        <v>496</v>
      </c>
      <c r="J86" s="114" t="str">
        <f>VLOOKUP(I86,Presupuesto!$B$11:$C$565,2,0)</f>
        <v>SUELDOS Y SALARIOS PERMANENTES</v>
      </c>
      <c r="K86" s="98" t="str">
        <f t="shared" si="0"/>
        <v>Posgrado</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0"/>
        <v>Posgrado</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0"/>
        <v>Posgrado</v>
      </c>
      <c r="L88" s="98" t="s">
        <v>395</v>
      </c>
    </row>
    <row r="89" spans="3:12" ht="15.75" thickBot="1">
      <c r="C89" s="137" t="s">
        <v>490</v>
      </c>
      <c r="D89" s="199"/>
      <c r="E89" s="152">
        <v>12</v>
      </c>
      <c r="F89" s="301">
        <f>HLOOKUP($C89,$BZ$2:$CM$3,2,0)</f>
        <v>13896.4</v>
      </c>
      <c r="G89" s="113">
        <f>D89*E89*F89</f>
        <v>0</v>
      </c>
      <c r="H89" s="166"/>
      <c r="I89" s="114" t="s">
        <v>496</v>
      </c>
      <c r="J89" s="114" t="str">
        <f>VLOOKUP(I89,Presupuesto!$B$11:$C$565,2,0)</f>
        <v>SUELDOS Y SALARIOS PERMANENTES</v>
      </c>
      <c r="K89" s="98" t="str">
        <f t="shared" si="0"/>
        <v>Posgrado</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0"/>
        <v>Posgrado</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0"/>
        <v>Posgrado</v>
      </c>
      <c r="L91" s="98" t="s">
        <v>395</v>
      </c>
    </row>
    <row r="92" spans="3:12" ht="15.75" thickBot="1">
      <c r="C92" s="137" t="s">
        <v>491</v>
      </c>
      <c r="D92" s="199"/>
      <c r="E92" s="152">
        <v>12</v>
      </c>
      <c r="F92" s="301">
        <f>HLOOKUP($C92,$BZ$2:$CM$3,2,0)</f>
        <v>15004.09</v>
      </c>
      <c r="G92" s="113">
        <f>D92*E92*F92</f>
        <v>0</v>
      </c>
      <c r="H92" s="166"/>
      <c r="I92" s="114" t="s">
        <v>496</v>
      </c>
      <c r="J92" s="114" t="str">
        <f>VLOOKUP(I92,Presupuesto!$B$11:$C$565,2,0)</f>
        <v>SUELDOS Y SALARIOS PERMANENTES</v>
      </c>
      <c r="K92" s="98" t="str">
        <f t="shared" si="0"/>
        <v>Posgrado</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0"/>
        <v>Posgrado</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0"/>
        <v>Posgrado</v>
      </c>
      <c r="L94" s="98" t="s">
        <v>395</v>
      </c>
    </row>
    <row r="95" spans="3:12" ht="15.75" thickBot="1">
      <c r="C95" s="137" t="s">
        <v>492</v>
      </c>
      <c r="D95" s="199"/>
      <c r="E95" s="152">
        <v>12</v>
      </c>
      <c r="F95" s="301">
        <f>HLOOKUP($C95,$BZ$2:$CM$3,2,0)</f>
        <v>13238.9</v>
      </c>
      <c r="G95" s="113">
        <f>D95*E95*F95</f>
        <v>0</v>
      </c>
      <c r="H95" s="166"/>
      <c r="I95" s="114" t="s">
        <v>496</v>
      </c>
      <c r="J95" s="114" t="str">
        <f>VLOOKUP(I95,Presupuesto!$B$11:$C$565,2,0)</f>
        <v>SUELDOS Y SALARIOS PERMANENTES</v>
      </c>
      <c r="K95" s="98" t="str">
        <f t="shared" si="0"/>
        <v>Posgrado</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0"/>
        <v>Posgrado</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0"/>
        <v>Posgrado</v>
      </c>
      <c r="L97" s="98" t="s">
        <v>395</v>
      </c>
    </row>
    <row r="98" spans="3:12" ht="15.75" thickBot="1">
      <c r="C98" s="137" t="s">
        <v>493</v>
      </c>
      <c r="D98" s="199"/>
      <c r="E98" s="152">
        <v>12</v>
      </c>
      <c r="F98" s="301">
        <f>HLOOKUP($C98,$BZ$2:$CM$3,2,0)</f>
        <v>12356.31</v>
      </c>
      <c r="G98" s="113">
        <f>D98*E98*F98</f>
        <v>0</v>
      </c>
      <c r="H98" s="166"/>
      <c r="I98" s="114" t="s">
        <v>496</v>
      </c>
      <c r="J98" s="114" t="str">
        <f>VLOOKUP(I98,Presupuesto!$B$11:$C$565,2,0)</f>
        <v>SUELDOS Y SALARIOS PERMANENTES</v>
      </c>
      <c r="K98" s="98" t="str">
        <f t="shared" ref="K98:K115" si="1">$K$65</f>
        <v>Posgrado</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1"/>
        <v>Posgrado</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1"/>
        <v>Posgrado</v>
      </c>
      <c r="L100" s="98" t="s">
        <v>395</v>
      </c>
    </row>
    <row r="101" spans="3:12" ht="15.75" thickBot="1">
      <c r="C101" s="137" t="s">
        <v>494</v>
      </c>
      <c r="D101" s="199"/>
      <c r="E101" s="152">
        <v>12</v>
      </c>
      <c r="F101" s="301">
        <f>HLOOKUP($C101,$BZ$2:$CM$3,2,0)</f>
        <v>463.22</v>
      </c>
      <c r="G101" s="113">
        <f>D101*E101*F101</f>
        <v>0</v>
      </c>
      <c r="H101" s="166"/>
      <c r="I101" s="114" t="s">
        <v>496</v>
      </c>
      <c r="J101" s="114" t="str">
        <f>VLOOKUP(I101,Presupuesto!$B$11:$C$565,2,0)</f>
        <v>SUELDOS Y SALARIOS PERMANENTES</v>
      </c>
      <c r="K101" s="98" t="str">
        <f t="shared" si="1"/>
        <v>Posgrado</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1"/>
        <v>Posgrado</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1"/>
        <v>Posgrado</v>
      </c>
      <c r="L103" s="98" t="s">
        <v>395</v>
      </c>
    </row>
    <row r="104" spans="3:12" ht="15.75" thickBot="1">
      <c r="C104" s="137" t="s">
        <v>495</v>
      </c>
      <c r="D104" s="199"/>
      <c r="E104" s="152">
        <v>12</v>
      </c>
      <c r="F104" s="301">
        <f>HLOOKUP($C104,$BZ$2:$CM$3,2,0)</f>
        <v>2007.3</v>
      </c>
      <c r="G104" s="113">
        <f>D104*E104*F104</f>
        <v>0</v>
      </c>
      <c r="H104" s="166"/>
      <c r="I104" s="114" t="s">
        <v>496</v>
      </c>
      <c r="J104" s="114" t="str">
        <f>VLOOKUP(I104,Presupuesto!$B$11:$C$565,2,0)</f>
        <v>SUELDOS Y SALARIOS PERMANENTES</v>
      </c>
      <c r="K104" s="98" t="str">
        <f t="shared" si="1"/>
        <v>Posgrado</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1"/>
        <v>Posgrado</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1"/>
        <v>Posgrado</v>
      </c>
      <c r="L106" s="98" t="s">
        <v>395</v>
      </c>
    </row>
    <row r="107" spans="3:12" ht="15.75" thickBot="1">
      <c r="C107" s="140" t="s">
        <v>83</v>
      </c>
      <c r="D107" s="199"/>
      <c r="E107" s="152">
        <v>12</v>
      </c>
      <c r="F107" s="139">
        <v>30000</v>
      </c>
      <c r="G107" s="113">
        <f>D107*E107*F107</f>
        <v>0</v>
      </c>
      <c r="H107" s="166"/>
      <c r="I107" s="114" t="s">
        <v>564</v>
      </c>
      <c r="J107" s="114" t="str">
        <f>VLOOKUP(I107,Presupuesto!$B$11:$C$565,2,0)</f>
        <v>CONTRATOS ESPECIALES</v>
      </c>
      <c r="K107" s="98" t="str">
        <f t="shared" si="1"/>
        <v>Posgrado</v>
      </c>
      <c r="L107" s="98" t="s">
        <v>395</v>
      </c>
    </row>
    <row r="108" spans="3:12">
      <c r="C108" s="171" t="s">
        <v>58</v>
      </c>
      <c r="D108" s="163"/>
      <c r="E108" s="154">
        <v>0</v>
      </c>
      <c r="F108" s="117">
        <f>IF(E107=0,"",(G107/E107)/12*E107)</f>
        <v>0</v>
      </c>
      <c r="G108" s="97">
        <f>F108</f>
        <v>0</v>
      </c>
      <c r="H108" s="164"/>
      <c r="I108" s="101" t="s">
        <v>564</v>
      </c>
      <c r="J108" s="101" t="str">
        <f>VLOOKUP(I108,Presupuesto!$B$11:$C$565,2,0)</f>
        <v>CONTRATOS ESPECIALES</v>
      </c>
      <c r="K108" s="98" t="str">
        <f t="shared" si="1"/>
        <v>Posgrado</v>
      </c>
      <c r="L108" s="98" t="s">
        <v>394</v>
      </c>
    </row>
    <row r="109" spans="3:12" ht="15.75" thickBot="1">
      <c r="C109" s="172" t="s">
        <v>59</v>
      </c>
      <c r="D109" s="163"/>
      <c r="E109" s="154">
        <v>0</v>
      </c>
      <c r="F109" s="100">
        <f>IF(E107&lt;6,"",((E107-6)/12)*(G107/E107))</f>
        <v>0</v>
      </c>
      <c r="G109" s="97">
        <f>F109</f>
        <v>0</v>
      </c>
      <c r="H109" s="164"/>
      <c r="I109" s="101" t="s">
        <v>564</v>
      </c>
      <c r="J109" s="101" t="str">
        <f>VLOOKUP(I109,Presupuesto!$B$11:$C$565,2,0)</f>
        <v>CONTRATOS ESPECIALES</v>
      </c>
      <c r="K109" s="98" t="str">
        <f t="shared" si="1"/>
        <v>Posgrado</v>
      </c>
      <c r="L109" s="98" t="s">
        <v>399</v>
      </c>
    </row>
    <row r="110" spans="3:12" ht="15.75" thickBot="1">
      <c r="C110" s="140" t="s">
        <v>60</v>
      </c>
      <c r="D110" s="199"/>
      <c r="E110" s="152">
        <v>12</v>
      </c>
      <c r="F110" s="118">
        <v>30000</v>
      </c>
      <c r="G110" s="113">
        <f>D110*E110*F110</f>
        <v>0</v>
      </c>
      <c r="H110" s="166"/>
      <c r="I110" s="114" t="s">
        <v>705</v>
      </c>
      <c r="J110" s="114" t="str">
        <f>VLOOKUP(I110,Presupuesto!$B$11:$C$565,2,0)</f>
        <v>OTROS SERVICIOS TECNICOS Y PROFESIONALES</v>
      </c>
      <c r="K110" s="98" t="str">
        <f t="shared" si="1"/>
        <v>Posgrado</v>
      </c>
      <c r="L110" s="98" t="s">
        <v>394</v>
      </c>
    </row>
    <row r="111" spans="3:12">
      <c r="C111" s="171" t="s">
        <v>58</v>
      </c>
      <c r="D111" s="163"/>
      <c r="E111" s="154">
        <v>0</v>
      </c>
      <c r="F111" s="100">
        <v>0</v>
      </c>
      <c r="G111" s="97">
        <f>F111</f>
        <v>0</v>
      </c>
      <c r="H111" s="164"/>
      <c r="I111" s="101" t="s">
        <v>705</v>
      </c>
      <c r="J111" s="101" t="str">
        <f>VLOOKUP(I111,Presupuesto!$B$11:$C$565,2,0)</f>
        <v>OTROS SERVICIOS TECNICOS Y PROFESIONALES</v>
      </c>
      <c r="K111" s="98" t="str">
        <f t="shared" si="1"/>
        <v>Posgrado</v>
      </c>
      <c r="L111" s="98" t="s">
        <v>394</v>
      </c>
    </row>
    <row r="112" spans="3:12" ht="15.75" thickBot="1">
      <c r="C112" s="172" t="s">
        <v>59</v>
      </c>
      <c r="D112" s="163"/>
      <c r="E112" s="154">
        <v>0</v>
      </c>
      <c r="F112" s="100">
        <v>0</v>
      </c>
      <c r="G112" s="97">
        <f>F112</f>
        <v>0</v>
      </c>
      <c r="H112" s="164"/>
      <c r="I112" s="101" t="s">
        <v>705</v>
      </c>
      <c r="J112" s="101" t="str">
        <f>VLOOKUP(I112,Presupuesto!$B$11:$C$565,2,0)</f>
        <v>OTROS SERVICIOS TECNICOS Y PROFESIONALES</v>
      </c>
      <c r="K112" s="98" t="str">
        <f t="shared" si="1"/>
        <v>Posgrado</v>
      </c>
      <c r="L112" s="98" t="s">
        <v>394</v>
      </c>
    </row>
    <row r="113" spans="3:12" ht="15.75" thickBot="1">
      <c r="C113" s="140" t="s">
        <v>61</v>
      </c>
      <c r="D113" s="199"/>
      <c r="E113" s="152">
        <v>12</v>
      </c>
      <c r="F113" s="118">
        <v>30000</v>
      </c>
      <c r="G113" s="113">
        <f>D113*E113*F113</f>
        <v>0</v>
      </c>
      <c r="H113" s="166"/>
      <c r="I113" s="114" t="s">
        <v>496</v>
      </c>
      <c r="J113" s="114" t="str">
        <f>VLOOKUP(I113,Presupuesto!$B$11:$C$565,2,0)</f>
        <v>SUELDOS Y SALARIOS PERMANENTES</v>
      </c>
      <c r="K113" s="98" t="str">
        <f t="shared" si="1"/>
        <v>Posgrado</v>
      </c>
      <c r="L113" s="98" t="s">
        <v>394</v>
      </c>
    </row>
    <row r="114" spans="3:12">
      <c r="C114" s="171" t="s">
        <v>58</v>
      </c>
      <c r="D114" s="169"/>
      <c r="E114" s="131">
        <v>0</v>
      </c>
      <c r="F114" s="119">
        <f>IF(E113=0,"",(G113/E113)/12*E113)</f>
        <v>0</v>
      </c>
      <c r="G114" s="120">
        <f>F114</f>
        <v>0</v>
      </c>
      <c r="H114" s="164"/>
      <c r="I114" s="101" t="s">
        <v>516</v>
      </c>
      <c r="J114" s="101" t="str">
        <f>VLOOKUP(I114,Presupuesto!$B$11:$C$565,2,0)</f>
        <v>AGUINALDO Y DECIMO CUARTO MES</v>
      </c>
      <c r="K114" s="98" t="str">
        <f t="shared" si="1"/>
        <v>Posgrado</v>
      </c>
      <c r="L114" s="98" t="s">
        <v>394</v>
      </c>
    </row>
    <row r="115" spans="3:12" ht="15.75" thickBot="1">
      <c r="C115" s="173" t="s">
        <v>59</v>
      </c>
      <c r="D115" s="162"/>
      <c r="E115" s="132">
        <v>0</v>
      </c>
      <c r="F115" s="105">
        <f>IF(E113&lt;6,"",((E113-6)/12)*(G113/E113))</f>
        <v>0</v>
      </c>
      <c r="G115" s="105">
        <f>F115</f>
        <v>0</v>
      </c>
      <c r="H115" s="162"/>
      <c r="I115" s="106" t="s">
        <v>519</v>
      </c>
      <c r="J115" s="124" t="str">
        <f>VLOOKUP(I115,Presupuesto!$B$11:$C$565,2,0)</f>
        <v>DECIMOCUARTO MES</v>
      </c>
      <c r="K115" s="106" t="str">
        <f t="shared" si="1"/>
        <v>Posgrado</v>
      </c>
      <c r="L115" s="124" t="s">
        <v>394</v>
      </c>
    </row>
    <row r="117" spans="3:12" ht="15.75" thickBot="1">
      <c r="K117" s="153"/>
    </row>
    <row r="118" spans="3:12" ht="15.75" thickBot="1">
      <c r="C118" s="69" t="s">
        <v>43</v>
      </c>
      <c r="D118" s="30">
        <f>SUM(G125:G175)</f>
        <v>0</v>
      </c>
      <c r="E118" s="93"/>
      <c r="F118" s="93"/>
      <c r="G118" s="93"/>
      <c r="H118" s="76"/>
      <c r="I118" s="76"/>
      <c r="J118" s="76"/>
      <c r="K118" s="153"/>
    </row>
    <row r="119" spans="3:12">
      <c r="D119" s="31"/>
      <c r="E119" s="93"/>
      <c r="F119" s="93"/>
      <c r="G119" s="93"/>
      <c r="H119" s="76"/>
      <c r="I119" s="76"/>
      <c r="J119" s="76"/>
      <c r="K119" s="153"/>
    </row>
    <row r="120" spans="3:12">
      <c r="D120" s="31"/>
      <c r="E120" s="93"/>
      <c r="F120" s="93"/>
      <c r="G120" s="93"/>
      <c r="H120" s="76"/>
      <c r="I120" s="76"/>
      <c r="J120" s="76"/>
      <c r="K120" s="153"/>
    </row>
    <row r="121" spans="3:12" ht="15.75">
      <c r="C121" s="202" t="s">
        <v>392</v>
      </c>
      <c r="D121" s="361"/>
      <c r="E121" s="93"/>
      <c r="F121" s="93"/>
      <c r="G121" s="93"/>
      <c r="H121" s="76"/>
      <c r="I121" s="76"/>
      <c r="J121" s="76"/>
      <c r="K121" s="153"/>
    </row>
    <row r="122" spans="3:12" ht="18.75">
      <c r="C122" s="210" t="e">
        <f>IFERROR(VLOOKUP(D121,'1. Desarrollo e Innov. Curricu.'!$E:$F,2,FALSE),IFERROR(VLOOKUP(D121,'2. Investigación Científica'!$E:$F,2,FALSE),IFERROR(VLOOKUP(D121,'3. Vinculación Univ. Sociedad'!$E:$F,2,FALSE),IFERROR(VLOOKUP(D121,'4. Docencia y Profesorado Univ.'!$E:$F,2,FALSE),IFERROR(VLOOKUP(D121,'5. Estudiantes y Graduados'!$E:$F,2,FALSE),IFERROR(VLOOKUP(D121,'11. Gestion Administrativa'!$E:$F,2,FALSE),IFERROR(VLOOKUP(D121,'13. Gestión Académica'!$E:$F,2,FALSE),IFERROR(VLOOKUP(D121,'8. Asegura. de la Calid. y M'!$E:$F,2,FALSE),IFERROR(VLOOKUP(D121,'6. Gestión del Conocimiento'!$E:$F,2,FALSE),IFERROR(VLOOKUP(D121,'15. Gobernabilidad y Proceso...'!$E:$F,2,FALSE),IFERROR(VLOOKUP(D121,'12. Gestión del Talento Humano'!$E:$F,2,FALSE),IFERROR(VLOOKUP(D121,'14. Internacional... de la E.S.'!$E:$F,2,FALSE),IFERROR(VLOOKUP(D121,'10. Posgrado'!$E:$F,2,FALSE),IFERROR(VLOOKUP(D121,'17. Gestión TIC'!$E:$F,2,FALSE),IFERROR(VLOOKUP(D121,'16. Desa. del Sistema Educ.Sup.'!$E:$F,2,FALSE),IFERROR(VLOOKUP(D121,'9. Cultura de Inno. Insti...'!$E:$F,2,FALSE),VLOOKUP(D121,'7. Lo Esencial de la Reforma U.'!$E:$F,2,0)))))))))))))))))</f>
        <v>#N/A</v>
      </c>
      <c r="D122" s="31"/>
      <c r="E122" s="93"/>
      <c r="F122" s="93"/>
      <c r="G122" s="93"/>
      <c r="H122" s="76"/>
      <c r="I122" s="76"/>
      <c r="J122" s="76"/>
      <c r="K122" s="153"/>
    </row>
    <row r="123" spans="3:12" ht="15.75" thickBot="1">
      <c r="C123" s="177"/>
      <c r="D123" s="31"/>
      <c r="E123" s="93"/>
      <c r="F123" s="93"/>
      <c r="G123" s="93"/>
      <c r="H123" s="76"/>
      <c r="I123" s="76"/>
      <c r="J123" s="76"/>
      <c r="K123" s="153"/>
    </row>
    <row r="124" spans="3:12" ht="30.75" thickBot="1">
      <c r="C124" s="134" t="s">
        <v>44</v>
      </c>
      <c r="D124" s="138" t="s">
        <v>55</v>
      </c>
      <c r="E124" s="170" t="s">
        <v>56</v>
      </c>
      <c r="F124" s="138" t="s">
        <v>57</v>
      </c>
      <c r="G124" s="135" t="s">
        <v>27</v>
      </c>
      <c r="H124" s="133" t="s">
        <v>131</v>
      </c>
      <c r="I124" s="136" t="s">
        <v>46</v>
      </c>
      <c r="J124" s="136" t="s">
        <v>132</v>
      </c>
      <c r="K124" s="136" t="s">
        <v>410</v>
      </c>
      <c r="L124" s="136" t="s">
        <v>411</v>
      </c>
    </row>
    <row r="125" spans="3:12" ht="15.75" thickBot="1">
      <c r="C125" s="137" t="s">
        <v>482</v>
      </c>
      <c r="D125" s="199"/>
      <c r="E125" s="152">
        <v>12</v>
      </c>
      <c r="F125" s="301">
        <f>HLOOKUP($C125,$BZ$2:$CM$3,2,0)</f>
        <v>43674.39</v>
      </c>
      <c r="G125" s="113">
        <f>D125*E125*F125</f>
        <v>0</v>
      </c>
      <c r="H125" s="166"/>
      <c r="I125" s="114" t="s">
        <v>496</v>
      </c>
      <c r="J125" s="114" t="str">
        <f>VLOOKUP(I125,Presupuesto!$B$11:$C$565,2,0)</f>
        <v>SUELDOS Y SALARIOS PERMANENTES</v>
      </c>
      <c r="K125" s="218" t="s">
        <v>1441</v>
      </c>
      <c r="L125" s="98" t="s">
        <v>394</v>
      </c>
    </row>
    <row r="126" spans="3:12">
      <c r="C126" s="171" t="s">
        <v>58</v>
      </c>
      <c r="D126" s="163"/>
      <c r="E126" s="154">
        <v>0</v>
      </c>
      <c r="F126" s="100">
        <f>IF(E125=0,"",(G125/E125)/12*E125)</f>
        <v>0</v>
      </c>
      <c r="G126" s="97">
        <f>F126</f>
        <v>0</v>
      </c>
      <c r="H126" s="164"/>
      <c r="I126" s="116" t="s">
        <v>516</v>
      </c>
      <c r="J126" s="116" t="str">
        <f>VLOOKUP(I126,Presupuesto!$B$11:$C$565,2,0)</f>
        <v>AGUINALDO Y DECIMO CUARTO MES</v>
      </c>
      <c r="K126" s="98" t="str">
        <f t="shared" ref="K126:K157" si="2">$K$125</f>
        <v>Posgrado</v>
      </c>
      <c r="L126" s="98" t="s">
        <v>412</v>
      </c>
    </row>
    <row r="127" spans="3:12" ht="15.75" thickBot="1">
      <c r="C127" s="172" t="s">
        <v>59</v>
      </c>
      <c r="D127" s="163"/>
      <c r="E127" s="154">
        <v>0</v>
      </c>
      <c r="F127" s="117">
        <f>IF(E125&lt;6,"",((E125-6)/12)*(G125/E125))</f>
        <v>0</v>
      </c>
      <c r="G127" s="97">
        <f>F127</f>
        <v>0</v>
      </c>
      <c r="H127" s="164"/>
      <c r="I127" s="101" t="s">
        <v>519</v>
      </c>
      <c r="J127" s="101" t="str">
        <f>VLOOKUP(I127,Presupuesto!$B$11:$C$565,2,0)</f>
        <v>DECIMOCUARTO MES</v>
      </c>
      <c r="K127" s="98" t="str">
        <f t="shared" si="2"/>
        <v>Posgrado</v>
      </c>
      <c r="L127" s="98" t="s">
        <v>395</v>
      </c>
    </row>
    <row r="128" spans="3:12" ht="15.75" thickBot="1">
      <c r="C128" s="137" t="s">
        <v>483</v>
      </c>
      <c r="D128" s="199"/>
      <c r="E128" s="152">
        <v>12</v>
      </c>
      <c r="F128" s="301">
        <f>HLOOKUP($C128,$BZ$2:$CM$3,2,0)</f>
        <v>39703.99</v>
      </c>
      <c r="G128" s="113">
        <f>D128*E128*F128</f>
        <v>0</v>
      </c>
      <c r="H128" s="166"/>
      <c r="I128" s="114" t="s">
        <v>496</v>
      </c>
      <c r="J128" s="114" t="str">
        <f>VLOOKUP(I128,Presupuesto!$B$11:$C$565,2,0)</f>
        <v>SUELDOS Y SALARIOS PERMANENTES</v>
      </c>
      <c r="K128" s="98" t="str">
        <f t="shared" si="2"/>
        <v>Posgrado</v>
      </c>
      <c r="L128" s="98" t="s">
        <v>395</v>
      </c>
    </row>
    <row r="129" spans="3:12">
      <c r="C129" s="171" t="s">
        <v>58</v>
      </c>
      <c r="D129" s="163"/>
      <c r="E129" s="154">
        <v>0</v>
      </c>
      <c r="F129" s="100">
        <f>IF(E128=0,"",(G128/E128)/12*E128)</f>
        <v>0</v>
      </c>
      <c r="G129" s="97">
        <f>F129</f>
        <v>0</v>
      </c>
      <c r="H129" s="164"/>
      <c r="I129" s="116" t="s">
        <v>516</v>
      </c>
      <c r="J129" s="116" t="str">
        <f>VLOOKUP(I129,Presupuesto!$B$11:$C$565,2,0)</f>
        <v>AGUINALDO Y DECIMO CUARTO MES</v>
      </c>
      <c r="K129" s="98" t="str">
        <f t="shared" si="2"/>
        <v>Posgrado</v>
      </c>
      <c r="L129" s="98" t="s">
        <v>395</v>
      </c>
    </row>
    <row r="130" spans="3:12" ht="15.75" thickBot="1">
      <c r="C130" s="172" t="s">
        <v>59</v>
      </c>
      <c r="D130" s="163"/>
      <c r="E130" s="154">
        <v>0</v>
      </c>
      <c r="F130" s="117">
        <f>IF(E128&lt;6,"",((E128-6)/12)*(G128/E128))</f>
        <v>0</v>
      </c>
      <c r="G130" s="97">
        <f>F130</f>
        <v>0</v>
      </c>
      <c r="H130" s="164"/>
      <c r="I130" s="101" t="s">
        <v>519</v>
      </c>
      <c r="J130" s="101" t="str">
        <f>VLOOKUP(I130,Presupuesto!$B$11:$C$565,2,0)</f>
        <v>DECIMOCUARTO MES</v>
      </c>
      <c r="K130" s="98" t="str">
        <f t="shared" si="2"/>
        <v>Posgrado</v>
      </c>
      <c r="L130" s="98" t="s">
        <v>395</v>
      </c>
    </row>
    <row r="131" spans="3:12" ht="15.75" thickBot="1">
      <c r="C131" s="137" t="s">
        <v>484</v>
      </c>
      <c r="D131" s="199"/>
      <c r="E131" s="152">
        <v>12</v>
      </c>
      <c r="F131" s="301">
        <f>HLOOKUP($C131,$BZ$2:$CM$3,2,0)</f>
        <v>35733.589999999997</v>
      </c>
      <c r="G131" s="113">
        <f>D131*E131*F131</f>
        <v>0</v>
      </c>
      <c r="H131" s="166"/>
      <c r="I131" s="114" t="s">
        <v>496</v>
      </c>
      <c r="J131" s="114" t="str">
        <f>VLOOKUP(I131,Presupuesto!$B$11:$C$565,2,0)</f>
        <v>SUELDOS Y SALARIOS PERMANENTES</v>
      </c>
      <c r="K131" s="98" t="str">
        <f t="shared" si="2"/>
        <v>Posgrado</v>
      </c>
      <c r="L131" s="98" t="s">
        <v>395</v>
      </c>
    </row>
    <row r="132" spans="3:12">
      <c r="C132" s="171" t="s">
        <v>58</v>
      </c>
      <c r="D132" s="163"/>
      <c r="E132" s="154">
        <v>0</v>
      </c>
      <c r="F132" s="100">
        <f>IF(E131=0,"",(G131/E131)/12*E131)</f>
        <v>0</v>
      </c>
      <c r="G132" s="97">
        <f>F132</f>
        <v>0</v>
      </c>
      <c r="H132" s="164"/>
      <c r="I132" s="116" t="s">
        <v>516</v>
      </c>
      <c r="J132" s="116" t="str">
        <f>VLOOKUP(I132,Presupuesto!$B$11:$C$565,2,0)</f>
        <v>AGUINALDO Y DECIMO CUARTO MES</v>
      </c>
      <c r="K132" s="98" t="str">
        <f t="shared" si="2"/>
        <v>Posgrado</v>
      </c>
      <c r="L132" s="98" t="s">
        <v>395</v>
      </c>
    </row>
    <row r="133" spans="3:12" ht="15.75" thickBot="1">
      <c r="C133" s="172" t="s">
        <v>59</v>
      </c>
      <c r="D133" s="163"/>
      <c r="E133" s="154">
        <v>0</v>
      </c>
      <c r="F133" s="117">
        <f>IF(E131&lt;6,"",((E131-6)/12)*(G131/E131))</f>
        <v>0</v>
      </c>
      <c r="G133" s="97">
        <f>F133</f>
        <v>0</v>
      </c>
      <c r="H133" s="164"/>
      <c r="I133" s="101" t="s">
        <v>519</v>
      </c>
      <c r="J133" s="101" t="str">
        <f>VLOOKUP(I133,Presupuesto!$B$11:$C$565,2,0)</f>
        <v>DECIMOCUARTO MES</v>
      </c>
      <c r="K133" s="98" t="str">
        <f t="shared" si="2"/>
        <v>Posgrado</v>
      </c>
      <c r="L133" s="98" t="s">
        <v>395</v>
      </c>
    </row>
    <row r="134" spans="3:12" ht="15.75" thickBot="1">
      <c r="C134" s="137" t="s">
        <v>485</v>
      </c>
      <c r="D134" s="199"/>
      <c r="E134" s="152">
        <v>12</v>
      </c>
      <c r="F134" s="301">
        <f>HLOOKUP($C134,$BZ$2:$CM$3,2,0)</f>
        <v>31763.19</v>
      </c>
      <c r="G134" s="113">
        <f>D134*E134*F134</f>
        <v>0</v>
      </c>
      <c r="H134" s="166"/>
      <c r="I134" s="114" t="s">
        <v>496</v>
      </c>
      <c r="J134" s="114" t="str">
        <f>VLOOKUP(I134,Presupuesto!$B$11:$C$565,2,0)</f>
        <v>SUELDOS Y SALARIOS PERMANENTES</v>
      </c>
      <c r="K134" s="98" t="str">
        <f t="shared" si="2"/>
        <v>Posgrado</v>
      </c>
      <c r="L134" s="98" t="s">
        <v>395</v>
      </c>
    </row>
    <row r="135" spans="3:12">
      <c r="C135" s="171" t="s">
        <v>58</v>
      </c>
      <c r="D135" s="163"/>
      <c r="E135" s="154">
        <v>0</v>
      </c>
      <c r="F135" s="100">
        <f>IF(E134=0,"",(G134/E134)/12*E134)</f>
        <v>0</v>
      </c>
      <c r="G135" s="97">
        <f>F135</f>
        <v>0</v>
      </c>
      <c r="H135" s="164"/>
      <c r="I135" s="116" t="s">
        <v>516</v>
      </c>
      <c r="J135" s="116" t="str">
        <f>VLOOKUP(I135,Presupuesto!$B$11:$C$565,2,0)</f>
        <v>AGUINALDO Y DECIMO CUARTO MES</v>
      </c>
      <c r="K135" s="98" t="str">
        <f t="shared" si="2"/>
        <v>Posgrado</v>
      </c>
      <c r="L135" s="98" t="s">
        <v>395</v>
      </c>
    </row>
    <row r="136" spans="3:12" ht="15.75" thickBot="1">
      <c r="C136" s="172" t="s">
        <v>59</v>
      </c>
      <c r="D136" s="163"/>
      <c r="E136" s="154">
        <v>0</v>
      </c>
      <c r="F136" s="117">
        <f>IF(E134&lt;6,"",((E134-6)/12)*(G134/E134))</f>
        <v>0</v>
      </c>
      <c r="G136" s="97">
        <f>F136</f>
        <v>0</v>
      </c>
      <c r="H136" s="164"/>
      <c r="I136" s="101" t="s">
        <v>519</v>
      </c>
      <c r="J136" s="101" t="str">
        <f>VLOOKUP(I136,Presupuesto!$B$11:$C$565,2,0)</f>
        <v>DECIMOCUARTO MES</v>
      </c>
      <c r="K136" s="98" t="str">
        <f t="shared" si="2"/>
        <v>Posgrado</v>
      </c>
      <c r="L136" s="98" t="s">
        <v>395</v>
      </c>
    </row>
    <row r="137" spans="3:12" ht="15.75" thickBot="1">
      <c r="C137" s="137" t="s">
        <v>486</v>
      </c>
      <c r="D137" s="199"/>
      <c r="E137" s="152">
        <v>12</v>
      </c>
      <c r="F137" s="301">
        <f>HLOOKUP($C137,$BZ$2:$CM$3,2,0)</f>
        <v>29777.99</v>
      </c>
      <c r="G137" s="113">
        <f>D137*E137*F137</f>
        <v>0</v>
      </c>
      <c r="H137" s="166"/>
      <c r="I137" s="114" t="s">
        <v>496</v>
      </c>
      <c r="J137" s="114" t="str">
        <f>VLOOKUP(I137,Presupuesto!$B$11:$C$565,2,0)</f>
        <v>SUELDOS Y SALARIOS PERMANENTES</v>
      </c>
      <c r="K137" s="98" t="str">
        <f t="shared" si="2"/>
        <v>Posgrado</v>
      </c>
      <c r="L137" s="98" t="s">
        <v>395</v>
      </c>
    </row>
    <row r="138" spans="3:12">
      <c r="C138" s="171" t="s">
        <v>58</v>
      </c>
      <c r="D138" s="163"/>
      <c r="E138" s="154">
        <v>0</v>
      </c>
      <c r="F138" s="100">
        <f>IF(E137=0,"",(G137/E137)/12*E137)</f>
        <v>0</v>
      </c>
      <c r="G138" s="97">
        <f>F138</f>
        <v>0</v>
      </c>
      <c r="H138" s="164"/>
      <c r="I138" s="116" t="s">
        <v>516</v>
      </c>
      <c r="J138" s="116" t="str">
        <f>VLOOKUP(I138,Presupuesto!$B$11:$C$565,2,0)</f>
        <v>AGUINALDO Y DECIMO CUARTO MES</v>
      </c>
      <c r="K138" s="98" t="str">
        <f t="shared" si="2"/>
        <v>Posgrado</v>
      </c>
      <c r="L138" s="98" t="s">
        <v>395</v>
      </c>
    </row>
    <row r="139" spans="3:12" ht="15.75" thickBot="1">
      <c r="C139" s="172" t="s">
        <v>59</v>
      </c>
      <c r="D139" s="163"/>
      <c r="E139" s="154">
        <v>0</v>
      </c>
      <c r="F139" s="117">
        <f>IF(E137&lt;6,"",((E137-6)/12)*(G137/E137))</f>
        <v>0</v>
      </c>
      <c r="G139" s="97">
        <f>F139</f>
        <v>0</v>
      </c>
      <c r="H139" s="164"/>
      <c r="I139" s="101" t="s">
        <v>519</v>
      </c>
      <c r="J139" s="101" t="str">
        <f>VLOOKUP(I139,Presupuesto!$B$11:$C$565,2,0)</f>
        <v>DECIMOCUARTO MES</v>
      </c>
      <c r="K139" s="98" t="str">
        <f t="shared" si="2"/>
        <v>Posgrado</v>
      </c>
      <c r="L139" s="98" t="s">
        <v>395</v>
      </c>
    </row>
    <row r="140" spans="3:12" ht="15.75" thickBot="1">
      <c r="C140" s="137" t="s">
        <v>487</v>
      </c>
      <c r="D140" s="199"/>
      <c r="E140" s="152">
        <v>12</v>
      </c>
      <c r="F140" s="301">
        <f>HLOOKUP($C140,$BZ$2:$CM$3,2,0)</f>
        <v>27792.79</v>
      </c>
      <c r="G140" s="113">
        <f>D140*E140*F140</f>
        <v>0</v>
      </c>
      <c r="H140" s="166"/>
      <c r="I140" s="114" t="s">
        <v>496</v>
      </c>
      <c r="J140" s="114" t="str">
        <f>VLOOKUP(I140,Presupuesto!$B$11:$C$565,2,0)</f>
        <v>SUELDOS Y SALARIOS PERMANENTES</v>
      </c>
      <c r="K140" s="98" t="str">
        <f t="shared" si="2"/>
        <v>Posgrado</v>
      </c>
      <c r="L140" s="98" t="s">
        <v>395</v>
      </c>
    </row>
    <row r="141" spans="3:12">
      <c r="C141" s="171" t="s">
        <v>58</v>
      </c>
      <c r="D141" s="163"/>
      <c r="E141" s="154">
        <v>0</v>
      </c>
      <c r="F141" s="100">
        <f>IF(E140=0,"",(G140/E140)/12*E140)</f>
        <v>0</v>
      </c>
      <c r="G141" s="97">
        <f>F141</f>
        <v>0</v>
      </c>
      <c r="H141" s="164"/>
      <c r="I141" s="116" t="s">
        <v>516</v>
      </c>
      <c r="J141" s="116" t="str">
        <f>VLOOKUP(I141,Presupuesto!$B$11:$C$565,2,0)</f>
        <v>AGUINALDO Y DECIMO CUARTO MES</v>
      </c>
      <c r="K141" s="98" t="str">
        <f t="shared" si="2"/>
        <v>Posgrado</v>
      </c>
      <c r="L141" s="98" t="s">
        <v>395</v>
      </c>
    </row>
    <row r="142" spans="3:12" ht="15.75" thickBot="1">
      <c r="C142" s="172" t="s">
        <v>59</v>
      </c>
      <c r="D142" s="163"/>
      <c r="E142" s="154">
        <v>0</v>
      </c>
      <c r="F142" s="117">
        <f>IF(E140&lt;6,"",((E140-6)/12)*(G140/E140))</f>
        <v>0</v>
      </c>
      <c r="G142" s="97">
        <f>F142</f>
        <v>0</v>
      </c>
      <c r="H142" s="164"/>
      <c r="I142" s="101" t="s">
        <v>519</v>
      </c>
      <c r="J142" s="101" t="str">
        <f>VLOOKUP(I142,Presupuesto!$B$11:$C$565,2,0)</f>
        <v>DECIMOCUARTO MES</v>
      </c>
      <c r="K142" s="98" t="str">
        <f t="shared" si="2"/>
        <v>Posgrado</v>
      </c>
      <c r="L142" s="98" t="s">
        <v>395</v>
      </c>
    </row>
    <row r="143" spans="3:12" ht="15.75" thickBot="1">
      <c r="C143" s="137" t="s">
        <v>488</v>
      </c>
      <c r="D143" s="199"/>
      <c r="E143" s="152">
        <v>12</v>
      </c>
      <c r="F143" s="301">
        <f>HLOOKUP($C143,$BZ$2:$CM$3,2,0)</f>
        <v>18859.39</v>
      </c>
      <c r="G143" s="113">
        <f>D143*E143*F143</f>
        <v>0</v>
      </c>
      <c r="H143" s="166"/>
      <c r="I143" s="114" t="s">
        <v>496</v>
      </c>
      <c r="J143" s="114" t="str">
        <f>VLOOKUP(I143,Presupuesto!$B$11:$C$565,2,0)</f>
        <v>SUELDOS Y SALARIOS PERMANENTES</v>
      </c>
      <c r="K143" s="98" t="str">
        <f t="shared" si="2"/>
        <v>Posgrado</v>
      </c>
      <c r="L143" s="98" t="s">
        <v>395</v>
      </c>
    </row>
    <row r="144" spans="3:12">
      <c r="C144" s="171" t="s">
        <v>58</v>
      </c>
      <c r="D144" s="163"/>
      <c r="E144" s="154">
        <v>0</v>
      </c>
      <c r="F144" s="100">
        <f>IF(E143=0,"",(G143/E143)/12*E143)</f>
        <v>0</v>
      </c>
      <c r="G144" s="97">
        <f>F144</f>
        <v>0</v>
      </c>
      <c r="H144" s="164"/>
      <c r="I144" s="116" t="s">
        <v>516</v>
      </c>
      <c r="J144" s="116" t="str">
        <f>VLOOKUP(I144,Presupuesto!$B$11:$C$565,2,0)</f>
        <v>AGUINALDO Y DECIMO CUARTO MES</v>
      </c>
      <c r="K144" s="98" t="str">
        <f t="shared" si="2"/>
        <v>Posgrado</v>
      </c>
      <c r="L144" s="98" t="s">
        <v>395</v>
      </c>
    </row>
    <row r="145" spans="3:12" ht="15.75" thickBot="1">
      <c r="C145" s="172" t="s">
        <v>59</v>
      </c>
      <c r="D145" s="163"/>
      <c r="E145" s="154">
        <v>0</v>
      </c>
      <c r="F145" s="117">
        <f>IF(E143&lt;6,"",((E143-6)/12)*(G143/E143))</f>
        <v>0</v>
      </c>
      <c r="G145" s="97">
        <f>F145</f>
        <v>0</v>
      </c>
      <c r="H145" s="164"/>
      <c r="I145" s="101" t="s">
        <v>519</v>
      </c>
      <c r="J145" s="101" t="str">
        <f>VLOOKUP(I145,Presupuesto!$B$11:$C$565,2,0)</f>
        <v>DECIMOCUARTO MES</v>
      </c>
      <c r="K145" s="98" t="str">
        <f t="shared" si="2"/>
        <v>Posgrado</v>
      </c>
      <c r="L145" s="98" t="s">
        <v>395</v>
      </c>
    </row>
    <row r="146" spans="3:12" ht="15.75" thickBot="1">
      <c r="C146" s="137" t="s">
        <v>489</v>
      </c>
      <c r="D146" s="199"/>
      <c r="E146" s="152">
        <v>12</v>
      </c>
      <c r="F146" s="301">
        <f>HLOOKUP($C146,$BZ$2:$CM$3,2,0)</f>
        <v>17866.8</v>
      </c>
      <c r="G146" s="113">
        <f>D146*E146*F146</f>
        <v>0</v>
      </c>
      <c r="H146" s="166"/>
      <c r="I146" s="114" t="s">
        <v>496</v>
      </c>
      <c r="J146" s="114" t="str">
        <f>VLOOKUP(I146,Presupuesto!$B$11:$C$565,2,0)</f>
        <v>SUELDOS Y SALARIOS PERMANENTES</v>
      </c>
      <c r="K146" s="98" t="str">
        <f t="shared" si="2"/>
        <v>Posgrado</v>
      </c>
      <c r="L146" s="98" t="s">
        <v>395</v>
      </c>
    </row>
    <row r="147" spans="3:12">
      <c r="C147" s="171" t="s">
        <v>58</v>
      </c>
      <c r="D147" s="163"/>
      <c r="E147" s="154">
        <v>0</v>
      </c>
      <c r="F147" s="100">
        <f>IF(E146=0,"",(G146/E146)/12*E146)</f>
        <v>0</v>
      </c>
      <c r="G147" s="97">
        <f>F147</f>
        <v>0</v>
      </c>
      <c r="H147" s="164"/>
      <c r="I147" s="116" t="s">
        <v>516</v>
      </c>
      <c r="J147" s="116" t="str">
        <f>VLOOKUP(I147,Presupuesto!$B$11:$C$565,2,0)</f>
        <v>AGUINALDO Y DECIMO CUARTO MES</v>
      </c>
      <c r="K147" s="98" t="str">
        <f t="shared" si="2"/>
        <v>Posgrado</v>
      </c>
      <c r="L147" s="98" t="s">
        <v>395</v>
      </c>
    </row>
    <row r="148" spans="3:12"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2"/>
        <v>Posgrado</v>
      </c>
      <c r="L148" s="98" t="s">
        <v>395</v>
      </c>
    </row>
    <row r="149" spans="3:12" ht="15.75" thickBot="1">
      <c r="C149" s="137" t="s">
        <v>490</v>
      </c>
      <c r="D149" s="199"/>
      <c r="E149" s="152">
        <v>12</v>
      </c>
      <c r="F149" s="301">
        <f>HLOOKUP($C149,$BZ$2:$CM$3,2,0)</f>
        <v>13896.4</v>
      </c>
      <c r="G149" s="113">
        <f>D149*E149*F149</f>
        <v>0</v>
      </c>
      <c r="H149" s="166"/>
      <c r="I149" s="114" t="s">
        <v>496</v>
      </c>
      <c r="J149" s="114" t="str">
        <f>VLOOKUP(I149,Presupuesto!$B$11:$C$565,2,0)</f>
        <v>SUELDOS Y SALARIOS PERMANENTES</v>
      </c>
      <c r="K149" s="98" t="str">
        <f t="shared" si="2"/>
        <v>Posgrado</v>
      </c>
      <c r="L149" s="98" t="s">
        <v>395</v>
      </c>
    </row>
    <row r="150" spans="3:12">
      <c r="C150" s="171" t="s">
        <v>58</v>
      </c>
      <c r="D150" s="163"/>
      <c r="E150" s="154">
        <v>0</v>
      </c>
      <c r="F150" s="100">
        <f>IF(E149=0,"",(G149/E149)/12*E149)</f>
        <v>0</v>
      </c>
      <c r="G150" s="97">
        <f>F150</f>
        <v>0</v>
      </c>
      <c r="H150" s="164"/>
      <c r="I150" s="116" t="s">
        <v>516</v>
      </c>
      <c r="J150" s="116" t="str">
        <f>VLOOKUP(I150,Presupuesto!$B$11:$C$565,2,0)</f>
        <v>AGUINALDO Y DECIMO CUARTO MES</v>
      </c>
      <c r="K150" s="98" t="str">
        <f t="shared" si="2"/>
        <v>Posgrado</v>
      </c>
      <c r="L150" s="98" t="s">
        <v>395</v>
      </c>
    </row>
    <row r="151" spans="3:12"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2"/>
        <v>Posgrado</v>
      </c>
      <c r="L151" s="98" t="s">
        <v>395</v>
      </c>
    </row>
    <row r="152" spans="3:12" ht="15.75" thickBot="1">
      <c r="C152" s="137" t="s">
        <v>491</v>
      </c>
      <c r="D152" s="199"/>
      <c r="E152" s="152">
        <v>12</v>
      </c>
      <c r="F152" s="301">
        <f>HLOOKUP($C152,$BZ$2:$CM$3,2,0)</f>
        <v>15004.09</v>
      </c>
      <c r="G152" s="113">
        <f>D152*E152*F152</f>
        <v>0</v>
      </c>
      <c r="H152" s="166"/>
      <c r="I152" s="114" t="s">
        <v>496</v>
      </c>
      <c r="J152" s="114" t="str">
        <f>VLOOKUP(I152,Presupuesto!$B$11:$C$565,2,0)</f>
        <v>SUELDOS Y SALARIOS PERMANENTES</v>
      </c>
      <c r="K152" s="98" t="str">
        <f t="shared" si="2"/>
        <v>Posgrado</v>
      </c>
      <c r="L152" s="98" t="s">
        <v>395</v>
      </c>
    </row>
    <row r="153" spans="3:12">
      <c r="C153" s="171" t="s">
        <v>58</v>
      </c>
      <c r="D153" s="163"/>
      <c r="E153" s="154">
        <v>0</v>
      </c>
      <c r="F153" s="100">
        <f>IF(E152=0,"",(G152/E152)/12*E152)</f>
        <v>0</v>
      </c>
      <c r="G153" s="97">
        <f>F153</f>
        <v>0</v>
      </c>
      <c r="H153" s="164"/>
      <c r="I153" s="116" t="s">
        <v>516</v>
      </c>
      <c r="J153" s="116" t="str">
        <f>VLOOKUP(I153,Presupuesto!$B$11:$C$565,2,0)</f>
        <v>AGUINALDO Y DECIMO CUARTO MES</v>
      </c>
      <c r="K153" s="98" t="str">
        <f t="shared" si="2"/>
        <v>Posgrado</v>
      </c>
      <c r="L153" s="98" t="s">
        <v>395</v>
      </c>
    </row>
    <row r="154" spans="3:12"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2"/>
        <v>Posgrado</v>
      </c>
      <c r="L154" s="98" t="s">
        <v>395</v>
      </c>
    </row>
    <row r="155" spans="3:12" ht="15.75" thickBot="1">
      <c r="C155" s="137" t="s">
        <v>492</v>
      </c>
      <c r="D155" s="199"/>
      <c r="E155" s="152">
        <v>12</v>
      </c>
      <c r="F155" s="301">
        <f>HLOOKUP($C155,$BZ$2:$CM$3,2,0)</f>
        <v>13238.9</v>
      </c>
      <c r="G155" s="113">
        <f>D155*E155*F155</f>
        <v>0</v>
      </c>
      <c r="H155" s="166"/>
      <c r="I155" s="114" t="s">
        <v>496</v>
      </c>
      <c r="J155" s="114" t="str">
        <f>VLOOKUP(I155,Presupuesto!$B$11:$C$565,2,0)</f>
        <v>SUELDOS Y SALARIOS PERMANENTES</v>
      </c>
      <c r="K155" s="98" t="str">
        <f t="shared" si="2"/>
        <v>Posgrado</v>
      </c>
      <c r="L155" s="98" t="s">
        <v>395</v>
      </c>
    </row>
    <row r="156" spans="3:12">
      <c r="C156" s="171" t="s">
        <v>58</v>
      </c>
      <c r="D156" s="163"/>
      <c r="E156" s="154">
        <v>0</v>
      </c>
      <c r="F156" s="100">
        <f>IF(E155=0,"",(G155/E155)/12*E155)</f>
        <v>0</v>
      </c>
      <c r="G156" s="97">
        <f>F156</f>
        <v>0</v>
      </c>
      <c r="H156" s="164"/>
      <c r="I156" s="116" t="s">
        <v>516</v>
      </c>
      <c r="J156" s="116" t="str">
        <f>VLOOKUP(I156,Presupuesto!$B$11:$C$565,2,0)</f>
        <v>AGUINALDO Y DECIMO CUARTO MES</v>
      </c>
      <c r="K156" s="98" t="str">
        <f t="shared" si="2"/>
        <v>Posgrado</v>
      </c>
      <c r="L156" s="98" t="s">
        <v>395</v>
      </c>
    </row>
    <row r="157" spans="3:12"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2"/>
        <v>Posgrado</v>
      </c>
      <c r="L157" s="98" t="s">
        <v>395</v>
      </c>
    </row>
    <row r="158" spans="3:12" ht="15.75" thickBot="1">
      <c r="C158" s="137" t="s">
        <v>493</v>
      </c>
      <c r="D158" s="199"/>
      <c r="E158" s="152">
        <v>12</v>
      </c>
      <c r="F158" s="301">
        <f>HLOOKUP($C158,$BZ$2:$CM$3,2,0)</f>
        <v>12356.31</v>
      </c>
      <c r="G158" s="113">
        <f>D158*E158*F158</f>
        <v>0</v>
      </c>
      <c r="H158" s="166"/>
      <c r="I158" s="114" t="s">
        <v>496</v>
      </c>
      <c r="J158" s="114" t="str">
        <f>VLOOKUP(I158,Presupuesto!$B$11:$C$565,2,0)</f>
        <v>SUELDOS Y SALARIOS PERMANENTES</v>
      </c>
      <c r="K158" s="98" t="str">
        <f t="shared" ref="K158:K175" si="3">$K$125</f>
        <v>Posgrado</v>
      </c>
      <c r="L158" s="98" t="s">
        <v>395</v>
      </c>
    </row>
    <row r="159" spans="3:12">
      <c r="C159" s="171" t="s">
        <v>58</v>
      </c>
      <c r="D159" s="163"/>
      <c r="E159" s="154">
        <v>0</v>
      </c>
      <c r="F159" s="100">
        <f>IF(E158=0,"",(G158/E158)/12*E158)</f>
        <v>0</v>
      </c>
      <c r="G159" s="97">
        <f>F159</f>
        <v>0</v>
      </c>
      <c r="H159" s="164"/>
      <c r="I159" s="116" t="s">
        <v>516</v>
      </c>
      <c r="J159" s="116" t="str">
        <f>VLOOKUP(I159,Presupuesto!$B$11:$C$565,2,0)</f>
        <v>AGUINALDO Y DECIMO CUARTO MES</v>
      </c>
      <c r="K159" s="98" t="str">
        <f t="shared" si="3"/>
        <v>Posgrado</v>
      </c>
      <c r="L159" s="98" t="s">
        <v>395</v>
      </c>
    </row>
    <row r="160" spans="3:12"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3"/>
        <v>Posgrado</v>
      </c>
      <c r="L160" s="98" t="s">
        <v>395</v>
      </c>
    </row>
    <row r="161" spans="3:12" ht="15.75" thickBot="1">
      <c r="C161" s="137" t="s">
        <v>494</v>
      </c>
      <c r="D161" s="199"/>
      <c r="E161" s="152">
        <v>12</v>
      </c>
      <c r="F161" s="301">
        <f>HLOOKUP($C161,$BZ$2:$CM$3,2,0)</f>
        <v>463.22</v>
      </c>
      <c r="G161" s="113">
        <f>D161*E161*F161</f>
        <v>0</v>
      </c>
      <c r="H161" s="166"/>
      <c r="I161" s="114" t="s">
        <v>496</v>
      </c>
      <c r="J161" s="114" t="str">
        <f>VLOOKUP(I161,Presupuesto!$B$11:$C$565,2,0)</f>
        <v>SUELDOS Y SALARIOS PERMANENTES</v>
      </c>
      <c r="K161" s="98" t="str">
        <f t="shared" si="3"/>
        <v>Posgrado</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3"/>
        <v>Posgrado</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3"/>
        <v>Posgrado</v>
      </c>
      <c r="L163" s="98" t="s">
        <v>395</v>
      </c>
    </row>
    <row r="164" spans="3:12" ht="15.75" thickBot="1">
      <c r="C164" s="137" t="s">
        <v>495</v>
      </c>
      <c r="D164" s="199"/>
      <c r="E164" s="152">
        <v>12</v>
      </c>
      <c r="F164" s="301">
        <f>HLOOKUP($C164,$BZ$2:$CM$3,2,0)</f>
        <v>2007.3</v>
      </c>
      <c r="G164" s="113">
        <f>D164*E164*F164</f>
        <v>0</v>
      </c>
      <c r="H164" s="166"/>
      <c r="I164" s="114" t="s">
        <v>496</v>
      </c>
      <c r="J164" s="114" t="str">
        <f>VLOOKUP(I164,Presupuesto!$B$11:$C$565,2,0)</f>
        <v>SUELDOS Y SALARIOS PERMANENTES</v>
      </c>
      <c r="K164" s="98" t="str">
        <f t="shared" si="3"/>
        <v>Posgrado</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3"/>
        <v>Posgrado</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3"/>
        <v>Posgrado</v>
      </c>
      <c r="L166" s="98" t="s">
        <v>395</v>
      </c>
    </row>
    <row r="167" spans="3:12" ht="15.75" thickBot="1">
      <c r="C167" s="140" t="s">
        <v>83</v>
      </c>
      <c r="D167" s="199"/>
      <c r="E167" s="152">
        <v>12</v>
      </c>
      <c r="F167" s="139">
        <v>30000</v>
      </c>
      <c r="G167" s="113">
        <f>D167*E167*F167</f>
        <v>0</v>
      </c>
      <c r="H167" s="166"/>
      <c r="I167" s="114" t="s">
        <v>564</v>
      </c>
      <c r="J167" s="114" t="str">
        <f>VLOOKUP(I167,Presupuesto!$B$11:$C$565,2,0)</f>
        <v>CONTRATOS ESPECIALES</v>
      </c>
      <c r="K167" s="98" t="str">
        <f t="shared" si="3"/>
        <v>Posgrado</v>
      </c>
      <c r="L167" s="98" t="s">
        <v>395</v>
      </c>
    </row>
    <row r="168" spans="3:12">
      <c r="C168" s="171" t="s">
        <v>58</v>
      </c>
      <c r="D168" s="163"/>
      <c r="E168" s="154">
        <v>0</v>
      </c>
      <c r="F168" s="117">
        <f>IF(E167=0,"",(G167/E167)/12*E167)</f>
        <v>0</v>
      </c>
      <c r="G168" s="97">
        <f>F168</f>
        <v>0</v>
      </c>
      <c r="H168" s="164"/>
      <c r="I168" s="101" t="s">
        <v>564</v>
      </c>
      <c r="J168" s="101" t="str">
        <f>VLOOKUP(I168,Presupuesto!$B$11:$C$565,2,0)</f>
        <v>CONTRATOS ESPECIALES</v>
      </c>
      <c r="K168" s="98" t="str">
        <f t="shared" si="3"/>
        <v>Posgrado</v>
      </c>
      <c r="L168" s="98" t="s">
        <v>394</v>
      </c>
    </row>
    <row r="169" spans="3:12" ht="15.75" thickBot="1">
      <c r="C169" s="172" t="s">
        <v>59</v>
      </c>
      <c r="D169" s="163"/>
      <c r="E169" s="154">
        <v>0</v>
      </c>
      <c r="F169" s="100">
        <f>IF(E167&lt;6,"",((E167-6)/12)*(G167/E167))</f>
        <v>0</v>
      </c>
      <c r="G169" s="97">
        <f>F169</f>
        <v>0</v>
      </c>
      <c r="H169" s="164"/>
      <c r="I169" s="101" t="s">
        <v>564</v>
      </c>
      <c r="J169" s="101" t="str">
        <f>VLOOKUP(I169,Presupuesto!$B$11:$C$565,2,0)</f>
        <v>CONTRATOS ESPECIALES</v>
      </c>
      <c r="K169" s="98" t="str">
        <f t="shared" si="3"/>
        <v>Posgrado</v>
      </c>
      <c r="L169" s="98" t="s">
        <v>399</v>
      </c>
    </row>
    <row r="170" spans="3:12" ht="15.75" thickBot="1">
      <c r="C170" s="140" t="s">
        <v>60</v>
      </c>
      <c r="D170" s="199"/>
      <c r="E170" s="152">
        <v>12</v>
      </c>
      <c r="F170" s="118">
        <v>30000</v>
      </c>
      <c r="G170" s="113">
        <f>D170*E170*F170</f>
        <v>0</v>
      </c>
      <c r="H170" s="166"/>
      <c r="I170" s="114" t="s">
        <v>705</v>
      </c>
      <c r="J170" s="114" t="str">
        <f>VLOOKUP(I170,Presupuesto!$B$11:$C$565,2,0)</f>
        <v>OTROS SERVICIOS TECNICOS Y PROFESIONALES</v>
      </c>
      <c r="K170" s="98" t="str">
        <f t="shared" si="3"/>
        <v>Posgrado</v>
      </c>
      <c r="L170" s="98" t="s">
        <v>394</v>
      </c>
    </row>
    <row r="171" spans="3:12">
      <c r="C171" s="171" t="s">
        <v>58</v>
      </c>
      <c r="D171" s="163"/>
      <c r="E171" s="154">
        <v>0</v>
      </c>
      <c r="F171" s="100">
        <v>0</v>
      </c>
      <c r="G171" s="97">
        <f>F171</f>
        <v>0</v>
      </c>
      <c r="H171" s="164"/>
      <c r="I171" s="101" t="s">
        <v>705</v>
      </c>
      <c r="J171" s="101" t="str">
        <f>VLOOKUP(I171,Presupuesto!$B$11:$C$565,2,0)</f>
        <v>OTROS SERVICIOS TECNICOS Y PROFESIONALES</v>
      </c>
      <c r="K171" s="98" t="str">
        <f t="shared" si="3"/>
        <v>Posgrado</v>
      </c>
      <c r="L171" s="98" t="s">
        <v>394</v>
      </c>
    </row>
    <row r="172" spans="3:12" ht="15.75" thickBot="1">
      <c r="C172" s="172" t="s">
        <v>59</v>
      </c>
      <c r="D172" s="163"/>
      <c r="E172" s="154">
        <v>0</v>
      </c>
      <c r="F172" s="100">
        <v>0</v>
      </c>
      <c r="G172" s="97">
        <f>F172</f>
        <v>0</v>
      </c>
      <c r="H172" s="164"/>
      <c r="I172" s="101" t="s">
        <v>705</v>
      </c>
      <c r="J172" s="101" t="str">
        <f>VLOOKUP(I172,Presupuesto!$B$11:$C$565,2,0)</f>
        <v>OTROS SERVICIOS TECNICOS Y PROFESIONALES</v>
      </c>
      <c r="K172" s="98" t="str">
        <f t="shared" si="3"/>
        <v>Posgrado</v>
      </c>
      <c r="L172" s="98" t="s">
        <v>394</v>
      </c>
    </row>
    <row r="173" spans="3:12" ht="15.75" thickBot="1">
      <c r="C173" s="140" t="s">
        <v>61</v>
      </c>
      <c r="D173" s="199"/>
      <c r="E173" s="152">
        <v>12</v>
      </c>
      <c r="F173" s="118">
        <v>30000</v>
      </c>
      <c r="G173" s="113">
        <f>D173*E173*F173</f>
        <v>0</v>
      </c>
      <c r="H173" s="166"/>
      <c r="I173" s="114" t="s">
        <v>496</v>
      </c>
      <c r="J173" s="114" t="str">
        <f>VLOOKUP(I173,Presupuesto!$B$11:$C$565,2,0)</f>
        <v>SUELDOS Y SALARIOS PERMANENTES</v>
      </c>
      <c r="K173" s="98" t="str">
        <f t="shared" si="3"/>
        <v>Posgrado</v>
      </c>
      <c r="L173" s="98" t="s">
        <v>394</v>
      </c>
    </row>
    <row r="174" spans="3:12">
      <c r="C174" s="171" t="s">
        <v>58</v>
      </c>
      <c r="D174" s="169"/>
      <c r="E174" s="131">
        <v>0</v>
      </c>
      <c r="F174" s="119">
        <f>IF(E173=0,"",(G173/E173)/12*E173)</f>
        <v>0</v>
      </c>
      <c r="G174" s="120">
        <f>F174</f>
        <v>0</v>
      </c>
      <c r="H174" s="164"/>
      <c r="I174" s="101" t="s">
        <v>516</v>
      </c>
      <c r="J174" s="101" t="str">
        <f>VLOOKUP(I174,Presupuesto!$B$11:$C$565,2,0)</f>
        <v>AGUINALDO Y DECIMO CUARTO MES</v>
      </c>
      <c r="K174" s="98" t="str">
        <f t="shared" si="3"/>
        <v>Posgrado</v>
      </c>
      <c r="L174" s="98" t="s">
        <v>394</v>
      </c>
    </row>
    <row r="175" spans="3:12" ht="15.75" thickBot="1">
      <c r="C175" s="173" t="s">
        <v>59</v>
      </c>
      <c r="D175" s="162"/>
      <c r="E175" s="132">
        <v>0</v>
      </c>
      <c r="F175" s="105">
        <f>IF(E173&lt;6,"",((E173-6)/12)*(G173/E173))</f>
        <v>0</v>
      </c>
      <c r="G175" s="105">
        <f>F175</f>
        <v>0</v>
      </c>
      <c r="H175" s="162"/>
      <c r="I175" s="106" t="s">
        <v>519</v>
      </c>
      <c r="J175" s="124" t="str">
        <f>VLOOKUP(I175,Presupuesto!$B$11:$C$565,2,0)</f>
        <v>DECIMOCUARTO MES</v>
      </c>
      <c r="K175" s="106" t="str">
        <f t="shared" si="3"/>
        <v>Posgrado</v>
      </c>
      <c r="L175" s="124" t="s">
        <v>394</v>
      </c>
    </row>
    <row r="177" spans="3:12" ht="15.75" thickBot="1">
      <c r="K177" s="153"/>
    </row>
    <row r="178" spans="3:12" ht="15.75" thickBot="1">
      <c r="C178" s="69" t="s">
        <v>43</v>
      </c>
      <c r="D178" s="30">
        <f>SUM(G185:G235)</f>
        <v>0</v>
      </c>
      <c r="E178" s="93"/>
      <c r="F178" s="93"/>
      <c r="G178" s="93"/>
      <c r="H178" s="76"/>
      <c r="I178" s="76"/>
      <c r="J178" s="76"/>
      <c r="K178" s="153"/>
    </row>
    <row r="179" spans="3:12">
      <c r="D179" s="31"/>
      <c r="E179" s="93"/>
      <c r="F179" s="93"/>
      <c r="G179" s="93"/>
      <c r="H179" s="76"/>
      <c r="I179" s="76"/>
      <c r="J179" s="76"/>
      <c r="K179" s="153"/>
    </row>
    <row r="180" spans="3:12">
      <c r="D180" s="31"/>
      <c r="E180" s="93"/>
      <c r="F180" s="93"/>
      <c r="G180" s="93"/>
      <c r="H180" s="76"/>
      <c r="I180" s="76"/>
      <c r="J180" s="76"/>
      <c r="K180" s="153"/>
    </row>
    <row r="181" spans="3:12" ht="15.75">
      <c r="C181" s="202" t="s">
        <v>392</v>
      </c>
      <c r="D181" s="361"/>
      <c r="E181" s="93"/>
      <c r="F181" s="93"/>
      <c r="G181" s="93"/>
      <c r="H181" s="76"/>
      <c r="I181" s="76"/>
      <c r="J181" s="76"/>
      <c r="K181" s="153"/>
    </row>
    <row r="182" spans="3:12" ht="18.75">
      <c r="C182" s="210" t="e">
        <f>IFERROR(VLOOKUP(D181,'1. Desarrollo e Innov. Curricu.'!$E:$F,2,FALSE),IFERROR(VLOOKUP(D181,'2. Investigación Científica'!$E:$F,2,FALSE),IFERROR(VLOOKUP(D181,'3. Vinculación Univ. Sociedad'!$E:$F,2,FALSE),IFERROR(VLOOKUP(D181,'4. Docencia y Profesorado Univ.'!$E:$F,2,FALSE),IFERROR(VLOOKUP(D181,'5. Estudiantes y Graduados'!$E:$F,2,FALSE),IFERROR(VLOOKUP(D181,'11. Gestion Administrativa'!$E:$F,2,FALSE),IFERROR(VLOOKUP(D181,'13. Gestión Académica'!$E:$F,2,FALSE),IFERROR(VLOOKUP(D181,'8. Asegura. de la Calid. y M'!$E:$F,2,FALSE),IFERROR(VLOOKUP(D181,'6. Gestión del Conocimiento'!$E:$F,2,FALSE),IFERROR(VLOOKUP(D181,'15. Gobernabilidad y Proceso...'!$E:$F,2,FALSE),IFERROR(VLOOKUP(D181,'12. Gestión del Talento Humano'!$E:$F,2,FALSE),IFERROR(VLOOKUP(D181,'14. Internacional... de la E.S.'!$E:$F,2,FALSE),IFERROR(VLOOKUP(D181,'10. Posgrado'!$E:$F,2,FALSE),IFERROR(VLOOKUP(D181,'17. Gestión TIC'!$E:$F,2,FALSE),IFERROR(VLOOKUP(D181,'16. Desa. del Sistema Educ.Sup.'!$E:$F,2,FALSE),IFERROR(VLOOKUP(D181,'9. Cultura de Inno. Insti...'!$E:$F,2,FALSE),VLOOKUP(D181,'7. Lo Esencial de la Reforma U.'!$E:$F,2,0)))))))))))))))))</f>
        <v>#N/A</v>
      </c>
      <c r="D182" s="31"/>
      <c r="E182" s="93"/>
      <c r="F182" s="93"/>
      <c r="G182" s="93"/>
      <c r="H182" s="76"/>
      <c r="I182" s="76"/>
      <c r="J182" s="76"/>
      <c r="K182" s="153"/>
    </row>
    <row r="183" spans="3:12" ht="15.75" thickBot="1">
      <c r="C183" s="177"/>
      <c r="D183" s="31"/>
      <c r="E183" s="93"/>
      <c r="F183" s="93"/>
      <c r="G183" s="93"/>
      <c r="H183" s="76"/>
      <c r="I183" s="76"/>
      <c r="J183" s="76"/>
      <c r="K183" s="153"/>
    </row>
    <row r="184" spans="3:12" ht="30.75" thickBot="1">
      <c r="C184" s="134" t="s">
        <v>44</v>
      </c>
      <c r="D184" s="138" t="s">
        <v>55</v>
      </c>
      <c r="E184" s="170" t="s">
        <v>56</v>
      </c>
      <c r="F184" s="138" t="s">
        <v>57</v>
      </c>
      <c r="G184" s="135" t="s">
        <v>27</v>
      </c>
      <c r="H184" s="133" t="s">
        <v>131</v>
      </c>
      <c r="I184" s="136" t="s">
        <v>46</v>
      </c>
      <c r="J184" s="136" t="s">
        <v>132</v>
      </c>
      <c r="K184" s="136" t="s">
        <v>410</v>
      </c>
      <c r="L184" s="136" t="s">
        <v>411</v>
      </c>
    </row>
    <row r="185" spans="3:12" ht="15.75" thickBot="1">
      <c r="C185" s="137" t="s">
        <v>482</v>
      </c>
      <c r="D185" s="199"/>
      <c r="E185" s="152">
        <v>12</v>
      </c>
      <c r="F185" s="301">
        <f>HLOOKUP($C185,$BZ$2:$CM$3,2,0)</f>
        <v>43674.39</v>
      </c>
      <c r="G185" s="113">
        <f>D185*E185*F185</f>
        <v>0</v>
      </c>
      <c r="H185" s="166"/>
      <c r="I185" s="114" t="s">
        <v>496</v>
      </c>
      <c r="J185" s="114" t="str">
        <f>VLOOKUP(I185,Presupuesto!$B$11:$C$565,2,0)</f>
        <v>SUELDOS Y SALARIOS PERMANENTES</v>
      </c>
      <c r="K185" s="218" t="s">
        <v>1441</v>
      </c>
      <c r="L185" s="98" t="s">
        <v>394</v>
      </c>
    </row>
    <row r="186" spans="3:12">
      <c r="C186" s="171" t="s">
        <v>58</v>
      </c>
      <c r="D186" s="163"/>
      <c r="E186" s="154">
        <v>0</v>
      </c>
      <c r="F186" s="100">
        <f>IF(E185=0,"",(G185/E185)/12*E185)</f>
        <v>0</v>
      </c>
      <c r="G186" s="97">
        <f>F186</f>
        <v>0</v>
      </c>
      <c r="H186" s="164"/>
      <c r="I186" s="116" t="s">
        <v>516</v>
      </c>
      <c r="J186" s="116" t="str">
        <f>VLOOKUP(I186,Presupuesto!$B$11:$C$565,2,0)</f>
        <v>AGUINALDO Y DECIMO CUARTO MES</v>
      </c>
      <c r="K186" s="98" t="str">
        <f t="shared" ref="K186:K217" si="4">$K$185</f>
        <v>Posgrado</v>
      </c>
      <c r="L186" s="98" t="s">
        <v>412</v>
      </c>
    </row>
    <row r="187" spans="3:12" ht="15.75" thickBot="1">
      <c r="C187" s="172" t="s">
        <v>59</v>
      </c>
      <c r="D187" s="163"/>
      <c r="E187" s="154">
        <v>0</v>
      </c>
      <c r="F187" s="117">
        <f>IF(E185&lt;6,"",((E185-6)/12)*(G185/E185))</f>
        <v>0</v>
      </c>
      <c r="G187" s="97">
        <f>F187</f>
        <v>0</v>
      </c>
      <c r="H187" s="164"/>
      <c r="I187" s="101" t="s">
        <v>519</v>
      </c>
      <c r="J187" s="101" t="str">
        <f>VLOOKUP(I187,Presupuesto!$B$11:$C$565,2,0)</f>
        <v>DECIMOCUARTO MES</v>
      </c>
      <c r="K187" s="98" t="str">
        <f t="shared" si="4"/>
        <v>Posgrado</v>
      </c>
      <c r="L187" s="98" t="s">
        <v>395</v>
      </c>
    </row>
    <row r="188" spans="3:12" ht="15.75" thickBot="1">
      <c r="C188" s="137" t="s">
        <v>483</v>
      </c>
      <c r="D188" s="199"/>
      <c r="E188" s="152">
        <v>12</v>
      </c>
      <c r="F188" s="301">
        <f>HLOOKUP($C188,$BZ$2:$CM$3,2,0)</f>
        <v>39703.99</v>
      </c>
      <c r="G188" s="113">
        <f>D188*E188*F188</f>
        <v>0</v>
      </c>
      <c r="H188" s="166"/>
      <c r="I188" s="114" t="s">
        <v>496</v>
      </c>
      <c r="J188" s="114" t="str">
        <f>VLOOKUP(I188,Presupuesto!$B$11:$C$565,2,0)</f>
        <v>SUELDOS Y SALARIOS PERMANENTES</v>
      </c>
      <c r="K188" s="98" t="str">
        <f t="shared" si="4"/>
        <v>Posgrado</v>
      </c>
      <c r="L188" s="98" t="s">
        <v>395</v>
      </c>
    </row>
    <row r="189" spans="3:12">
      <c r="C189" s="171" t="s">
        <v>58</v>
      </c>
      <c r="D189" s="163"/>
      <c r="E189" s="154">
        <v>0</v>
      </c>
      <c r="F189" s="100">
        <f>IF(E188=0,"",(G188/E188)/12*E188)</f>
        <v>0</v>
      </c>
      <c r="G189" s="97">
        <f>F189</f>
        <v>0</v>
      </c>
      <c r="H189" s="164"/>
      <c r="I189" s="116" t="s">
        <v>516</v>
      </c>
      <c r="J189" s="116" t="str">
        <f>VLOOKUP(I189,Presupuesto!$B$11:$C$565,2,0)</f>
        <v>AGUINALDO Y DECIMO CUARTO MES</v>
      </c>
      <c r="K189" s="98" t="str">
        <f t="shared" si="4"/>
        <v>Posgrado</v>
      </c>
      <c r="L189" s="98" t="s">
        <v>395</v>
      </c>
    </row>
    <row r="190" spans="3:12" ht="15.75" thickBot="1">
      <c r="C190" s="172" t="s">
        <v>59</v>
      </c>
      <c r="D190" s="163"/>
      <c r="E190" s="154">
        <v>0</v>
      </c>
      <c r="F190" s="117">
        <f>IF(E188&lt;6,"",((E188-6)/12)*(G188/E188))</f>
        <v>0</v>
      </c>
      <c r="G190" s="97">
        <f>F190</f>
        <v>0</v>
      </c>
      <c r="H190" s="164"/>
      <c r="I190" s="101" t="s">
        <v>519</v>
      </c>
      <c r="J190" s="101" t="str">
        <f>VLOOKUP(I190,Presupuesto!$B$11:$C$565,2,0)</f>
        <v>DECIMOCUARTO MES</v>
      </c>
      <c r="K190" s="98" t="str">
        <f t="shared" si="4"/>
        <v>Posgrado</v>
      </c>
      <c r="L190" s="98" t="s">
        <v>395</v>
      </c>
    </row>
    <row r="191" spans="3:12" ht="15.75" thickBot="1">
      <c r="C191" s="137" t="s">
        <v>484</v>
      </c>
      <c r="D191" s="199"/>
      <c r="E191" s="152">
        <v>12</v>
      </c>
      <c r="F191" s="301">
        <f>HLOOKUP($C191,$BZ$2:$CM$3,2,0)</f>
        <v>35733.589999999997</v>
      </c>
      <c r="G191" s="113">
        <f>D191*E191*F191</f>
        <v>0</v>
      </c>
      <c r="H191" s="166"/>
      <c r="I191" s="114" t="s">
        <v>496</v>
      </c>
      <c r="J191" s="114" t="str">
        <f>VLOOKUP(I191,Presupuesto!$B$11:$C$565,2,0)</f>
        <v>SUELDOS Y SALARIOS PERMANENTES</v>
      </c>
      <c r="K191" s="98" t="str">
        <f t="shared" si="4"/>
        <v>Posgrado</v>
      </c>
      <c r="L191" s="98" t="s">
        <v>395</v>
      </c>
    </row>
    <row r="192" spans="3:12">
      <c r="C192" s="171" t="s">
        <v>58</v>
      </c>
      <c r="D192" s="163"/>
      <c r="E192" s="154">
        <v>0</v>
      </c>
      <c r="F192" s="100">
        <f>IF(E191=0,"",(G191/E191)/12*E191)</f>
        <v>0</v>
      </c>
      <c r="G192" s="97">
        <f>F192</f>
        <v>0</v>
      </c>
      <c r="H192" s="164"/>
      <c r="I192" s="116" t="s">
        <v>516</v>
      </c>
      <c r="J192" s="116" t="str">
        <f>VLOOKUP(I192,Presupuesto!$B$11:$C$565,2,0)</f>
        <v>AGUINALDO Y DECIMO CUARTO MES</v>
      </c>
      <c r="K192" s="98" t="str">
        <f t="shared" si="4"/>
        <v>Posgrado</v>
      </c>
      <c r="L192" s="98" t="s">
        <v>395</v>
      </c>
    </row>
    <row r="193" spans="3:12" ht="15.75" thickBot="1">
      <c r="C193" s="172" t="s">
        <v>59</v>
      </c>
      <c r="D193" s="163"/>
      <c r="E193" s="154">
        <v>0</v>
      </c>
      <c r="F193" s="117">
        <f>IF(E191&lt;6,"",((E191-6)/12)*(G191/E191))</f>
        <v>0</v>
      </c>
      <c r="G193" s="97">
        <f>F193</f>
        <v>0</v>
      </c>
      <c r="H193" s="164"/>
      <c r="I193" s="101" t="s">
        <v>519</v>
      </c>
      <c r="J193" s="101" t="str">
        <f>VLOOKUP(I193,Presupuesto!$B$11:$C$565,2,0)</f>
        <v>DECIMOCUARTO MES</v>
      </c>
      <c r="K193" s="98" t="str">
        <f t="shared" si="4"/>
        <v>Posgrado</v>
      </c>
      <c r="L193" s="98" t="s">
        <v>395</v>
      </c>
    </row>
    <row r="194" spans="3:12" ht="15.75" thickBot="1">
      <c r="C194" s="137" t="s">
        <v>485</v>
      </c>
      <c r="D194" s="199"/>
      <c r="E194" s="152">
        <v>12</v>
      </c>
      <c r="F194" s="301">
        <f>HLOOKUP($C194,$BZ$2:$CM$3,2,0)</f>
        <v>31763.19</v>
      </c>
      <c r="G194" s="113">
        <f>D194*E194*F194</f>
        <v>0</v>
      </c>
      <c r="H194" s="166"/>
      <c r="I194" s="114" t="s">
        <v>496</v>
      </c>
      <c r="J194" s="114" t="str">
        <f>VLOOKUP(I194,Presupuesto!$B$11:$C$565,2,0)</f>
        <v>SUELDOS Y SALARIOS PERMANENTES</v>
      </c>
      <c r="K194" s="98" t="str">
        <f t="shared" si="4"/>
        <v>Posgrado</v>
      </c>
      <c r="L194" s="98" t="s">
        <v>395</v>
      </c>
    </row>
    <row r="195" spans="3:12">
      <c r="C195" s="171" t="s">
        <v>58</v>
      </c>
      <c r="D195" s="163"/>
      <c r="E195" s="154">
        <v>0</v>
      </c>
      <c r="F195" s="100">
        <f>IF(E194=0,"",(G194/E194)/12*E194)</f>
        <v>0</v>
      </c>
      <c r="G195" s="97">
        <f>F195</f>
        <v>0</v>
      </c>
      <c r="H195" s="164"/>
      <c r="I195" s="116" t="s">
        <v>516</v>
      </c>
      <c r="J195" s="116" t="str">
        <f>VLOOKUP(I195,Presupuesto!$B$11:$C$565,2,0)</f>
        <v>AGUINALDO Y DECIMO CUARTO MES</v>
      </c>
      <c r="K195" s="98" t="str">
        <f t="shared" si="4"/>
        <v>Posgrado</v>
      </c>
      <c r="L195" s="98" t="s">
        <v>395</v>
      </c>
    </row>
    <row r="196" spans="3:12" ht="15.75" thickBot="1">
      <c r="C196" s="172" t="s">
        <v>59</v>
      </c>
      <c r="D196" s="163"/>
      <c r="E196" s="154">
        <v>0</v>
      </c>
      <c r="F196" s="117">
        <f>IF(E194&lt;6,"",((E194-6)/12)*(G194/E194))</f>
        <v>0</v>
      </c>
      <c r="G196" s="97">
        <f>F196</f>
        <v>0</v>
      </c>
      <c r="H196" s="164"/>
      <c r="I196" s="101" t="s">
        <v>519</v>
      </c>
      <c r="J196" s="101" t="str">
        <f>VLOOKUP(I196,Presupuesto!$B$11:$C$565,2,0)</f>
        <v>DECIMOCUARTO MES</v>
      </c>
      <c r="K196" s="98" t="str">
        <f t="shared" si="4"/>
        <v>Posgrado</v>
      </c>
      <c r="L196" s="98" t="s">
        <v>395</v>
      </c>
    </row>
    <row r="197" spans="3:12" ht="15.75" thickBot="1">
      <c r="C197" s="137" t="s">
        <v>486</v>
      </c>
      <c r="D197" s="199"/>
      <c r="E197" s="152">
        <v>12</v>
      </c>
      <c r="F197" s="301">
        <f>HLOOKUP($C197,$BZ$2:$CM$3,2,0)</f>
        <v>29777.99</v>
      </c>
      <c r="G197" s="113">
        <f>D197*E197*F197</f>
        <v>0</v>
      </c>
      <c r="H197" s="166"/>
      <c r="I197" s="114" t="s">
        <v>496</v>
      </c>
      <c r="J197" s="114" t="str">
        <f>VLOOKUP(I197,Presupuesto!$B$11:$C$565,2,0)</f>
        <v>SUELDOS Y SALARIOS PERMANENTES</v>
      </c>
      <c r="K197" s="98" t="str">
        <f t="shared" si="4"/>
        <v>Posgrado</v>
      </c>
      <c r="L197" s="98" t="s">
        <v>395</v>
      </c>
    </row>
    <row r="198" spans="3:12">
      <c r="C198" s="171" t="s">
        <v>58</v>
      </c>
      <c r="D198" s="163"/>
      <c r="E198" s="154">
        <v>0</v>
      </c>
      <c r="F198" s="100">
        <f>IF(E197=0,"",(G197/E197)/12*E197)</f>
        <v>0</v>
      </c>
      <c r="G198" s="97">
        <f>F198</f>
        <v>0</v>
      </c>
      <c r="H198" s="164"/>
      <c r="I198" s="116" t="s">
        <v>516</v>
      </c>
      <c r="J198" s="116" t="str">
        <f>VLOOKUP(I198,Presupuesto!$B$11:$C$565,2,0)</f>
        <v>AGUINALDO Y DECIMO CUARTO MES</v>
      </c>
      <c r="K198" s="98" t="str">
        <f t="shared" si="4"/>
        <v>Posgrado</v>
      </c>
      <c r="L198" s="98" t="s">
        <v>395</v>
      </c>
    </row>
    <row r="199" spans="3:12" ht="15.75" thickBot="1">
      <c r="C199" s="172" t="s">
        <v>59</v>
      </c>
      <c r="D199" s="163"/>
      <c r="E199" s="154">
        <v>0</v>
      </c>
      <c r="F199" s="117">
        <f>IF(E197&lt;6,"",((E197-6)/12)*(G197/E197))</f>
        <v>0</v>
      </c>
      <c r="G199" s="97">
        <f>F199</f>
        <v>0</v>
      </c>
      <c r="H199" s="164"/>
      <c r="I199" s="101" t="s">
        <v>519</v>
      </c>
      <c r="J199" s="101" t="str">
        <f>VLOOKUP(I199,Presupuesto!$B$11:$C$565,2,0)</f>
        <v>DECIMOCUARTO MES</v>
      </c>
      <c r="K199" s="98" t="str">
        <f t="shared" si="4"/>
        <v>Posgrado</v>
      </c>
      <c r="L199" s="98" t="s">
        <v>395</v>
      </c>
    </row>
    <row r="200" spans="3:12" ht="15.75" thickBot="1">
      <c r="C200" s="137" t="s">
        <v>487</v>
      </c>
      <c r="D200" s="199"/>
      <c r="E200" s="152">
        <v>12</v>
      </c>
      <c r="F200" s="301">
        <f>HLOOKUP($C200,$BZ$2:$CM$3,2,0)</f>
        <v>27792.79</v>
      </c>
      <c r="G200" s="113">
        <f>D200*E200*F200</f>
        <v>0</v>
      </c>
      <c r="H200" s="166"/>
      <c r="I200" s="114" t="s">
        <v>496</v>
      </c>
      <c r="J200" s="114" t="str">
        <f>VLOOKUP(I200,Presupuesto!$B$11:$C$565,2,0)</f>
        <v>SUELDOS Y SALARIOS PERMANENTES</v>
      </c>
      <c r="K200" s="98" t="str">
        <f t="shared" si="4"/>
        <v>Posgrado</v>
      </c>
      <c r="L200" s="98" t="s">
        <v>395</v>
      </c>
    </row>
    <row r="201" spans="3:12">
      <c r="C201" s="171" t="s">
        <v>58</v>
      </c>
      <c r="D201" s="163"/>
      <c r="E201" s="154">
        <v>0</v>
      </c>
      <c r="F201" s="100">
        <f>IF(E200=0,"",(G200/E200)/12*E200)</f>
        <v>0</v>
      </c>
      <c r="G201" s="97">
        <f>F201</f>
        <v>0</v>
      </c>
      <c r="H201" s="164"/>
      <c r="I201" s="116" t="s">
        <v>516</v>
      </c>
      <c r="J201" s="116" t="str">
        <f>VLOOKUP(I201,Presupuesto!$B$11:$C$565,2,0)</f>
        <v>AGUINALDO Y DECIMO CUARTO MES</v>
      </c>
      <c r="K201" s="98" t="str">
        <f t="shared" si="4"/>
        <v>Posgrado</v>
      </c>
      <c r="L201" s="98" t="s">
        <v>395</v>
      </c>
    </row>
    <row r="202" spans="3:12" ht="15.75" thickBot="1">
      <c r="C202" s="172" t="s">
        <v>59</v>
      </c>
      <c r="D202" s="163"/>
      <c r="E202" s="154">
        <v>0</v>
      </c>
      <c r="F202" s="117">
        <f>IF(E200&lt;6,"",((E200-6)/12)*(G200/E200))</f>
        <v>0</v>
      </c>
      <c r="G202" s="97">
        <f>F202</f>
        <v>0</v>
      </c>
      <c r="H202" s="164"/>
      <c r="I202" s="101" t="s">
        <v>519</v>
      </c>
      <c r="J202" s="101" t="str">
        <f>VLOOKUP(I202,Presupuesto!$B$11:$C$565,2,0)</f>
        <v>DECIMOCUARTO MES</v>
      </c>
      <c r="K202" s="98" t="str">
        <f t="shared" si="4"/>
        <v>Posgrado</v>
      </c>
      <c r="L202" s="98" t="s">
        <v>395</v>
      </c>
    </row>
    <row r="203" spans="3:12" ht="15.75" thickBot="1">
      <c r="C203" s="137" t="s">
        <v>488</v>
      </c>
      <c r="D203" s="199"/>
      <c r="E203" s="152">
        <v>12</v>
      </c>
      <c r="F203" s="301">
        <f>HLOOKUP($C203,$BZ$2:$CM$3,2,0)</f>
        <v>18859.39</v>
      </c>
      <c r="G203" s="113">
        <f>D203*E203*F203</f>
        <v>0</v>
      </c>
      <c r="H203" s="166"/>
      <c r="I203" s="114" t="s">
        <v>496</v>
      </c>
      <c r="J203" s="114" t="str">
        <f>VLOOKUP(I203,Presupuesto!$B$11:$C$565,2,0)</f>
        <v>SUELDOS Y SALARIOS PERMANENTES</v>
      </c>
      <c r="K203" s="98" t="str">
        <f t="shared" si="4"/>
        <v>Posgrado</v>
      </c>
      <c r="L203" s="98" t="s">
        <v>395</v>
      </c>
    </row>
    <row r="204" spans="3:12">
      <c r="C204" s="171" t="s">
        <v>58</v>
      </c>
      <c r="D204" s="163"/>
      <c r="E204" s="154">
        <v>0</v>
      </c>
      <c r="F204" s="100">
        <f>IF(E203=0,"",(G203/E203)/12*E203)</f>
        <v>0</v>
      </c>
      <c r="G204" s="97">
        <f>F204</f>
        <v>0</v>
      </c>
      <c r="H204" s="164"/>
      <c r="I204" s="116" t="s">
        <v>516</v>
      </c>
      <c r="J204" s="116" t="str">
        <f>VLOOKUP(I204,Presupuesto!$B$11:$C$565,2,0)</f>
        <v>AGUINALDO Y DECIMO CUARTO MES</v>
      </c>
      <c r="K204" s="98" t="str">
        <f t="shared" si="4"/>
        <v>Posgrado</v>
      </c>
      <c r="L204" s="98" t="s">
        <v>395</v>
      </c>
    </row>
    <row r="205" spans="3:12" ht="15.75" thickBot="1">
      <c r="C205" s="172" t="s">
        <v>59</v>
      </c>
      <c r="D205" s="163"/>
      <c r="E205" s="154">
        <v>0</v>
      </c>
      <c r="F205" s="117">
        <f>IF(E203&lt;6,"",((E203-6)/12)*(G203/E203))</f>
        <v>0</v>
      </c>
      <c r="G205" s="97">
        <f>F205</f>
        <v>0</v>
      </c>
      <c r="H205" s="164"/>
      <c r="I205" s="101" t="s">
        <v>519</v>
      </c>
      <c r="J205" s="101" t="str">
        <f>VLOOKUP(I205,Presupuesto!$B$11:$C$565,2,0)</f>
        <v>DECIMOCUARTO MES</v>
      </c>
      <c r="K205" s="98" t="str">
        <f t="shared" si="4"/>
        <v>Posgrado</v>
      </c>
      <c r="L205" s="98" t="s">
        <v>395</v>
      </c>
    </row>
    <row r="206" spans="3:12" ht="15.75" thickBot="1">
      <c r="C206" s="137" t="s">
        <v>489</v>
      </c>
      <c r="D206" s="199"/>
      <c r="E206" s="152">
        <v>12</v>
      </c>
      <c r="F206" s="301">
        <f>HLOOKUP($C206,$BZ$2:$CM$3,2,0)</f>
        <v>17866.8</v>
      </c>
      <c r="G206" s="113">
        <f>D206*E206*F206</f>
        <v>0</v>
      </c>
      <c r="H206" s="166"/>
      <c r="I206" s="114" t="s">
        <v>496</v>
      </c>
      <c r="J206" s="114" t="str">
        <f>VLOOKUP(I206,Presupuesto!$B$11:$C$565,2,0)</f>
        <v>SUELDOS Y SALARIOS PERMANENTES</v>
      </c>
      <c r="K206" s="98" t="str">
        <f t="shared" si="4"/>
        <v>Posgrado</v>
      </c>
      <c r="L206" s="98" t="s">
        <v>395</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si="4"/>
        <v>Posgrado</v>
      </c>
      <c r="L207" s="98" t="s">
        <v>395</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4"/>
        <v>Posgrado</v>
      </c>
      <c r="L208" s="98" t="s">
        <v>395</v>
      </c>
    </row>
    <row r="209" spans="3:12" ht="15.75" thickBot="1">
      <c r="C209" s="137" t="s">
        <v>490</v>
      </c>
      <c r="D209" s="199"/>
      <c r="E209" s="152">
        <v>12</v>
      </c>
      <c r="F209" s="301">
        <f>HLOOKUP($C209,$BZ$2:$CM$3,2,0)</f>
        <v>13896.4</v>
      </c>
      <c r="G209" s="113">
        <f>D209*E209*F209</f>
        <v>0</v>
      </c>
      <c r="H209" s="166"/>
      <c r="I209" s="114" t="s">
        <v>496</v>
      </c>
      <c r="J209" s="114" t="str">
        <f>VLOOKUP(I209,Presupuesto!$B$11:$C$565,2,0)</f>
        <v>SUELDOS Y SALARIOS PERMANENTES</v>
      </c>
      <c r="K209" s="98" t="str">
        <f t="shared" si="4"/>
        <v>Posgrado</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4"/>
        <v>Posgrado</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4"/>
        <v>Posgrado</v>
      </c>
      <c r="L211" s="98" t="s">
        <v>395</v>
      </c>
    </row>
    <row r="212" spans="3:12" ht="15.75" thickBot="1">
      <c r="C212" s="137" t="s">
        <v>491</v>
      </c>
      <c r="D212" s="199"/>
      <c r="E212" s="152">
        <v>12</v>
      </c>
      <c r="F212" s="301">
        <f>HLOOKUP($C212,$BZ$2:$CM$3,2,0)</f>
        <v>15004.09</v>
      </c>
      <c r="G212" s="113">
        <f>D212*E212*F212</f>
        <v>0</v>
      </c>
      <c r="H212" s="166"/>
      <c r="I212" s="114" t="s">
        <v>496</v>
      </c>
      <c r="J212" s="114" t="str">
        <f>VLOOKUP(I212,Presupuesto!$B$11:$C$565,2,0)</f>
        <v>SUELDOS Y SALARIOS PERMANENTES</v>
      </c>
      <c r="K212" s="98" t="str">
        <f t="shared" si="4"/>
        <v>Posgrado</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4"/>
        <v>Posgrado</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4"/>
        <v>Posgrado</v>
      </c>
      <c r="L214" s="98" t="s">
        <v>395</v>
      </c>
    </row>
    <row r="215" spans="3:12" ht="15.75" thickBot="1">
      <c r="C215" s="137" t="s">
        <v>492</v>
      </c>
      <c r="D215" s="199"/>
      <c r="E215" s="152">
        <v>12</v>
      </c>
      <c r="F215" s="301">
        <f>HLOOKUP($C215,$BZ$2:$CM$3,2,0)</f>
        <v>13238.9</v>
      </c>
      <c r="G215" s="113">
        <f>D215*E215*F215</f>
        <v>0</v>
      </c>
      <c r="H215" s="166"/>
      <c r="I215" s="114" t="s">
        <v>496</v>
      </c>
      <c r="J215" s="114" t="str">
        <f>VLOOKUP(I215,Presupuesto!$B$11:$C$565,2,0)</f>
        <v>SUELDOS Y SALARIOS PERMANENTES</v>
      </c>
      <c r="K215" s="98" t="str">
        <f t="shared" si="4"/>
        <v>Posgrado</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4"/>
        <v>Posgrado</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4"/>
        <v>Posgrado</v>
      </c>
      <c r="L217" s="98" t="s">
        <v>395</v>
      </c>
    </row>
    <row r="218" spans="3:12" ht="15.75" thickBot="1">
      <c r="C218" s="137" t="s">
        <v>493</v>
      </c>
      <c r="D218" s="199"/>
      <c r="E218" s="152">
        <v>12</v>
      </c>
      <c r="F218" s="301">
        <f>HLOOKUP($C218,$BZ$2:$CM$3,2,0)</f>
        <v>12356.31</v>
      </c>
      <c r="G218" s="113">
        <f>D218*E218*F218</f>
        <v>0</v>
      </c>
      <c r="H218" s="166"/>
      <c r="I218" s="114" t="s">
        <v>496</v>
      </c>
      <c r="J218" s="114" t="str">
        <f>VLOOKUP(I218,Presupuesto!$B$11:$C$565,2,0)</f>
        <v>SUELDOS Y SALARIOS PERMANENTES</v>
      </c>
      <c r="K218" s="98" t="str">
        <f t="shared" ref="K218:K235" si="5">$K$185</f>
        <v>Posgrado</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5"/>
        <v>Posgrado</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5"/>
        <v>Posgrado</v>
      </c>
      <c r="L220" s="98" t="s">
        <v>395</v>
      </c>
    </row>
    <row r="221" spans="3:12" ht="15.75" thickBot="1">
      <c r="C221" s="137" t="s">
        <v>494</v>
      </c>
      <c r="D221" s="199"/>
      <c r="E221" s="152">
        <v>12</v>
      </c>
      <c r="F221" s="301">
        <f>HLOOKUP($C221,$BZ$2:$CM$3,2,0)</f>
        <v>463.22</v>
      </c>
      <c r="G221" s="113">
        <f>D221*E221*F221</f>
        <v>0</v>
      </c>
      <c r="H221" s="166"/>
      <c r="I221" s="114" t="s">
        <v>496</v>
      </c>
      <c r="J221" s="114" t="str">
        <f>VLOOKUP(I221,Presupuesto!$B$11:$C$565,2,0)</f>
        <v>SUELDOS Y SALARIOS PERMANENTES</v>
      </c>
      <c r="K221" s="98" t="str">
        <f t="shared" si="5"/>
        <v>Posgrado</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5"/>
        <v>Posgrado</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5"/>
        <v>Posgrado</v>
      </c>
      <c r="L223" s="98" t="s">
        <v>395</v>
      </c>
    </row>
    <row r="224" spans="3:12" ht="15.75" thickBot="1">
      <c r="C224" s="137" t="s">
        <v>495</v>
      </c>
      <c r="D224" s="199"/>
      <c r="E224" s="152">
        <v>12</v>
      </c>
      <c r="F224" s="301">
        <f>HLOOKUP($C224,$BZ$2:$CM$3,2,0)</f>
        <v>2007.3</v>
      </c>
      <c r="G224" s="113">
        <f>D224*E224*F224</f>
        <v>0</v>
      </c>
      <c r="H224" s="166"/>
      <c r="I224" s="114" t="s">
        <v>496</v>
      </c>
      <c r="J224" s="114" t="str">
        <f>VLOOKUP(I224,Presupuesto!$B$11:$C$565,2,0)</f>
        <v>SUELDOS Y SALARIOS PERMANENTES</v>
      </c>
      <c r="K224" s="98" t="str">
        <f t="shared" si="5"/>
        <v>Posgrado</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5"/>
        <v>Posgrado</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5"/>
        <v>Posgrado</v>
      </c>
      <c r="L226" s="98" t="s">
        <v>395</v>
      </c>
    </row>
    <row r="227" spans="3:12" ht="15.75" thickBot="1">
      <c r="C227" s="140" t="s">
        <v>83</v>
      </c>
      <c r="D227" s="199"/>
      <c r="E227" s="152">
        <v>12</v>
      </c>
      <c r="F227" s="139">
        <v>30000</v>
      </c>
      <c r="G227" s="113">
        <f>D227*E227*F227</f>
        <v>0</v>
      </c>
      <c r="H227" s="166"/>
      <c r="I227" s="114" t="s">
        <v>564</v>
      </c>
      <c r="J227" s="114" t="str">
        <f>VLOOKUP(I227,Presupuesto!$B$11:$C$565,2,0)</f>
        <v>CONTRATOS ESPECIALES</v>
      </c>
      <c r="K227" s="98" t="str">
        <f t="shared" si="5"/>
        <v>Posgrado</v>
      </c>
      <c r="L227" s="98" t="s">
        <v>395</v>
      </c>
    </row>
    <row r="228" spans="3:12">
      <c r="C228" s="171" t="s">
        <v>58</v>
      </c>
      <c r="D228" s="163"/>
      <c r="E228" s="154">
        <v>0</v>
      </c>
      <c r="F228" s="117">
        <f>IF(E227=0,"",(G227/E227)/12*E227)</f>
        <v>0</v>
      </c>
      <c r="G228" s="97">
        <f>F228</f>
        <v>0</v>
      </c>
      <c r="H228" s="164"/>
      <c r="I228" s="101" t="s">
        <v>564</v>
      </c>
      <c r="J228" s="101" t="str">
        <f>VLOOKUP(I228,Presupuesto!$B$11:$C$565,2,0)</f>
        <v>CONTRATOS ESPECIALES</v>
      </c>
      <c r="K228" s="98" t="str">
        <f t="shared" si="5"/>
        <v>Posgrado</v>
      </c>
      <c r="L228" s="98" t="s">
        <v>394</v>
      </c>
    </row>
    <row r="229" spans="3:12" ht="15.75" thickBot="1">
      <c r="C229" s="172" t="s">
        <v>59</v>
      </c>
      <c r="D229" s="163"/>
      <c r="E229" s="154">
        <v>0</v>
      </c>
      <c r="F229" s="100">
        <f>IF(E227&lt;6,"",((E227-6)/12)*(G227/E227))</f>
        <v>0</v>
      </c>
      <c r="G229" s="97">
        <f>F229</f>
        <v>0</v>
      </c>
      <c r="H229" s="164"/>
      <c r="I229" s="101" t="s">
        <v>564</v>
      </c>
      <c r="J229" s="101" t="str">
        <f>VLOOKUP(I229,Presupuesto!$B$11:$C$565,2,0)</f>
        <v>CONTRATOS ESPECIALES</v>
      </c>
      <c r="K229" s="98" t="str">
        <f t="shared" si="5"/>
        <v>Posgrado</v>
      </c>
      <c r="L229" s="98" t="s">
        <v>399</v>
      </c>
    </row>
    <row r="230" spans="3:12" ht="15.75" thickBot="1">
      <c r="C230" s="140" t="s">
        <v>60</v>
      </c>
      <c r="D230" s="199"/>
      <c r="E230" s="152">
        <v>12</v>
      </c>
      <c r="F230" s="118">
        <v>30000</v>
      </c>
      <c r="G230" s="113">
        <f>D230*E230*F230</f>
        <v>0</v>
      </c>
      <c r="H230" s="166"/>
      <c r="I230" s="114" t="s">
        <v>705</v>
      </c>
      <c r="J230" s="114" t="str">
        <f>VLOOKUP(I230,Presupuesto!$B$11:$C$565,2,0)</f>
        <v>OTROS SERVICIOS TECNICOS Y PROFESIONALES</v>
      </c>
      <c r="K230" s="98" t="str">
        <f t="shared" si="5"/>
        <v>Posgrado</v>
      </c>
      <c r="L230" s="98" t="s">
        <v>394</v>
      </c>
    </row>
    <row r="231" spans="3:12">
      <c r="C231" s="171" t="s">
        <v>58</v>
      </c>
      <c r="D231" s="163"/>
      <c r="E231" s="154">
        <v>0</v>
      </c>
      <c r="F231" s="100">
        <v>0</v>
      </c>
      <c r="G231" s="97">
        <f>F231</f>
        <v>0</v>
      </c>
      <c r="H231" s="164"/>
      <c r="I231" s="101" t="s">
        <v>705</v>
      </c>
      <c r="J231" s="101" t="str">
        <f>VLOOKUP(I231,Presupuesto!$B$11:$C$565,2,0)</f>
        <v>OTROS SERVICIOS TECNICOS Y PROFESIONALES</v>
      </c>
      <c r="K231" s="98" t="str">
        <f t="shared" si="5"/>
        <v>Posgrado</v>
      </c>
      <c r="L231" s="98" t="s">
        <v>394</v>
      </c>
    </row>
    <row r="232" spans="3:12" ht="15.75" thickBot="1">
      <c r="C232" s="172" t="s">
        <v>59</v>
      </c>
      <c r="D232" s="163"/>
      <c r="E232" s="154">
        <v>0</v>
      </c>
      <c r="F232" s="100">
        <v>0</v>
      </c>
      <c r="G232" s="97">
        <f>F232</f>
        <v>0</v>
      </c>
      <c r="H232" s="164"/>
      <c r="I232" s="101" t="s">
        <v>705</v>
      </c>
      <c r="J232" s="101" t="str">
        <f>VLOOKUP(I232,Presupuesto!$B$11:$C$565,2,0)</f>
        <v>OTROS SERVICIOS TECNICOS Y PROFESIONALES</v>
      </c>
      <c r="K232" s="98" t="str">
        <f t="shared" si="5"/>
        <v>Posgrado</v>
      </c>
      <c r="L232" s="98" t="s">
        <v>394</v>
      </c>
    </row>
    <row r="233" spans="3:12" ht="15.75" thickBot="1">
      <c r="C233" s="140" t="s">
        <v>61</v>
      </c>
      <c r="D233" s="199"/>
      <c r="E233" s="152">
        <v>12</v>
      </c>
      <c r="F233" s="118">
        <v>30000</v>
      </c>
      <c r="G233" s="113">
        <f>D233*E233*F233</f>
        <v>0</v>
      </c>
      <c r="H233" s="166"/>
      <c r="I233" s="114" t="s">
        <v>496</v>
      </c>
      <c r="J233" s="114" t="str">
        <f>VLOOKUP(I233,Presupuesto!$B$11:$C$565,2,0)</f>
        <v>SUELDOS Y SALARIOS PERMANENTES</v>
      </c>
      <c r="K233" s="98" t="str">
        <f t="shared" si="5"/>
        <v>Posgrado</v>
      </c>
      <c r="L233" s="98" t="s">
        <v>394</v>
      </c>
    </row>
    <row r="234" spans="3:12">
      <c r="C234" s="171" t="s">
        <v>58</v>
      </c>
      <c r="D234" s="169"/>
      <c r="E234" s="131">
        <v>0</v>
      </c>
      <c r="F234" s="119">
        <f>IF(E233=0,"",(G233/E233)/12*E233)</f>
        <v>0</v>
      </c>
      <c r="G234" s="120">
        <f>F234</f>
        <v>0</v>
      </c>
      <c r="H234" s="164"/>
      <c r="I234" s="101" t="s">
        <v>516</v>
      </c>
      <c r="J234" s="101" t="str">
        <f>VLOOKUP(I234,Presupuesto!$B$11:$C$565,2,0)</f>
        <v>AGUINALDO Y DECIMO CUARTO MES</v>
      </c>
      <c r="K234" s="98" t="str">
        <f t="shared" si="5"/>
        <v>Posgrado</v>
      </c>
      <c r="L234" s="98" t="s">
        <v>394</v>
      </c>
    </row>
    <row r="235" spans="3:12" ht="15.75" thickBot="1">
      <c r="C235" s="173" t="s">
        <v>59</v>
      </c>
      <c r="D235" s="162"/>
      <c r="E235" s="132">
        <v>0</v>
      </c>
      <c r="F235" s="105">
        <f>IF(E233&lt;6,"",((E233-6)/12)*(G233/E233))</f>
        <v>0</v>
      </c>
      <c r="G235" s="105">
        <f>F235</f>
        <v>0</v>
      </c>
      <c r="H235" s="162"/>
      <c r="I235" s="106" t="s">
        <v>519</v>
      </c>
      <c r="J235" s="124" t="str">
        <f>VLOOKUP(I235,Presupuesto!$B$11:$C$565,2,0)</f>
        <v>DECIMOCUARTO MES</v>
      </c>
      <c r="K235" s="106" t="str">
        <f t="shared" si="5"/>
        <v>Posgrado</v>
      </c>
      <c r="L235" s="124" t="s">
        <v>394</v>
      </c>
    </row>
    <row r="237" spans="3:12" ht="15.75" thickBot="1">
      <c r="K237" s="153"/>
    </row>
    <row r="238" spans="3:12" ht="15.75" thickBot="1">
      <c r="C238" s="69" t="s">
        <v>43</v>
      </c>
      <c r="D238" s="30">
        <f>SUM(G245:G295)</f>
        <v>0</v>
      </c>
      <c r="E238" s="93"/>
      <c r="F238" s="93"/>
      <c r="G238" s="93"/>
      <c r="H238" s="76"/>
      <c r="I238" s="76"/>
      <c r="J238" s="76"/>
      <c r="K238" s="153"/>
    </row>
    <row r="239" spans="3:12">
      <c r="D239" s="31"/>
      <c r="E239" s="93"/>
      <c r="F239" s="93"/>
      <c r="G239" s="93"/>
      <c r="H239" s="76"/>
      <c r="I239" s="76"/>
      <c r="J239" s="76"/>
      <c r="K239" s="153"/>
    </row>
    <row r="240" spans="3:12">
      <c r="D240" s="31"/>
      <c r="E240" s="93"/>
      <c r="F240" s="93"/>
      <c r="G240" s="93"/>
      <c r="H240" s="76"/>
      <c r="I240" s="76"/>
      <c r="J240" s="76"/>
      <c r="K240" s="153"/>
    </row>
    <row r="241" spans="3:12" ht="15.75">
      <c r="C241" s="202" t="s">
        <v>392</v>
      </c>
      <c r="D241" s="361"/>
      <c r="E241" s="93"/>
      <c r="F241" s="93"/>
      <c r="G241" s="93"/>
      <c r="H241" s="76"/>
      <c r="I241" s="76"/>
      <c r="J241" s="76"/>
      <c r="K241" s="153"/>
    </row>
    <row r="242" spans="3:12" ht="18.75">
      <c r="C242" s="210"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#N/A</v>
      </c>
      <c r="D242" s="31"/>
      <c r="E242" s="93"/>
      <c r="F242" s="93"/>
      <c r="G242" s="93"/>
      <c r="H242" s="76"/>
      <c r="I242" s="76"/>
      <c r="J242" s="76"/>
      <c r="K242" s="153"/>
    </row>
    <row r="243" spans="3:12" ht="15.75" thickBot="1">
      <c r="C243" s="177"/>
      <c r="D243" s="31"/>
      <c r="E243" s="93"/>
      <c r="F243" s="93"/>
      <c r="G243" s="93"/>
      <c r="H243" s="76"/>
      <c r="I243" s="76"/>
      <c r="J243" s="76"/>
      <c r="K243" s="153"/>
    </row>
    <row r="244" spans="3:12" ht="30.75" thickBot="1">
      <c r="C244" s="134" t="s">
        <v>44</v>
      </c>
      <c r="D244" s="138" t="s">
        <v>55</v>
      </c>
      <c r="E244" s="170" t="s">
        <v>56</v>
      </c>
      <c r="F244" s="138" t="s">
        <v>57</v>
      </c>
      <c r="G244" s="135" t="s">
        <v>27</v>
      </c>
      <c r="H244" s="133" t="s">
        <v>131</v>
      </c>
      <c r="I244" s="136" t="s">
        <v>46</v>
      </c>
      <c r="J244" s="136" t="s">
        <v>132</v>
      </c>
      <c r="K244" s="136" t="s">
        <v>410</v>
      </c>
      <c r="L244" s="136" t="s">
        <v>411</v>
      </c>
    </row>
    <row r="245" spans="3:12" ht="15.75" thickBot="1">
      <c r="C245" s="137" t="s">
        <v>482</v>
      </c>
      <c r="D245" s="199"/>
      <c r="E245" s="152">
        <v>12</v>
      </c>
      <c r="F245" s="301">
        <f>HLOOKUP($C245,$BZ$2:$CM$3,2,0)</f>
        <v>43674.39</v>
      </c>
      <c r="G245" s="113">
        <f>D245*E245*F245</f>
        <v>0</v>
      </c>
      <c r="H245" s="166"/>
      <c r="I245" s="114" t="s">
        <v>496</v>
      </c>
      <c r="J245" s="114" t="str">
        <f>VLOOKUP(I245,Presupuesto!$B$11:$C$565,2,0)</f>
        <v>SUELDOS Y SALARIOS PERMANENTES</v>
      </c>
      <c r="K245" s="218" t="s">
        <v>1441</v>
      </c>
      <c r="L245" s="98" t="s">
        <v>394</v>
      </c>
    </row>
    <row r="246" spans="3:12">
      <c r="C246" s="171" t="s">
        <v>58</v>
      </c>
      <c r="D246" s="163"/>
      <c r="E246" s="154">
        <v>0</v>
      </c>
      <c r="F246" s="100">
        <f>IF(E245=0,"",(G245/E245)/12*E245)</f>
        <v>0</v>
      </c>
      <c r="G246" s="97">
        <f>F246</f>
        <v>0</v>
      </c>
      <c r="H246" s="164"/>
      <c r="I246" s="116" t="s">
        <v>516</v>
      </c>
      <c r="J246" s="116" t="str">
        <f>VLOOKUP(I246,Presupuesto!$B$11:$C$565,2,0)</f>
        <v>AGUINALDO Y DECIMO CUARTO MES</v>
      </c>
      <c r="K246" s="98" t="str">
        <f t="shared" ref="K246:K277" si="6">$K$245</f>
        <v>Posgrado</v>
      </c>
      <c r="L246" s="98" t="s">
        <v>412</v>
      </c>
    </row>
    <row r="247" spans="3:12" ht="15.75" thickBot="1">
      <c r="C247" s="172" t="s">
        <v>59</v>
      </c>
      <c r="D247" s="163"/>
      <c r="E247" s="154">
        <v>0</v>
      </c>
      <c r="F247" s="117">
        <f>IF(E245&lt;6,"",((E245-6)/12)*(G245/E245))</f>
        <v>0</v>
      </c>
      <c r="G247" s="97">
        <f>F247</f>
        <v>0</v>
      </c>
      <c r="H247" s="164"/>
      <c r="I247" s="101" t="s">
        <v>519</v>
      </c>
      <c r="J247" s="101" t="str">
        <f>VLOOKUP(I247,Presupuesto!$B$11:$C$565,2,0)</f>
        <v>DECIMOCUARTO MES</v>
      </c>
      <c r="K247" s="98" t="str">
        <f t="shared" si="6"/>
        <v>Posgrado</v>
      </c>
      <c r="L247" s="98" t="s">
        <v>395</v>
      </c>
    </row>
    <row r="248" spans="3:12" ht="15.75" thickBot="1">
      <c r="C248" s="137" t="s">
        <v>483</v>
      </c>
      <c r="D248" s="199"/>
      <c r="E248" s="152">
        <v>12</v>
      </c>
      <c r="F248" s="301">
        <f>HLOOKUP($C248,$BZ$2:$CM$3,2,0)</f>
        <v>39703.99</v>
      </c>
      <c r="G248" s="113">
        <f>D248*E248*F248</f>
        <v>0</v>
      </c>
      <c r="H248" s="166"/>
      <c r="I248" s="114" t="s">
        <v>496</v>
      </c>
      <c r="J248" s="114" t="str">
        <f>VLOOKUP(I248,Presupuesto!$B$11:$C$565,2,0)</f>
        <v>SUELDOS Y SALARIOS PERMANENTES</v>
      </c>
      <c r="K248" s="98" t="str">
        <f t="shared" si="6"/>
        <v>Posgrado</v>
      </c>
      <c r="L248" s="98" t="s">
        <v>395</v>
      </c>
    </row>
    <row r="249" spans="3:12">
      <c r="C249" s="171" t="s">
        <v>58</v>
      </c>
      <c r="D249" s="163"/>
      <c r="E249" s="154">
        <v>0</v>
      </c>
      <c r="F249" s="100">
        <f>IF(E248=0,"",(G248/E248)/12*E248)</f>
        <v>0</v>
      </c>
      <c r="G249" s="97">
        <f>F249</f>
        <v>0</v>
      </c>
      <c r="H249" s="164"/>
      <c r="I249" s="116" t="s">
        <v>516</v>
      </c>
      <c r="J249" s="116" t="str">
        <f>VLOOKUP(I249,Presupuesto!$B$11:$C$565,2,0)</f>
        <v>AGUINALDO Y DECIMO CUARTO MES</v>
      </c>
      <c r="K249" s="98" t="str">
        <f t="shared" si="6"/>
        <v>Posgrado</v>
      </c>
      <c r="L249" s="98" t="s">
        <v>395</v>
      </c>
    </row>
    <row r="250" spans="3:12" ht="15.75" thickBot="1">
      <c r="C250" s="172" t="s">
        <v>59</v>
      </c>
      <c r="D250" s="163"/>
      <c r="E250" s="154">
        <v>0</v>
      </c>
      <c r="F250" s="117">
        <f>IF(E248&lt;6,"",((E248-6)/12)*(G248/E248))</f>
        <v>0</v>
      </c>
      <c r="G250" s="97">
        <f>F250</f>
        <v>0</v>
      </c>
      <c r="H250" s="164"/>
      <c r="I250" s="101" t="s">
        <v>519</v>
      </c>
      <c r="J250" s="101" t="str">
        <f>VLOOKUP(I250,Presupuesto!$B$11:$C$565,2,0)</f>
        <v>DECIMOCUARTO MES</v>
      </c>
      <c r="K250" s="98" t="str">
        <f t="shared" si="6"/>
        <v>Posgrado</v>
      </c>
      <c r="L250" s="98" t="s">
        <v>395</v>
      </c>
    </row>
    <row r="251" spans="3:12" ht="15.75" thickBot="1">
      <c r="C251" s="137" t="s">
        <v>484</v>
      </c>
      <c r="D251" s="199"/>
      <c r="E251" s="152">
        <v>12</v>
      </c>
      <c r="F251" s="301">
        <f>HLOOKUP($C251,$BZ$2:$CM$3,2,0)</f>
        <v>35733.589999999997</v>
      </c>
      <c r="G251" s="113">
        <f>D251*E251*F251</f>
        <v>0</v>
      </c>
      <c r="H251" s="166"/>
      <c r="I251" s="114" t="s">
        <v>496</v>
      </c>
      <c r="J251" s="114" t="str">
        <f>VLOOKUP(I251,Presupuesto!$B$11:$C$565,2,0)</f>
        <v>SUELDOS Y SALARIOS PERMANENTES</v>
      </c>
      <c r="K251" s="98" t="str">
        <f t="shared" si="6"/>
        <v>Posgrado</v>
      </c>
      <c r="L251" s="98" t="s">
        <v>395</v>
      </c>
    </row>
    <row r="252" spans="3:12">
      <c r="C252" s="171" t="s">
        <v>58</v>
      </c>
      <c r="D252" s="163"/>
      <c r="E252" s="154">
        <v>0</v>
      </c>
      <c r="F252" s="100">
        <f>IF(E251=0,"",(G251/E251)/12*E251)</f>
        <v>0</v>
      </c>
      <c r="G252" s="97">
        <f>F252</f>
        <v>0</v>
      </c>
      <c r="H252" s="164"/>
      <c r="I252" s="116" t="s">
        <v>516</v>
      </c>
      <c r="J252" s="116" t="str">
        <f>VLOOKUP(I252,Presupuesto!$B$11:$C$565,2,0)</f>
        <v>AGUINALDO Y DECIMO CUARTO MES</v>
      </c>
      <c r="K252" s="98" t="str">
        <f t="shared" si="6"/>
        <v>Posgrado</v>
      </c>
      <c r="L252" s="98" t="s">
        <v>395</v>
      </c>
    </row>
    <row r="253" spans="3:12" ht="15.75" thickBot="1">
      <c r="C253" s="172" t="s">
        <v>59</v>
      </c>
      <c r="D253" s="163"/>
      <c r="E253" s="154">
        <v>0</v>
      </c>
      <c r="F253" s="117">
        <f>IF(E251&lt;6,"",((E251-6)/12)*(G251/E251))</f>
        <v>0</v>
      </c>
      <c r="G253" s="97">
        <f>F253</f>
        <v>0</v>
      </c>
      <c r="H253" s="164"/>
      <c r="I253" s="101" t="s">
        <v>519</v>
      </c>
      <c r="J253" s="101" t="str">
        <f>VLOOKUP(I253,Presupuesto!$B$11:$C$565,2,0)</f>
        <v>DECIMOCUARTO MES</v>
      </c>
      <c r="K253" s="98" t="str">
        <f t="shared" si="6"/>
        <v>Posgrado</v>
      </c>
      <c r="L253" s="98" t="s">
        <v>395</v>
      </c>
    </row>
    <row r="254" spans="3:12" ht="15.75" thickBot="1">
      <c r="C254" s="137" t="s">
        <v>485</v>
      </c>
      <c r="D254" s="199"/>
      <c r="E254" s="152">
        <v>12</v>
      </c>
      <c r="F254" s="301">
        <f>HLOOKUP($C254,$BZ$2:$CM$3,2,0)</f>
        <v>31763.19</v>
      </c>
      <c r="G254" s="113">
        <f>D254*E254*F254</f>
        <v>0</v>
      </c>
      <c r="H254" s="166"/>
      <c r="I254" s="114" t="s">
        <v>496</v>
      </c>
      <c r="J254" s="114" t="str">
        <f>VLOOKUP(I254,Presupuesto!$B$11:$C$565,2,0)</f>
        <v>SUELDOS Y SALARIOS PERMANENTES</v>
      </c>
      <c r="K254" s="98" t="str">
        <f t="shared" si="6"/>
        <v>Posgrado</v>
      </c>
      <c r="L254" s="98" t="s">
        <v>395</v>
      </c>
    </row>
    <row r="255" spans="3:12">
      <c r="C255" s="171" t="s">
        <v>58</v>
      </c>
      <c r="D255" s="163"/>
      <c r="E255" s="154">
        <v>0</v>
      </c>
      <c r="F255" s="100">
        <f>IF(E254=0,"",(G254/E254)/12*E254)</f>
        <v>0</v>
      </c>
      <c r="G255" s="97">
        <f>F255</f>
        <v>0</v>
      </c>
      <c r="H255" s="164"/>
      <c r="I255" s="116" t="s">
        <v>516</v>
      </c>
      <c r="J255" s="116" t="str">
        <f>VLOOKUP(I255,Presupuesto!$B$11:$C$565,2,0)</f>
        <v>AGUINALDO Y DECIMO CUARTO MES</v>
      </c>
      <c r="K255" s="98" t="str">
        <f t="shared" si="6"/>
        <v>Posgrado</v>
      </c>
      <c r="L255" s="98" t="s">
        <v>395</v>
      </c>
    </row>
    <row r="256" spans="3:12" ht="15.75" thickBot="1">
      <c r="C256" s="172" t="s">
        <v>59</v>
      </c>
      <c r="D256" s="163"/>
      <c r="E256" s="154">
        <v>0</v>
      </c>
      <c r="F256" s="117">
        <f>IF(E254&lt;6,"",((E254-6)/12)*(G254/E254))</f>
        <v>0</v>
      </c>
      <c r="G256" s="97">
        <f>F256</f>
        <v>0</v>
      </c>
      <c r="H256" s="164"/>
      <c r="I256" s="101" t="s">
        <v>519</v>
      </c>
      <c r="J256" s="101" t="str">
        <f>VLOOKUP(I256,Presupuesto!$B$11:$C$565,2,0)</f>
        <v>DECIMOCUARTO MES</v>
      </c>
      <c r="K256" s="98" t="str">
        <f t="shared" si="6"/>
        <v>Posgrado</v>
      </c>
      <c r="L256" s="98" t="s">
        <v>395</v>
      </c>
    </row>
    <row r="257" spans="3:12" ht="15.75" thickBot="1">
      <c r="C257" s="137" t="s">
        <v>486</v>
      </c>
      <c r="D257" s="199"/>
      <c r="E257" s="152">
        <v>12</v>
      </c>
      <c r="F257" s="301">
        <f>HLOOKUP($C257,$BZ$2:$CM$3,2,0)</f>
        <v>29777.99</v>
      </c>
      <c r="G257" s="113">
        <f>D257*E257*F257</f>
        <v>0</v>
      </c>
      <c r="H257" s="166"/>
      <c r="I257" s="114" t="s">
        <v>496</v>
      </c>
      <c r="J257" s="114" t="str">
        <f>VLOOKUP(I257,Presupuesto!$B$11:$C$565,2,0)</f>
        <v>SUELDOS Y SALARIOS PERMANENTES</v>
      </c>
      <c r="K257" s="98" t="str">
        <f t="shared" si="6"/>
        <v>Posgrado</v>
      </c>
      <c r="L257" s="98" t="s">
        <v>395</v>
      </c>
    </row>
    <row r="258" spans="3:12">
      <c r="C258" s="171" t="s">
        <v>58</v>
      </c>
      <c r="D258" s="163"/>
      <c r="E258" s="154">
        <v>0</v>
      </c>
      <c r="F258" s="100">
        <f>IF(E257=0,"",(G257/E257)/12*E257)</f>
        <v>0</v>
      </c>
      <c r="G258" s="97">
        <f>F258</f>
        <v>0</v>
      </c>
      <c r="H258" s="164"/>
      <c r="I258" s="116" t="s">
        <v>516</v>
      </c>
      <c r="J258" s="116" t="str">
        <f>VLOOKUP(I258,Presupuesto!$B$11:$C$565,2,0)</f>
        <v>AGUINALDO Y DECIMO CUARTO MES</v>
      </c>
      <c r="K258" s="98" t="str">
        <f t="shared" si="6"/>
        <v>Posgrado</v>
      </c>
      <c r="L258" s="98" t="s">
        <v>395</v>
      </c>
    </row>
    <row r="259" spans="3:12" ht="15.75" thickBot="1">
      <c r="C259" s="172" t="s">
        <v>59</v>
      </c>
      <c r="D259" s="163"/>
      <c r="E259" s="154">
        <v>0</v>
      </c>
      <c r="F259" s="117">
        <f>IF(E257&lt;6,"",((E257-6)/12)*(G257/E257))</f>
        <v>0</v>
      </c>
      <c r="G259" s="97">
        <f>F259</f>
        <v>0</v>
      </c>
      <c r="H259" s="164"/>
      <c r="I259" s="101" t="s">
        <v>519</v>
      </c>
      <c r="J259" s="101" t="str">
        <f>VLOOKUP(I259,Presupuesto!$B$11:$C$565,2,0)</f>
        <v>DECIMOCUARTO MES</v>
      </c>
      <c r="K259" s="98" t="str">
        <f t="shared" si="6"/>
        <v>Posgrado</v>
      </c>
      <c r="L259" s="98" t="s">
        <v>395</v>
      </c>
    </row>
    <row r="260" spans="3:12" ht="15.75" thickBot="1">
      <c r="C260" s="137" t="s">
        <v>487</v>
      </c>
      <c r="D260" s="199"/>
      <c r="E260" s="152">
        <v>12</v>
      </c>
      <c r="F260" s="301">
        <f>HLOOKUP($C260,$BZ$2:$CM$3,2,0)</f>
        <v>27792.79</v>
      </c>
      <c r="G260" s="113">
        <f>D260*E260*F260</f>
        <v>0</v>
      </c>
      <c r="H260" s="166"/>
      <c r="I260" s="114" t="s">
        <v>496</v>
      </c>
      <c r="J260" s="114" t="str">
        <f>VLOOKUP(I260,Presupuesto!$B$11:$C$565,2,0)</f>
        <v>SUELDOS Y SALARIOS PERMANENTES</v>
      </c>
      <c r="K260" s="98" t="str">
        <f t="shared" si="6"/>
        <v>Posgrado</v>
      </c>
      <c r="L260" s="98" t="s">
        <v>395</v>
      </c>
    </row>
    <row r="261" spans="3:12">
      <c r="C261" s="171" t="s">
        <v>58</v>
      </c>
      <c r="D261" s="163"/>
      <c r="E261" s="154">
        <v>0</v>
      </c>
      <c r="F261" s="100">
        <f>IF(E260=0,"",(G260/E260)/12*E260)</f>
        <v>0</v>
      </c>
      <c r="G261" s="97">
        <f>F261</f>
        <v>0</v>
      </c>
      <c r="H261" s="164"/>
      <c r="I261" s="116" t="s">
        <v>516</v>
      </c>
      <c r="J261" s="116" t="str">
        <f>VLOOKUP(I261,Presupuesto!$B$11:$C$565,2,0)</f>
        <v>AGUINALDO Y DECIMO CUARTO MES</v>
      </c>
      <c r="K261" s="98" t="str">
        <f t="shared" si="6"/>
        <v>Posgrado</v>
      </c>
      <c r="L261" s="98" t="s">
        <v>395</v>
      </c>
    </row>
    <row r="262" spans="3:12" ht="15.75" thickBot="1">
      <c r="C262" s="172" t="s">
        <v>59</v>
      </c>
      <c r="D262" s="163"/>
      <c r="E262" s="154">
        <v>0</v>
      </c>
      <c r="F262" s="117">
        <f>IF(E260&lt;6,"",((E260-6)/12)*(G260/E260))</f>
        <v>0</v>
      </c>
      <c r="G262" s="97">
        <f>F262</f>
        <v>0</v>
      </c>
      <c r="H262" s="164"/>
      <c r="I262" s="101" t="s">
        <v>519</v>
      </c>
      <c r="J262" s="101" t="str">
        <f>VLOOKUP(I262,Presupuesto!$B$11:$C$565,2,0)</f>
        <v>DECIMOCUARTO MES</v>
      </c>
      <c r="K262" s="98" t="str">
        <f t="shared" si="6"/>
        <v>Posgrado</v>
      </c>
      <c r="L262" s="98" t="s">
        <v>395</v>
      </c>
    </row>
    <row r="263" spans="3:12" ht="15.75" thickBot="1">
      <c r="C263" s="137" t="s">
        <v>488</v>
      </c>
      <c r="D263" s="199"/>
      <c r="E263" s="152">
        <v>12</v>
      </c>
      <c r="F263" s="301">
        <f>HLOOKUP($C263,$BZ$2:$CM$3,2,0)</f>
        <v>18859.39</v>
      </c>
      <c r="G263" s="113">
        <f>D263*E263*F263</f>
        <v>0</v>
      </c>
      <c r="H263" s="166"/>
      <c r="I263" s="114" t="s">
        <v>496</v>
      </c>
      <c r="J263" s="114" t="str">
        <f>VLOOKUP(I263,Presupuesto!$B$11:$C$565,2,0)</f>
        <v>SUELDOS Y SALARIOS PERMANENTES</v>
      </c>
      <c r="K263" s="98" t="str">
        <f t="shared" si="6"/>
        <v>Posgrado</v>
      </c>
      <c r="L263" s="98" t="s">
        <v>395</v>
      </c>
    </row>
    <row r="264" spans="3:12">
      <c r="C264" s="171" t="s">
        <v>58</v>
      </c>
      <c r="D264" s="163"/>
      <c r="E264" s="154">
        <v>0</v>
      </c>
      <c r="F264" s="100">
        <f>IF(E263=0,"",(G263/E263)/12*E263)</f>
        <v>0</v>
      </c>
      <c r="G264" s="97">
        <f>F264</f>
        <v>0</v>
      </c>
      <c r="H264" s="164"/>
      <c r="I264" s="116" t="s">
        <v>516</v>
      </c>
      <c r="J264" s="116" t="str">
        <f>VLOOKUP(I264,Presupuesto!$B$11:$C$565,2,0)</f>
        <v>AGUINALDO Y DECIMO CUARTO MES</v>
      </c>
      <c r="K264" s="98" t="str">
        <f t="shared" si="6"/>
        <v>Posgrado</v>
      </c>
      <c r="L264" s="98" t="s">
        <v>395</v>
      </c>
    </row>
    <row r="265" spans="3:12" ht="15.75" thickBot="1">
      <c r="C265" s="172" t="s">
        <v>59</v>
      </c>
      <c r="D265" s="163"/>
      <c r="E265" s="154">
        <v>0</v>
      </c>
      <c r="F265" s="117">
        <f>IF(E263&lt;6,"",((E263-6)/12)*(G263/E263))</f>
        <v>0</v>
      </c>
      <c r="G265" s="97">
        <f>F265</f>
        <v>0</v>
      </c>
      <c r="H265" s="164"/>
      <c r="I265" s="101" t="s">
        <v>519</v>
      </c>
      <c r="J265" s="101" t="str">
        <f>VLOOKUP(I265,Presupuesto!$B$11:$C$565,2,0)</f>
        <v>DECIMOCUARTO MES</v>
      </c>
      <c r="K265" s="98" t="str">
        <f t="shared" si="6"/>
        <v>Posgrado</v>
      </c>
      <c r="L265" s="98" t="s">
        <v>395</v>
      </c>
    </row>
    <row r="266" spans="3:12" ht="15.75" thickBot="1">
      <c r="C266" s="137" t="s">
        <v>489</v>
      </c>
      <c r="D266" s="199"/>
      <c r="E266" s="152">
        <v>12</v>
      </c>
      <c r="F266" s="301">
        <f>HLOOKUP($C266,$BZ$2:$CM$3,2,0)</f>
        <v>17866.8</v>
      </c>
      <c r="G266" s="113">
        <f>D266*E266*F266</f>
        <v>0</v>
      </c>
      <c r="H266" s="166"/>
      <c r="I266" s="114" t="s">
        <v>496</v>
      </c>
      <c r="J266" s="114" t="str">
        <f>VLOOKUP(I266,Presupuesto!$B$11:$C$565,2,0)</f>
        <v>SUELDOS Y SALARIOS PERMANENTES</v>
      </c>
      <c r="K266" s="98" t="str">
        <f t="shared" si="6"/>
        <v>Posgrado</v>
      </c>
      <c r="L266" s="98" t="s">
        <v>395</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si="6"/>
        <v>Posgrado</v>
      </c>
      <c r="L267" s="98" t="s">
        <v>395</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6"/>
        <v>Posgrado</v>
      </c>
      <c r="L268" s="98" t="s">
        <v>395</v>
      </c>
    </row>
    <row r="269" spans="3:12" ht="15.75" thickBot="1">
      <c r="C269" s="137" t="s">
        <v>490</v>
      </c>
      <c r="D269" s="199"/>
      <c r="E269" s="152">
        <v>12</v>
      </c>
      <c r="F269" s="301">
        <f>HLOOKUP($C269,$BZ$2:$CM$3,2,0)</f>
        <v>13896.4</v>
      </c>
      <c r="G269" s="113">
        <f>D269*E269*F269</f>
        <v>0</v>
      </c>
      <c r="H269" s="166"/>
      <c r="I269" s="114" t="s">
        <v>496</v>
      </c>
      <c r="J269" s="114" t="str">
        <f>VLOOKUP(I269,Presupuesto!$B$11:$C$565,2,0)</f>
        <v>SUELDOS Y SALARIOS PERMANENTES</v>
      </c>
      <c r="K269" s="98" t="str">
        <f t="shared" si="6"/>
        <v>Posgrado</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6"/>
        <v>Posgrado</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6"/>
        <v>Posgrado</v>
      </c>
      <c r="L271" s="98" t="s">
        <v>395</v>
      </c>
    </row>
    <row r="272" spans="3:12" ht="15.75" thickBot="1">
      <c r="C272" s="137" t="s">
        <v>491</v>
      </c>
      <c r="D272" s="199"/>
      <c r="E272" s="152">
        <v>12</v>
      </c>
      <c r="F272" s="301">
        <f>HLOOKUP($C272,$BZ$2:$CM$3,2,0)</f>
        <v>15004.09</v>
      </c>
      <c r="G272" s="113">
        <f>D272*E272*F272</f>
        <v>0</v>
      </c>
      <c r="H272" s="166"/>
      <c r="I272" s="114" t="s">
        <v>496</v>
      </c>
      <c r="J272" s="114" t="str">
        <f>VLOOKUP(I272,Presupuesto!$B$11:$C$565,2,0)</f>
        <v>SUELDOS Y SALARIOS PERMANENTES</v>
      </c>
      <c r="K272" s="98" t="str">
        <f t="shared" si="6"/>
        <v>Posgrado</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6"/>
        <v>Posgrado</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6"/>
        <v>Posgrado</v>
      </c>
      <c r="L274" s="98" t="s">
        <v>395</v>
      </c>
    </row>
    <row r="275" spans="3:12" ht="15.75" thickBot="1">
      <c r="C275" s="137" t="s">
        <v>492</v>
      </c>
      <c r="D275" s="199"/>
      <c r="E275" s="152">
        <v>12</v>
      </c>
      <c r="F275" s="301">
        <f>HLOOKUP($C275,$BZ$2:$CM$3,2,0)</f>
        <v>13238.9</v>
      </c>
      <c r="G275" s="113">
        <f>D275*E275*F275</f>
        <v>0</v>
      </c>
      <c r="H275" s="166"/>
      <c r="I275" s="114" t="s">
        <v>496</v>
      </c>
      <c r="J275" s="114" t="str">
        <f>VLOOKUP(I275,Presupuesto!$B$11:$C$565,2,0)</f>
        <v>SUELDOS Y SALARIOS PERMANENTES</v>
      </c>
      <c r="K275" s="98" t="str">
        <f t="shared" si="6"/>
        <v>Posgrado</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6"/>
        <v>Posgrado</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6"/>
        <v>Posgrado</v>
      </c>
      <c r="L277" s="98" t="s">
        <v>395</v>
      </c>
    </row>
    <row r="278" spans="3:12" ht="15.75" thickBot="1">
      <c r="C278" s="137" t="s">
        <v>493</v>
      </c>
      <c r="D278" s="199"/>
      <c r="E278" s="152">
        <v>12</v>
      </c>
      <c r="F278" s="301">
        <f>HLOOKUP($C278,$BZ$2:$CM$3,2,0)</f>
        <v>12356.31</v>
      </c>
      <c r="G278" s="113">
        <f>D278*E278*F278</f>
        <v>0</v>
      </c>
      <c r="H278" s="166"/>
      <c r="I278" s="114" t="s">
        <v>496</v>
      </c>
      <c r="J278" s="114" t="str">
        <f>VLOOKUP(I278,Presupuesto!$B$11:$C$565,2,0)</f>
        <v>SUELDOS Y SALARIOS PERMANENTES</v>
      </c>
      <c r="K278" s="98" t="str">
        <f t="shared" ref="K278:K295" si="7">$K$245</f>
        <v>Posgrado</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7"/>
        <v>Posgrado</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7"/>
        <v>Posgrado</v>
      </c>
      <c r="L280" s="98" t="s">
        <v>395</v>
      </c>
    </row>
    <row r="281" spans="3:12" ht="15.75" thickBot="1">
      <c r="C281" s="137" t="s">
        <v>494</v>
      </c>
      <c r="D281" s="199"/>
      <c r="E281" s="152">
        <v>12</v>
      </c>
      <c r="F281" s="301">
        <f>HLOOKUP($C281,$BZ$2:$CM$3,2,0)</f>
        <v>463.22</v>
      </c>
      <c r="G281" s="113">
        <f>D281*E281*F281</f>
        <v>0</v>
      </c>
      <c r="H281" s="166"/>
      <c r="I281" s="114" t="s">
        <v>496</v>
      </c>
      <c r="J281" s="114" t="str">
        <f>VLOOKUP(I281,Presupuesto!$B$11:$C$565,2,0)</f>
        <v>SUELDOS Y SALARIOS PERMANENTES</v>
      </c>
      <c r="K281" s="98" t="str">
        <f t="shared" si="7"/>
        <v>Posgrado</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7"/>
        <v>Posgrado</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7"/>
        <v>Posgrado</v>
      </c>
      <c r="L283" s="98" t="s">
        <v>395</v>
      </c>
    </row>
    <row r="284" spans="3:12" ht="15.75" thickBot="1">
      <c r="C284" s="137" t="s">
        <v>495</v>
      </c>
      <c r="D284" s="199"/>
      <c r="E284" s="152">
        <v>12</v>
      </c>
      <c r="F284" s="301">
        <f>HLOOKUP($C284,$BZ$2:$CM$3,2,0)</f>
        <v>2007.3</v>
      </c>
      <c r="G284" s="113">
        <f>D284*E284*F284</f>
        <v>0</v>
      </c>
      <c r="H284" s="166"/>
      <c r="I284" s="114" t="s">
        <v>496</v>
      </c>
      <c r="J284" s="114" t="str">
        <f>VLOOKUP(I284,Presupuesto!$B$11:$C$565,2,0)</f>
        <v>SUELDOS Y SALARIOS PERMANENTES</v>
      </c>
      <c r="K284" s="98" t="str">
        <f t="shared" si="7"/>
        <v>Posgrado</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7"/>
        <v>Posgrado</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7"/>
        <v>Posgrado</v>
      </c>
      <c r="L286" s="98" t="s">
        <v>395</v>
      </c>
    </row>
    <row r="287" spans="3:12" ht="15.75" thickBot="1">
      <c r="C287" s="140" t="s">
        <v>83</v>
      </c>
      <c r="D287" s="199"/>
      <c r="E287" s="152">
        <v>12</v>
      </c>
      <c r="F287" s="139">
        <v>30000</v>
      </c>
      <c r="G287" s="113">
        <f>D287*E287*F287</f>
        <v>0</v>
      </c>
      <c r="H287" s="166"/>
      <c r="I287" s="114" t="s">
        <v>564</v>
      </c>
      <c r="J287" s="114" t="str">
        <f>VLOOKUP(I287,Presupuesto!$B$11:$C$565,2,0)</f>
        <v>CONTRATOS ESPECIALES</v>
      </c>
      <c r="K287" s="98" t="str">
        <f t="shared" si="7"/>
        <v>Posgrado</v>
      </c>
      <c r="L287" s="98" t="s">
        <v>395</v>
      </c>
    </row>
    <row r="288" spans="3:12">
      <c r="C288" s="171" t="s">
        <v>58</v>
      </c>
      <c r="D288" s="163"/>
      <c r="E288" s="154">
        <v>0</v>
      </c>
      <c r="F288" s="117">
        <f>IF(E287=0,"",(G287/E287)/12*E287)</f>
        <v>0</v>
      </c>
      <c r="G288" s="97">
        <f>F288</f>
        <v>0</v>
      </c>
      <c r="H288" s="164"/>
      <c r="I288" s="101" t="s">
        <v>564</v>
      </c>
      <c r="J288" s="101" t="str">
        <f>VLOOKUP(I288,Presupuesto!$B$11:$C$565,2,0)</f>
        <v>CONTRATOS ESPECIALES</v>
      </c>
      <c r="K288" s="98" t="str">
        <f t="shared" si="7"/>
        <v>Posgrado</v>
      </c>
      <c r="L288" s="98" t="s">
        <v>394</v>
      </c>
    </row>
    <row r="289" spans="3:12" ht="15.75" thickBot="1">
      <c r="C289" s="172" t="s">
        <v>59</v>
      </c>
      <c r="D289" s="163"/>
      <c r="E289" s="154">
        <v>0</v>
      </c>
      <c r="F289" s="100">
        <f>IF(E287&lt;6,"",((E287-6)/12)*(G287/E287))</f>
        <v>0</v>
      </c>
      <c r="G289" s="97">
        <f>F289</f>
        <v>0</v>
      </c>
      <c r="H289" s="164"/>
      <c r="I289" s="101" t="s">
        <v>564</v>
      </c>
      <c r="J289" s="101" t="str">
        <f>VLOOKUP(I289,Presupuesto!$B$11:$C$565,2,0)</f>
        <v>CONTRATOS ESPECIALES</v>
      </c>
      <c r="K289" s="98" t="str">
        <f t="shared" si="7"/>
        <v>Posgrado</v>
      </c>
      <c r="L289" s="98" t="s">
        <v>399</v>
      </c>
    </row>
    <row r="290" spans="3:12" ht="15.75" thickBot="1">
      <c r="C290" s="140" t="s">
        <v>60</v>
      </c>
      <c r="D290" s="199"/>
      <c r="E290" s="152">
        <v>12</v>
      </c>
      <c r="F290" s="118">
        <v>30000</v>
      </c>
      <c r="G290" s="113">
        <f>D290*E290*F290</f>
        <v>0</v>
      </c>
      <c r="H290" s="166"/>
      <c r="I290" s="114" t="s">
        <v>705</v>
      </c>
      <c r="J290" s="114" t="str">
        <f>VLOOKUP(I290,Presupuesto!$B$11:$C$565,2,0)</f>
        <v>OTROS SERVICIOS TECNICOS Y PROFESIONALES</v>
      </c>
      <c r="K290" s="98" t="str">
        <f t="shared" si="7"/>
        <v>Posgrado</v>
      </c>
      <c r="L290" s="98" t="s">
        <v>394</v>
      </c>
    </row>
    <row r="291" spans="3:12">
      <c r="C291" s="171" t="s">
        <v>58</v>
      </c>
      <c r="D291" s="163"/>
      <c r="E291" s="154">
        <v>0</v>
      </c>
      <c r="F291" s="100">
        <v>0</v>
      </c>
      <c r="G291" s="97">
        <f>F291</f>
        <v>0</v>
      </c>
      <c r="H291" s="164"/>
      <c r="I291" s="101" t="s">
        <v>705</v>
      </c>
      <c r="J291" s="101" t="str">
        <f>VLOOKUP(I291,Presupuesto!$B$11:$C$565,2,0)</f>
        <v>OTROS SERVICIOS TECNICOS Y PROFESIONALES</v>
      </c>
      <c r="K291" s="98" t="str">
        <f t="shared" si="7"/>
        <v>Posgrado</v>
      </c>
      <c r="L291" s="98" t="s">
        <v>394</v>
      </c>
    </row>
    <row r="292" spans="3:12" ht="15.75" thickBot="1">
      <c r="C292" s="172" t="s">
        <v>59</v>
      </c>
      <c r="D292" s="163"/>
      <c r="E292" s="154">
        <v>0</v>
      </c>
      <c r="F292" s="100">
        <v>0</v>
      </c>
      <c r="G292" s="97">
        <f>F292</f>
        <v>0</v>
      </c>
      <c r="H292" s="164"/>
      <c r="I292" s="101" t="s">
        <v>705</v>
      </c>
      <c r="J292" s="101" t="str">
        <f>VLOOKUP(I292,Presupuesto!$B$11:$C$565,2,0)</f>
        <v>OTROS SERVICIOS TECNICOS Y PROFESIONALES</v>
      </c>
      <c r="K292" s="98" t="str">
        <f t="shared" si="7"/>
        <v>Posgrado</v>
      </c>
      <c r="L292" s="98" t="s">
        <v>394</v>
      </c>
    </row>
    <row r="293" spans="3:12" ht="15.75" thickBot="1">
      <c r="C293" s="140" t="s">
        <v>61</v>
      </c>
      <c r="D293" s="199"/>
      <c r="E293" s="152">
        <v>12</v>
      </c>
      <c r="F293" s="118">
        <v>30000</v>
      </c>
      <c r="G293" s="113">
        <f>D293*E293*F293</f>
        <v>0</v>
      </c>
      <c r="H293" s="166"/>
      <c r="I293" s="114" t="s">
        <v>496</v>
      </c>
      <c r="J293" s="114" t="str">
        <f>VLOOKUP(I293,Presupuesto!$B$11:$C$565,2,0)</f>
        <v>SUELDOS Y SALARIOS PERMANENTES</v>
      </c>
      <c r="K293" s="98" t="str">
        <f t="shared" si="7"/>
        <v>Posgrado</v>
      </c>
      <c r="L293" s="98" t="s">
        <v>394</v>
      </c>
    </row>
    <row r="294" spans="3:12">
      <c r="C294" s="171" t="s">
        <v>58</v>
      </c>
      <c r="D294" s="169"/>
      <c r="E294" s="131">
        <v>0</v>
      </c>
      <c r="F294" s="119">
        <f>IF(E293=0,"",(G293/E293)/12*E293)</f>
        <v>0</v>
      </c>
      <c r="G294" s="120">
        <f>F294</f>
        <v>0</v>
      </c>
      <c r="H294" s="164"/>
      <c r="I294" s="101" t="s">
        <v>516</v>
      </c>
      <c r="J294" s="101" t="str">
        <f>VLOOKUP(I294,Presupuesto!$B$11:$C$565,2,0)</f>
        <v>AGUINALDO Y DECIMO CUARTO MES</v>
      </c>
      <c r="K294" s="98" t="str">
        <f t="shared" si="7"/>
        <v>Posgrado</v>
      </c>
      <c r="L294" s="98" t="s">
        <v>394</v>
      </c>
    </row>
    <row r="295" spans="3:12" ht="15.75" thickBot="1">
      <c r="C295" s="173" t="s">
        <v>59</v>
      </c>
      <c r="D295" s="162"/>
      <c r="E295" s="132">
        <v>0</v>
      </c>
      <c r="F295" s="105">
        <f>IF(E293&lt;6,"",((E293-6)/12)*(G293/E293))</f>
        <v>0</v>
      </c>
      <c r="G295" s="105">
        <f>F295</f>
        <v>0</v>
      </c>
      <c r="H295" s="162"/>
      <c r="I295" s="106" t="s">
        <v>519</v>
      </c>
      <c r="J295" s="124" t="str">
        <f>VLOOKUP(I295,Presupuesto!$B$11:$C$565,2,0)</f>
        <v>DECIMOCUARTO MES</v>
      </c>
      <c r="K295" s="106" t="str">
        <f t="shared" si="7"/>
        <v>Posgrado</v>
      </c>
      <c r="L295" s="124" t="s">
        <v>394</v>
      </c>
    </row>
    <row r="297" spans="3:12" ht="15.75" thickBot="1">
      <c r="K297" s="153"/>
    </row>
    <row r="298" spans="3:12" ht="15.75" thickBot="1">
      <c r="C298" s="69" t="s">
        <v>43</v>
      </c>
      <c r="D298" s="30">
        <f>SUM(G305:G355)</f>
        <v>0</v>
      </c>
      <c r="E298" s="93"/>
      <c r="F298" s="93"/>
      <c r="G298" s="93"/>
      <c r="H298" s="76"/>
      <c r="I298" s="76"/>
      <c r="J298" s="76"/>
      <c r="K298" s="153"/>
    </row>
    <row r="299" spans="3:12">
      <c r="D299" s="31"/>
      <c r="E299" s="93"/>
      <c r="F299" s="93"/>
      <c r="G299" s="93"/>
      <c r="H299" s="76"/>
      <c r="I299" s="76"/>
      <c r="J299" s="76"/>
      <c r="K299" s="153"/>
    </row>
    <row r="300" spans="3:12">
      <c r="D300" s="31"/>
      <c r="E300" s="93"/>
      <c r="F300" s="93"/>
      <c r="G300" s="93"/>
      <c r="H300" s="76"/>
      <c r="I300" s="76"/>
      <c r="J300" s="76"/>
      <c r="K300" s="153"/>
    </row>
    <row r="301" spans="3:12" ht="15.75">
      <c r="C301" s="202" t="s">
        <v>392</v>
      </c>
      <c r="D301" s="361"/>
      <c r="E301" s="93"/>
      <c r="F301" s="93"/>
      <c r="G301" s="93"/>
      <c r="H301" s="76"/>
      <c r="I301" s="76"/>
      <c r="J301" s="76"/>
      <c r="K301" s="153"/>
    </row>
    <row r="302" spans="3:12" ht="18.75">
      <c r="C302" s="210" t="e">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Proceso...'!$E:$F,2,FALSE),IFERROR(VLOOKUP(D301,'12.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U.'!$E:$F,2,0)))))))))))))))))</f>
        <v>#N/A</v>
      </c>
      <c r="D302" s="31"/>
      <c r="E302" s="93"/>
      <c r="F302" s="93"/>
      <c r="G302" s="93"/>
      <c r="H302" s="76"/>
      <c r="I302" s="76"/>
      <c r="J302" s="76"/>
      <c r="K302" s="153"/>
    </row>
    <row r="303" spans="3:12" ht="15.75" thickBot="1">
      <c r="C303" s="177"/>
      <c r="D303" s="31"/>
      <c r="E303" s="93"/>
      <c r="F303" s="93"/>
      <c r="G303" s="93"/>
      <c r="H303" s="76"/>
      <c r="I303" s="76"/>
      <c r="J303" s="76"/>
      <c r="K303" s="153"/>
    </row>
    <row r="304" spans="3:12" ht="30.75" thickBot="1">
      <c r="C304" s="134" t="s">
        <v>44</v>
      </c>
      <c r="D304" s="138" t="s">
        <v>55</v>
      </c>
      <c r="E304" s="170" t="s">
        <v>56</v>
      </c>
      <c r="F304" s="138" t="s">
        <v>57</v>
      </c>
      <c r="G304" s="135" t="s">
        <v>27</v>
      </c>
      <c r="H304" s="133" t="s">
        <v>131</v>
      </c>
      <c r="I304" s="136" t="s">
        <v>46</v>
      </c>
      <c r="J304" s="136" t="s">
        <v>132</v>
      </c>
      <c r="K304" s="136" t="s">
        <v>410</v>
      </c>
      <c r="L304" s="136" t="s">
        <v>411</v>
      </c>
    </row>
    <row r="305" spans="3:12" ht="15.75" thickBot="1">
      <c r="C305" s="137" t="s">
        <v>482</v>
      </c>
      <c r="D305" s="199"/>
      <c r="E305" s="152">
        <v>12</v>
      </c>
      <c r="F305" s="301">
        <f>HLOOKUP($C305,$BZ$2:$CM$3,2,0)</f>
        <v>43674.39</v>
      </c>
      <c r="G305" s="113">
        <f>D305*E305*F305</f>
        <v>0</v>
      </c>
      <c r="H305" s="166"/>
      <c r="I305" s="114" t="s">
        <v>496</v>
      </c>
      <c r="J305" s="114" t="str">
        <f>VLOOKUP(I305,Presupuesto!$B$11:$C$565,2,0)</f>
        <v>SUELDOS Y SALARIOS PERMANENTES</v>
      </c>
      <c r="K305" s="218" t="s">
        <v>1441</v>
      </c>
      <c r="L305" s="98" t="s">
        <v>394</v>
      </c>
    </row>
    <row r="306" spans="3:12">
      <c r="C306" s="171" t="s">
        <v>58</v>
      </c>
      <c r="D306" s="163"/>
      <c r="E306" s="154">
        <v>0</v>
      </c>
      <c r="F306" s="100">
        <f>IF(E305=0,"",(G305/E305)/12*E305)</f>
        <v>0</v>
      </c>
      <c r="G306" s="97">
        <f>F306</f>
        <v>0</v>
      </c>
      <c r="H306" s="164"/>
      <c r="I306" s="116" t="s">
        <v>516</v>
      </c>
      <c r="J306" s="116" t="str">
        <f>VLOOKUP(I306,Presupuesto!$B$11:$C$565,2,0)</f>
        <v>AGUINALDO Y DECIMO CUARTO MES</v>
      </c>
      <c r="K306" s="98" t="str">
        <f t="shared" ref="K306:K337" si="8">$K$305</f>
        <v>Posgrado</v>
      </c>
      <c r="L306" s="98" t="s">
        <v>412</v>
      </c>
    </row>
    <row r="307" spans="3:12" ht="15.75" thickBot="1">
      <c r="C307" s="172" t="s">
        <v>59</v>
      </c>
      <c r="D307" s="163"/>
      <c r="E307" s="154">
        <v>0</v>
      </c>
      <c r="F307" s="117">
        <f>IF(E305&lt;6,"",((E305-6)/12)*(G305/E305))</f>
        <v>0</v>
      </c>
      <c r="G307" s="97">
        <f>F307</f>
        <v>0</v>
      </c>
      <c r="H307" s="164"/>
      <c r="I307" s="101" t="s">
        <v>519</v>
      </c>
      <c r="J307" s="101" t="str">
        <f>VLOOKUP(I307,Presupuesto!$B$11:$C$565,2,0)</f>
        <v>DECIMOCUARTO MES</v>
      </c>
      <c r="K307" s="98" t="str">
        <f t="shared" si="8"/>
        <v>Posgrado</v>
      </c>
      <c r="L307" s="98" t="s">
        <v>395</v>
      </c>
    </row>
    <row r="308" spans="3:12" ht="15.75" thickBot="1">
      <c r="C308" s="137" t="s">
        <v>483</v>
      </c>
      <c r="D308" s="199"/>
      <c r="E308" s="152">
        <v>12</v>
      </c>
      <c r="F308" s="301">
        <f>HLOOKUP($C308,$BZ$2:$CM$3,2,0)</f>
        <v>39703.99</v>
      </c>
      <c r="G308" s="113">
        <f>D308*E308*F308</f>
        <v>0</v>
      </c>
      <c r="H308" s="166"/>
      <c r="I308" s="114" t="s">
        <v>496</v>
      </c>
      <c r="J308" s="114" t="str">
        <f>VLOOKUP(I308,Presupuesto!$B$11:$C$565,2,0)</f>
        <v>SUELDOS Y SALARIOS PERMANENTES</v>
      </c>
      <c r="K308" s="98" t="str">
        <f t="shared" si="8"/>
        <v>Posgrado</v>
      </c>
      <c r="L308" s="98" t="s">
        <v>395</v>
      </c>
    </row>
    <row r="309" spans="3:12">
      <c r="C309" s="171" t="s">
        <v>58</v>
      </c>
      <c r="D309" s="163"/>
      <c r="E309" s="154">
        <v>0</v>
      </c>
      <c r="F309" s="100">
        <f>IF(E308=0,"",(G308/E308)/12*E308)</f>
        <v>0</v>
      </c>
      <c r="G309" s="97">
        <f>F309</f>
        <v>0</v>
      </c>
      <c r="H309" s="164"/>
      <c r="I309" s="116" t="s">
        <v>516</v>
      </c>
      <c r="J309" s="116" t="str">
        <f>VLOOKUP(I309,Presupuesto!$B$11:$C$565,2,0)</f>
        <v>AGUINALDO Y DECIMO CUARTO MES</v>
      </c>
      <c r="K309" s="98" t="str">
        <f t="shared" si="8"/>
        <v>Posgrado</v>
      </c>
      <c r="L309" s="98" t="s">
        <v>395</v>
      </c>
    </row>
    <row r="310" spans="3:12" ht="15.75" thickBot="1">
      <c r="C310" s="172" t="s">
        <v>59</v>
      </c>
      <c r="D310" s="163"/>
      <c r="E310" s="154">
        <v>0</v>
      </c>
      <c r="F310" s="117">
        <f>IF(E308&lt;6,"",((E308-6)/12)*(G308/E308))</f>
        <v>0</v>
      </c>
      <c r="G310" s="97">
        <f>F310</f>
        <v>0</v>
      </c>
      <c r="H310" s="164"/>
      <c r="I310" s="101" t="s">
        <v>519</v>
      </c>
      <c r="J310" s="101" t="str">
        <f>VLOOKUP(I310,Presupuesto!$B$11:$C$565,2,0)</f>
        <v>DECIMOCUARTO MES</v>
      </c>
      <c r="K310" s="98" t="str">
        <f t="shared" si="8"/>
        <v>Posgrado</v>
      </c>
      <c r="L310" s="98" t="s">
        <v>395</v>
      </c>
    </row>
    <row r="311" spans="3:12" ht="15.75" thickBot="1">
      <c r="C311" s="137" t="s">
        <v>484</v>
      </c>
      <c r="D311" s="199"/>
      <c r="E311" s="152">
        <v>12</v>
      </c>
      <c r="F311" s="301">
        <f>HLOOKUP($C311,$BZ$2:$CM$3,2,0)</f>
        <v>35733.589999999997</v>
      </c>
      <c r="G311" s="113">
        <f>D311*E311*F311</f>
        <v>0</v>
      </c>
      <c r="H311" s="166"/>
      <c r="I311" s="114" t="s">
        <v>496</v>
      </c>
      <c r="J311" s="114" t="str">
        <f>VLOOKUP(I311,Presupuesto!$B$11:$C$565,2,0)</f>
        <v>SUELDOS Y SALARIOS PERMANENTES</v>
      </c>
      <c r="K311" s="98" t="str">
        <f t="shared" si="8"/>
        <v>Posgrado</v>
      </c>
      <c r="L311" s="98" t="s">
        <v>395</v>
      </c>
    </row>
    <row r="312" spans="3:12">
      <c r="C312" s="171" t="s">
        <v>58</v>
      </c>
      <c r="D312" s="163"/>
      <c r="E312" s="154">
        <v>0</v>
      </c>
      <c r="F312" s="100">
        <f>IF(E311=0,"",(G311/E311)/12*E311)</f>
        <v>0</v>
      </c>
      <c r="G312" s="97">
        <f>F312</f>
        <v>0</v>
      </c>
      <c r="H312" s="164"/>
      <c r="I312" s="116" t="s">
        <v>516</v>
      </c>
      <c r="J312" s="116" t="str">
        <f>VLOOKUP(I312,Presupuesto!$B$11:$C$565,2,0)</f>
        <v>AGUINALDO Y DECIMO CUARTO MES</v>
      </c>
      <c r="K312" s="98" t="str">
        <f t="shared" si="8"/>
        <v>Posgrado</v>
      </c>
      <c r="L312" s="98" t="s">
        <v>395</v>
      </c>
    </row>
    <row r="313" spans="3:12" ht="15.75" thickBot="1">
      <c r="C313" s="172" t="s">
        <v>59</v>
      </c>
      <c r="D313" s="163"/>
      <c r="E313" s="154">
        <v>0</v>
      </c>
      <c r="F313" s="117">
        <f>IF(E311&lt;6,"",((E311-6)/12)*(G311/E311))</f>
        <v>0</v>
      </c>
      <c r="G313" s="97">
        <f>F313</f>
        <v>0</v>
      </c>
      <c r="H313" s="164"/>
      <c r="I313" s="101" t="s">
        <v>519</v>
      </c>
      <c r="J313" s="101" t="str">
        <f>VLOOKUP(I313,Presupuesto!$B$11:$C$565,2,0)</f>
        <v>DECIMOCUARTO MES</v>
      </c>
      <c r="K313" s="98" t="str">
        <f t="shared" si="8"/>
        <v>Posgrado</v>
      </c>
      <c r="L313" s="98" t="s">
        <v>395</v>
      </c>
    </row>
    <row r="314" spans="3:12" ht="15.75" thickBot="1">
      <c r="C314" s="137" t="s">
        <v>485</v>
      </c>
      <c r="D314" s="199"/>
      <c r="E314" s="152">
        <v>12</v>
      </c>
      <c r="F314" s="301">
        <f>HLOOKUP($C314,$BZ$2:$CM$3,2,0)</f>
        <v>31763.19</v>
      </c>
      <c r="G314" s="113">
        <f>D314*E314*F314</f>
        <v>0</v>
      </c>
      <c r="H314" s="166"/>
      <c r="I314" s="114" t="s">
        <v>496</v>
      </c>
      <c r="J314" s="114" t="str">
        <f>VLOOKUP(I314,Presupuesto!$B$11:$C$565,2,0)</f>
        <v>SUELDOS Y SALARIOS PERMANENTES</v>
      </c>
      <c r="K314" s="98" t="str">
        <f t="shared" si="8"/>
        <v>Posgrado</v>
      </c>
      <c r="L314" s="98" t="s">
        <v>395</v>
      </c>
    </row>
    <row r="315" spans="3:12">
      <c r="C315" s="171" t="s">
        <v>58</v>
      </c>
      <c r="D315" s="163"/>
      <c r="E315" s="154">
        <v>0</v>
      </c>
      <c r="F315" s="100">
        <f>IF(E314=0,"",(G314/E314)/12*E314)</f>
        <v>0</v>
      </c>
      <c r="G315" s="97">
        <f>F315</f>
        <v>0</v>
      </c>
      <c r="H315" s="164"/>
      <c r="I315" s="116" t="s">
        <v>516</v>
      </c>
      <c r="J315" s="116" t="str">
        <f>VLOOKUP(I315,Presupuesto!$B$11:$C$565,2,0)</f>
        <v>AGUINALDO Y DECIMO CUARTO MES</v>
      </c>
      <c r="K315" s="98" t="str">
        <f t="shared" si="8"/>
        <v>Posgrado</v>
      </c>
      <c r="L315" s="98" t="s">
        <v>395</v>
      </c>
    </row>
    <row r="316" spans="3:12" ht="15.75" thickBot="1">
      <c r="C316" s="172" t="s">
        <v>59</v>
      </c>
      <c r="D316" s="163"/>
      <c r="E316" s="154">
        <v>0</v>
      </c>
      <c r="F316" s="117">
        <f>IF(E314&lt;6,"",((E314-6)/12)*(G314/E314))</f>
        <v>0</v>
      </c>
      <c r="G316" s="97">
        <f>F316</f>
        <v>0</v>
      </c>
      <c r="H316" s="164"/>
      <c r="I316" s="101" t="s">
        <v>519</v>
      </c>
      <c r="J316" s="101" t="str">
        <f>VLOOKUP(I316,Presupuesto!$B$11:$C$565,2,0)</f>
        <v>DECIMOCUARTO MES</v>
      </c>
      <c r="K316" s="98" t="str">
        <f t="shared" si="8"/>
        <v>Posgrado</v>
      </c>
      <c r="L316" s="98" t="s">
        <v>395</v>
      </c>
    </row>
    <row r="317" spans="3:12" ht="15.75" thickBot="1">
      <c r="C317" s="137" t="s">
        <v>486</v>
      </c>
      <c r="D317" s="199"/>
      <c r="E317" s="152">
        <v>12</v>
      </c>
      <c r="F317" s="301">
        <f>HLOOKUP($C317,$BZ$2:$CM$3,2,0)</f>
        <v>29777.99</v>
      </c>
      <c r="G317" s="113">
        <f>D317*E317*F317</f>
        <v>0</v>
      </c>
      <c r="H317" s="166"/>
      <c r="I317" s="114" t="s">
        <v>496</v>
      </c>
      <c r="J317" s="114" t="str">
        <f>VLOOKUP(I317,Presupuesto!$B$11:$C$565,2,0)</f>
        <v>SUELDOS Y SALARIOS PERMANENTES</v>
      </c>
      <c r="K317" s="98" t="str">
        <f t="shared" si="8"/>
        <v>Posgrado</v>
      </c>
      <c r="L317" s="98" t="s">
        <v>395</v>
      </c>
    </row>
    <row r="318" spans="3:12">
      <c r="C318" s="171" t="s">
        <v>58</v>
      </c>
      <c r="D318" s="163"/>
      <c r="E318" s="154">
        <v>0</v>
      </c>
      <c r="F318" s="100">
        <f>IF(E317=0,"",(G317/E317)/12*E317)</f>
        <v>0</v>
      </c>
      <c r="G318" s="97">
        <f>F318</f>
        <v>0</v>
      </c>
      <c r="H318" s="164"/>
      <c r="I318" s="116" t="s">
        <v>516</v>
      </c>
      <c r="J318" s="116" t="str">
        <f>VLOOKUP(I318,Presupuesto!$B$11:$C$565,2,0)</f>
        <v>AGUINALDO Y DECIMO CUARTO MES</v>
      </c>
      <c r="K318" s="98" t="str">
        <f t="shared" si="8"/>
        <v>Posgrado</v>
      </c>
      <c r="L318" s="98" t="s">
        <v>395</v>
      </c>
    </row>
    <row r="319" spans="3:12" ht="15.75" thickBot="1">
      <c r="C319" s="172" t="s">
        <v>59</v>
      </c>
      <c r="D319" s="163"/>
      <c r="E319" s="154">
        <v>0</v>
      </c>
      <c r="F319" s="117">
        <f>IF(E317&lt;6,"",((E317-6)/12)*(G317/E317))</f>
        <v>0</v>
      </c>
      <c r="G319" s="97">
        <f>F319</f>
        <v>0</v>
      </c>
      <c r="H319" s="164"/>
      <c r="I319" s="101" t="s">
        <v>519</v>
      </c>
      <c r="J319" s="101" t="str">
        <f>VLOOKUP(I319,Presupuesto!$B$11:$C$565,2,0)</f>
        <v>DECIMOCUARTO MES</v>
      </c>
      <c r="K319" s="98" t="str">
        <f t="shared" si="8"/>
        <v>Posgrado</v>
      </c>
      <c r="L319" s="98" t="s">
        <v>395</v>
      </c>
    </row>
    <row r="320" spans="3:12" ht="15.75" thickBot="1">
      <c r="C320" s="137" t="s">
        <v>487</v>
      </c>
      <c r="D320" s="199"/>
      <c r="E320" s="152">
        <v>12</v>
      </c>
      <c r="F320" s="301">
        <f>HLOOKUP($C320,$BZ$2:$CM$3,2,0)</f>
        <v>27792.79</v>
      </c>
      <c r="G320" s="113">
        <f>D320*E320*F320</f>
        <v>0</v>
      </c>
      <c r="H320" s="166"/>
      <c r="I320" s="114" t="s">
        <v>496</v>
      </c>
      <c r="J320" s="114" t="str">
        <f>VLOOKUP(I320,Presupuesto!$B$11:$C$565,2,0)</f>
        <v>SUELDOS Y SALARIOS PERMANENTES</v>
      </c>
      <c r="K320" s="98" t="str">
        <f t="shared" si="8"/>
        <v>Posgrado</v>
      </c>
      <c r="L320" s="98" t="s">
        <v>395</v>
      </c>
    </row>
    <row r="321" spans="3:12">
      <c r="C321" s="171" t="s">
        <v>58</v>
      </c>
      <c r="D321" s="163"/>
      <c r="E321" s="154">
        <v>0</v>
      </c>
      <c r="F321" s="100">
        <f>IF(E320=0,"",(G320/E320)/12*E320)</f>
        <v>0</v>
      </c>
      <c r="G321" s="97">
        <f>F321</f>
        <v>0</v>
      </c>
      <c r="H321" s="164"/>
      <c r="I321" s="116" t="s">
        <v>516</v>
      </c>
      <c r="J321" s="116" t="str">
        <f>VLOOKUP(I321,Presupuesto!$B$11:$C$565,2,0)</f>
        <v>AGUINALDO Y DECIMO CUARTO MES</v>
      </c>
      <c r="K321" s="98" t="str">
        <f t="shared" si="8"/>
        <v>Posgrado</v>
      </c>
      <c r="L321" s="98" t="s">
        <v>395</v>
      </c>
    </row>
    <row r="322" spans="3:12" ht="15.75" thickBot="1">
      <c r="C322" s="172" t="s">
        <v>59</v>
      </c>
      <c r="D322" s="163"/>
      <c r="E322" s="154">
        <v>0</v>
      </c>
      <c r="F322" s="117">
        <f>IF(E320&lt;6,"",((E320-6)/12)*(G320/E320))</f>
        <v>0</v>
      </c>
      <c r="G322" s="97">
        <f>F322</f>
        <v>0</v>
      </c>
      <c r="H322" s="164"/>
      <c r="I322" s="101" t="s">
        <v>519</v>
      </c>
      <c r="J322" s="101" t="str">
        <f>VLOOKUP(I322,Presupuesto!$B$11:$C$565,2,0)</f>
        <v>DECIMOCUARTO MES</v>
      </c>
      <c r="K322" s="98" t="str">
        <f t="shared" si="8"/>
        <v>Posgrado</v>
      </c>
      <c r="L322" s="98" t="s">
        <v>395</v>
      </c>
    </row>
    <row r="323" spans="3:12" ht="15.75" thickBot="1">
      <c r="C323" s="137" t="s">
        <v>488</v>
      </c>
      <c r="D323" s="199"/>
      <c r="E323" s="152">
        <v>12</v>
      </c>
      <c r="F323" s="301">
        <f>HLOOKUP($C323,$BZ$2:$CM$3,2,0)</f>
        <v>18859.39</v>
      </c>
      <c r="G323" s="113">
        <f>D323*E323*F323</f>
        <v>0</v>
      </c>
      <c r="H323" s="166"/>
      <c r="I323" s="114" t="s">
        <v>496</v>
      </c>
      <c r="J323" s="114" t="str">
        <f>VLOOKUP(I323,Presupuesto!$B$11:$C$565,2,0)</f>
        <v>SUELDOS Y SALARIOS PERMANENTES</v>
      </c>
      <c r="K323" s="98" t="str">
        <f t="shared" si="8"/>
        <v>Posgrado</v>
      </c>
      <c r="L323" s="98" t="s">
        <v>395</v>
      </c>
    </row>
    <row r="324" spans="3:12">
      <c r="C324" s="171" t="s">
        <v>58</v>
      </c>
      <c r="D324" s="163"/>
      <c r="E324" s="154">
        <v>0</v>
      </c>
      <c r="F324" s="100">
        <f>IF(E323=0,"",(G323/E323)/12*E323)</f>
        <v>0</v>
      </c>
      <c r="G324" s="97">
        <f>F324</f>
        <v>0</v>
      </c>
      <c r="H324" s="164"/>
      <c r="I324" s="116" t="s">
        <v>516</v>
      </c>
      <c r="J324" s="116" t="str">
        <f>VLOOKUP(I324,Presupuesto!$B$11:$C$565,2,0)</f>
        <v>AGUINALDO Y DECIMO CUARTO MES</v>
      </c>
      <c r="K324" s="98" t="str">
        <f t="shared" si="8"/>
        <v>Posgrado</v>
      </c>
      <c r="L324" s="98" t="s">
        <v>395</v>
      </c>
    </row>
    <row r="325" spans="3:12" ht="15.75" thickBot="1">
      <c r="C325" s="172" t="s">
        <v>59</v>
      </c>
      <c r="D325" s="163"/>
      <c r="E325" s="154">
        <v>0</v>
      </c>
      <c r="F325" s="117">
        <f>IF(E323&lt;6,"",((E323-6)/12)*(G323/E323))</f>
        <v>0</v>
      </c>
      <c r="G325" s="97">
        <f>F325</f>
        <v>0</v>
      </c>
      <c r="H325" s="164"/>
      <c r="I325" s="101" t="s">
        <v>519</v>
      </c>
      <c r="J325" s="101" t="str">
        <f>VLOOKUP(I325,Presupuesto!$B$11:$C$565,2,0)</f>
        <v>DECIMOCUARTO MES</v>
      </c>
      <c r="K325" s="98" t="str">
        <f t="shared" si="8"/>
        <v>Posgrado</v>
      </c>
      <c r="L325" s="98" t="s">
        <v>395</v>
      </c>
    </row>
    <row r="326" spans="3:12" ht="15.75" thickBot="1">
      <c r="C326" s="137" t="s">
        <v>489</v>
      </c>
      <c r="D326" s="199"/>
      <c r="E326" s="152">
        <v>12</v>
      </c>
      <c r="F326" s="301">
        <f>HLOOKUP($C326,$BZ$2:$CM$3,2,0)</f>
        <v>17866.8</v>
      </c>
      <c r="G326" s="113">
        <f>D326*E326*F326</f>
        <v>0</v>
      </c>
      <c r="H326" s="166"/>
      <c r="I326" s="114" t="s">
        <v>496</v>
      </c>
      <c r="J326" s="114" t="str">
        <f>VLOOKUP(I326,Presupuesto!$B$11:$C$565,2,0)</f>
        <v>SUELDOS Y SALARIOS PERMANENTES</v>
      </c>
      <c r="K326" s="98" t="str">
        <f t="shared" si="8"/>
        <v>Posgrado</v>
      </c>
      <c r="L326" s="98" t="s">
        <v>395</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si="8"/>
        <v>Posgrado</v>
      </c>
      <c r="L327" s="98" t="s">
        <v>395</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8"/>
        <v>Posgrado</v>
      </c>
      <c r="L328" s="98" t="s">
        <v>395</v>
      </c>
    </row>
    <row r="329" spans="3:12" ht="15.75" thickBot="1">
      <c r="C329" s="137" t="s">
        <v>490</v>
      </c>
      <c r="D329" s="199"/>
      <c r="E329" s="152">
        <v>12</v>
      </c>
      <c r="F329" s="301">
        <f>HLOOKUP($C329,$BZ$2:$CM$3,2,0)</f>
        <v>13896.4</v>
      </c>
      <c r="G329" s="113">
        <f>D329*E329*F329</f>
        <v>0</v>
      </c>
      <c r="H329" s="166"/>
      <c r="I329" s="114" t="s">
        <v>496</v>
      </c>
      <c r="J329" s="114" t="str">
        <f>VLOOKUP(I329,Presupuesto!$B$11:$C$565,2,0)</f>
        <v>SUELDOS Y SALARIOS PERMANENTES</v>
      </c>
      <c r="K329" s="98" t="str">
        <f t="shared" si="8"/>
        <v>Posgrado</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8"/>
        <v>Posgrado</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8"/>
        <v>Posgrado</v>
      </c>
      <c r="L331" s="98" t="s">
        <v>395</v>
      </c>
    </row>
    <row r="332" spans="3:12" ht="15.75" thickBot="1">
      <c r="C332" s="137" t="s">
        <v>491</v>
      </c>
      <c r="D332" s="199"/>
      <c r="E332" s="152">
        <v>12</v>
      </c>
      <c r="F332" s="301">
        <f>HLOOKUP($C332,$BZ$2:$CM$3,2,0)</f>
        <v>15004.09</v>
      </c>
      <c r="G332" s="113">
        <f>D332*E332*F332</f>
        <v>0</v>
      </c>
      <c r="H332" s="166"/>
      <c r="I332" s="114" t="s">
        <v>496</v>
      </c>
      <c r="J332" s="114" t="str">
        <f>VLOOKUP(I332,Presupuesto!$B$11:$C$565,2,0)</f>
        <v>SUELDOS Y SALARIOS PERMANENTES</v>
      </c>
      <c r="K332" s="98" t="str">
        <f t="shared" si="8"/>
        <v>Posgrado</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8"/>
        <v>Posgrado</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8"/>
        <v>Posgrado</v>
      </c>
      <c r="L334" s="98" t="s">
        <v>395</v>
      </c>
    </row>
    <row r="335" spans="3:12" ht="15.75" thickBot="1">
      <c r="C335" s="137" t="s">
        <v>492</v>
      </c>
      <c r="D335" s="199"/>
      <c r="E335" s="152">
        <v>12</v>
      </c>
      <c r="F335" s="301">
        <f>HLOOKUP($C335,$BZ$2:$CM$3,2,0)</f>
        <v>13238.9</v>
      </c>
      <c r="G335" s="113">
        <f>D335*E335*F335</f>
        <v>0</v>
      </c>
      <c r="H335" s="166"/>
      <c r="I335" s="114" t="s">
        <v>496</v>
      </c>
      <c r="J335" s="114" t="str">
        <f>VLOOKUP(I335,Presupuesto!$B$11:$C$565,2,0)</f>
        <v>SUELDOS Y SALARIOS PERMANENTES</v>
      </c>
      <c r="K335" s="98" t="str">
        <f t="shared" si="8"/>
        <v>Posgrado</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8"/>
        <v>Posgrado</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8"/>
        <v>Posgrado</v>
      </c>
      <c r="L337" s="98" t="s">
        <v>395</v>
      </c>
    </row>
    <row r="338" spans="3:12" ht="15.75" thickBot="1">
      <c r="C338" s="137" t="s">
        <v>493</v>
      </c>
      <c r="D338" s="199"/>
      <c r="E338" s="152">
        <v>12</v>
      </c>
      <c r="F338" s="301">
        <f>HLOOKUP($C338,$BZ$2:$CM$3,2,0)</f>
        <v>12356.31</v>
      </c>
      <c r="G338" s="113">
        <f>D338*E338*F338</f>
        <v>0</v>
      </c>
      <c r="H338" s="166"/>
      <c r="I338" s="114" t="s">
        <v>496</v>
      </c>
      <c r="J338" s="114" t="str">
        <f>VLOOKUP(I338,Presupuesto!$B$11:$C$565,2,0)</f>
        <v>SUELDOS Y SALARIOS PERMANENTES</v>
      </c>
      <c r="K338" s="98" t="str">
        <f t="shared" ref="K338:K355" si="9">$K$305</f>
        <v>Posgrado</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9"/>
        <v>Posgrado</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9"/>
        <v>Posgrado</v>
      </c>
      <c r="L340" s="98" t="s">
        <v>395</v>
      </c>
    </row>
    <row r="341" spans="3:12" ht="15.75" thickBot="1">
      <c r="C341" s="137" t="s">
        <v>494</v>
      </c>
      <c r="D341" s="199"/>
      <c r="E341" s="152">
        <v>12</v>
      </c>
      <c r="F341" s="301">
        <f>HLOOKUP($C341,$BZ$2:$CM$3,2,0)</f>
        <v>463.22</v>
      </c>
      <c r="G341" s="113">
        <f>D341*E341*F341</f>
        <v>0</v>
      </c>
      <c r="H341" s="166"/>
      <c r="I341" s="114" t="s">
        <v>496</v>
      </c>
      <c r="J341" s="114" t="str">
        <f>VLOOKUP(I341,Presupuesto!$B$11:$C$565,2,0)</f>
        <v>SUELDOS Y SALARIOS PERMANENTES</v>
      </c>
      <c r="K341" s="98" t="str">
        <f t="shared" si="9"/>
        <v>Posgrado</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9"/>
        <v>Posgrado</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9"/>
        <v>Posgrado</v>
      </c>
      <c r="L343" s="98" t="s">
        <v>395</v>
      </c>
    </row>
    <row r="344" spans="3:12" ht="15.75" thickBot="1">
      <c r="C344" s="137" t="s">
        <v>495</v>
      </c>
      <c r="D344" s="199"/>
      <c r="E344" s="152">
        <v>12</v>
      </c>
      <c r="F344" s="301">
        <f>HLOOKUP($C344,$BZ$2:$CM$3,2,0)</f>
        <v>2007.3</v>
      </c>
      <c r="G344" s="113">
        <f>D344*E344*F344</f>
        <v>0</v>
      </c>
      <c r="H344" s="166"/>
      <c r="I344" s="114" t="s">
        <v>496</v>
      </c>
      <c r="J344" s="114" t="str">
        <f>VLOOKUP(I344,Presupuesto!$B$11:$C$565,2,0)</f>
        <v>SUELDOS Y SALARIOS PERMANENTES</v>
      </c>
      <c r="K344" s="98" t="str">
        <f t="shared" si="9"/>
        <v>Posgrado</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9"/>
        <v>Posgrado</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9"/>
        <v>Posgrado</v>
      </c>
      <c r="L346" s="98" t="s">
        <v>395</v>
      </c>
    </row>
    <row r="347" spans="3:12" ht="15.75" thickBot="1">
      <c r="C347" s="140" t="s">
        <v>83</v>
      </c>
      <c r="D347" s="199"/>
      <c r="E347" s="152">
        <v>12</v>
      </c>
      <c r="F347" s="139">
        <v>30000</v>
      </c>
      <c r="G347" s="113">
        <f>D347*E347*F347</f>
        <v>0</v>
      </c>
      <c r="H347" s="166"/>
      <c r="I347" s="114" t="s">
        <v>564</v>
      </c>
      <c r="J347" s="114" t="str">
        <f>VLOOKUP(I347,Presupuesto!$B$11:$C$565,2,0)</f>
        <v>CONTRATOS ESPECIALES</v>
      </c>
      <c r="K347" s="98" t="str">
        <f t="shared" si="9"/>
        <v>Posgrado</v>
      </c>
      <c r="L347" s="98" t="s">
        <v>395</v>
      </c>
    </row>
    <row r="348" spans="3:12">
      <c r="C348" s="171" t="s">
        <v>58</v>
      </c>
      <c r="D348" s="163"/>
      <c r="E348" s="154">
        <v>0</v>
      </c>
      <c r="F348" s="117">
        <f>IF(E347=0,"",(G347/E347)/12*E347)</f>
        <v>0</v>
      </c>
      <c r="G348" s="97">
        <f>F348</f>
        <v>0</v>
      </c>
      <c r="H348" s="164"/>
      <c r="I348" s="101" t="s">
        <v>564</v>
      </c>
      <c r="J348" s="101" t="str">
        <f>VLOOKUP(I348,Presupuesto!$B$11:$C$565,2,0)</f>
        <v>CONTRATOS ESPECIALES</v>
      </c>
      <c r="K348" s="98" t="str">
        <f t="shared" si="9"/>
        <v>Posgrado</v>
      </c>
      <c r="L348" s="98" t="s">
        <v>394</v>
      </c>
    </row>
    <row r="349" spans="3:12" ht="15.75" thickBot="1">
      <c r="C349" s="172" t="s">
        <v>59</v>
      </c>
      <c r="D349" s="163"/>
      <c r="E349" s="154">
        <v>0</v>
      </c>
      <c r="F349" s="100">
        <f>IF(E347&lt;6,"",((E347-6)/12)*(G347/E347))</f>
        <v>0</v>
      </c>
      <c r="G349" s="97">
        <f>F349</f>
        <v>0</v>
      </c>
      <c r="H349" s="164"/>
      <c r="I349" s="101" t="s">
        <v>564</v>
      </c>
      <c r="J349" s="101" t="str">
        <f>VLOOKUP(I349,Presupuesto!$B$11:$C$565,2,0)</f>
        <v>CONTRATOS ESPECIALES</v>
      </c>
      <c r="K349" s="98" t="str">
        <f t="shared" si="9"/>
        <v>Posgrado</v>
      </c>
      <c r="L349" s="98" t="s">
        <v>399</v>
      </c>
    </row>
    <row r="350" spans="3:12" ht="15.75" thickBot="1">
      <c r="C350" s="140" t="s">
        <v>60</v>
      </c>
      <c r="D350" s="199"/>
      <c r="E350" s="152">
        <v>12</v>
      </c>
      <c r="F350" s="118">
        <v>30000</v>
      </c>
      <c r="G350" s="113">
        <f>D350*E350*F350</f>
        <v>0</v>
      </c>
      <c r="H350" s="166"/>
      <c r="I350" s="114" t="s">
        <v>705</v>
      </c>
      <c r="J350" s="114" t="str">
        <f>VLOOKUP(I350,Presupuesto!$B$11:$C$565,2,0)</f>
        <v>OTROS SERVICIOS TECNICOS Y PROFESIONALES</v>
      </c>
      <c r="K350" s="98" t="str">
        <f t="shared" si="9"/>
        <v>Posgrado</v>
      </c>
      <c r="L350" s="98" t="s">
        <v>394</v>
      </c>
    </row>
    <row r="351" spans="3:12">
      <c r="C351" s="171" t="s">
        <v>58</v>
      </c>
      <c r="D351" s="163"/>
      <c r="E351" s="154">
        <v>0</v>
      </c>
      <c r="F351" s="100">
        <v>0</v>
      </c>
      <c r="G351" s="97">
        <f>F351</f>
        <v>0</v>
      </c>
      <c r="H351" s="164"/>
      <c r="I351" s="101" t="s">
        <v>705</v>
      </c>
      <c r="J351" s="101" t="str">
        <f>VLOOKUP(I351,Presupuesto!$B$11:$C$565,2,0)</f>
        <v>OTROS SERVICIOS TECNICOS Y PROFESIONALES</v>
      </c>
      <c r="K351" s="98" t="str">
        <f t="shared" si="9"/>
        <v>Posgrado</v>
      </c>
      <c r="L351" s="98" t="s">
        <v>394</v>
      </c>
    </row>
    <row r="352" spans="3:12" ht="15.75" thickBot="1">
      <c r="C352" s="172" t="s">
        <v>59</v>
      </c>
      <c r="D352" s="163"/>
      <c r="E352" s="154">
        <v>0</v>
      </c>
      <c r="F352" s="100">
        <v>0</v>
      </c>
      <c r="G352" s="97">
        <f>F352</f>
        <v>0</v>
      </c>
      <c r="H352" s="164"/>
      <c r="I352" s="101" t="s">
        <v>705</v>
      </c>
      <c r="J352" s="101" t="str">
        <f>VLOOKUP(I352,Presupuesto!$B$11:$C$565,2,0)</f>
        <v>OTROS SERVICIOS TECNICOS Y PROFESIONALES</v>
      </c>
      <c r="K352" s="98" t="str">
        <f t="shared" si="9"/>
        <v>Posgrado</v>
      </c>
      <c r="L352" s="98" t="s">
        <v>394</v>
      </c>
    </row>
    <row r="353" spans="3:12" ht="15.75" thickBot="1">
      <c r="C353" s="140" t="s">
        <v>61</v>
      </c>
      <c r="D353" s="199"/>
      <c r="E353" s="152">
        <v>12</v>
      </c>
      <c r="F353" s="118">
        <v>30000</v>
      </c>
      <c r="G353" s="113">
        <f>D353*E353*F353</f>
        <v>0</v>
      </c>
      <c r="H353" s="166"/>
      <c r="I353" s="114" t="s">
        <v>496</v>
      </c>
      <c r="J353" s="114" t="str">
        <f>VLOOKUP(I353,Presupuesto!$B$11:$C$565,2,0)</f>
        <v>SUELDOS Y SALARIOS PERMANENTES</v>
      </c>
      <c r="K353" s="98" t="str">
        <f t="shared" si="9"/>
        <v>Posgrado</v>
      </c>
      <c r="L353" s="98" t="s">
        <v>394</v>
      </c>
    </row>
    <row r="354" spans="3:12">
      <c r="C354" s="171" t="s">
        <v>58</v>
      </c>
      <c r="D354" s="169"/>
      <c r="E354" s="131">
        <v>0</v>
      </c>
      <c r="F354" s="119">
        <f>IF(E353=0,"",(G353/E353)/12*E353)</f>
        <v>0</v>
      </c>
      <c r="G354" s="120">
        <f>F354</f>
        <v>0</v>
      </c>
      <c r="H354" s="164"/>
      <c r="I354" s="101" t="s">
        <v>516</v>
      </c>
      <c r="J354" s="101" t="str">
        <f>VLOOKUP(I354,Presupuesto!$B$11:$C$565,2,0)</f>
        <v>AGUINALDO Y DECIMO CUARTO MES</v>
      </c>
      <c r="K354" s="98" t="str">
        <f t="shared" si="9"/>
        <v>Posgrado</v>
      </c>
      <c r="L354" s="98" t="s">
        <v>394</v>
      </c>
    </row>
    <row r="355" spans="3:12" ht="15.75" thickBot="1">
      <c r="C355" s="173" t="s">
        <v>59</v>
      </c>
      <c r="D355" s="162"/>
      <c r="E355" s="132">
        <v>0</v>
      </c>
      <c r="F355" s="105">
        <f>IF(E353&lt;6,"",((E353-6)/12)*(G353/E353))</f>
        <v>0</v>
      </c>
      <c r="G355" s="105">
        <f>F355</f>
        <v>0</v>
      </c>
      <c r="H355" s="162"/>
      <c r="I355" s="106" t="s">
        <v>519</v>
      </c>
      <c r="J355" s="124" t="str">
        <f>VLOOKUP(I355,Presupuesto!$B$11:$C$565,2,0)</f>
        <v>DECIMOCUARTO MES</v>
      </c>
      <c r="K355" s="106" t="str">
        <f t="shared" si="9"/>
        <v>Posgrado</v>
      </c>
      <c r="L355" s="124" t="s">
        <v>394</v>
      </c>
    </row>
    <row r="357" spans="3:12" ht="15.75" thickBot="1">
      <c r="K357" s="153"/>
    </row>
    <row r="358" spans="3:12" ht="15.75" thickBot="1">
      <c r="C358" s="69" t="s">
        <v>43</v>
      </c>
      <c r="D358" s="30">
        <f>SUM(G365:G415)</f>
        <v>0</v>
      </c>
      <c r="E358" s="93"/>
      <c r="F358" s="93"/>
      <c r="G358" s="93"/>
      <c r="H358" s="76"/>
      <c r="I358" s="76"/>
      <c r="J358" s="76"/>
      <c r="K358" s="153"/>
    </row>
    <row r="359" spans="3:12">
      <c r="D359" s="31"/>
      <c r="E359" s="93"/>
      <c r="F359" s="93"/>
      <c r="G359" s="93"/>
      <c r="H359" s="76"/>
      <c r="I359" s="76"/>
      <c r="J359" s="76"/>
      <c r="K359" s="153"/>
    </row>
    <row r="360" spans="3:12">
      <c r="D360" s="31"/>
      <c r="E360" s="93"/>
      <c r="F360" s="93"/>
      <c r="G360" s="93"/>
      <c r="H360" s="76"/>
      <c r="I360" s="76"/>
      <c r="J360" s="76"/>
      <c r="K360" s="153"/>
    </row>
    <row r="361" spans="3:12" ht="15.75">
      <c r="C361" s="202" t="s">
        <v>392</v>
      </c>
      <c r="D361" s="361"/>
      <c r="E361" s="93"/>
      <c r="F361" s="93"/>
      <c r="G361" s="93"/>
      <c r="H361" s="76"/>
      <c r="I361" s="76"/>
      <c r="J361" s="76"/>
      <c r="K361" s="153"/>
    </row>
    <row r="362" spans="3:12" ht="18.75">
      <c r="C362" s="210" t="e">
        <f>IFERROR(VLOOKUP(D361,'1. Desarrollo e Innov. Curricu.'!$E:$F,2,FALSE),IFERROR(VLOOKUP(D361,'2. Investigación Científica'!$E:$F,2,FALSE),IFERROR(VLOOKUP(D361,'3. Vinculación Univ. Sociedad'!$E:$F,2,FALSE),IFERROR(VLOOKUP(D361,'4. Docencia y Profesorado Univ.'!$E:$F,2,FALSE),IFERROR(VLOOKUP(D361,'5. Estudiantes y Graduados'!$E:$F,2,FALSE),IFERROR(VLOOKUP(D361,'11. Gestion Administrativa'!$E:$F,2,FALSE),IFERROR(VLOOKUP(D361,'13. Gestión Académica'!$E:$F,2,FALSE),IFERROR(VLOOKUP(D361,'8. Asegura. de la Calid. y M'!$E:$F,2,FALSE),IFERROR(VLOOKUP(D361,'6. Gestión del Conocimiento'!$E:$F,2,FALSE),IFERROR(VLOOKUP(D361,'15. Gobernabilidad y Proceso...'!$E:$F,2,FALSE),IFERROR(VLOOKUP(D361,'12. Gestión del Talento Humano'!$E:$F,2,FALSE),IFERROR(VLOOKUP(D361,'14. Internacional... de la E.S.'!$E:$F,2,FALSE),IFERROR(VLOOKUP(D361,'10. Posgrado'!$E:$F,2,FALSE),IFERROR(VLOOKUP(D361,'17. Gestión TIC'!$E:$F,2,FALSE),IFERROR(VLOOKUP(D361,'16. Desa. del Sistema Educ.Sup.'!$E:$F,2,FALSE),IFERROR(VLOOKUP(D361,'9. Cultura de Inno. Insti...'!$E:$F,2,FALSE),VLOOKUP(D361,'7. Lo Esencial de la Reforma U.'!$E:$F,2,0)))))))))))))))))</f>
        <v>#N/A</v>
      </c>
      <c r="D362" s="31"/>
      <c r="E362" s="93"/>
      <c r="F362" s="93"/>
      <c r="G362" s="93"/>
      <c r="H362" s="76"/>
      <c r="I362" s="76"/>
      <c r="J362" s="76"/>
      <c r="K362" s="153"/>
    </row>
    <row r="363" spans="3:12" ht="15.75" thickBot="1">
      <c r="C363" s="177"/>
      <c r="D363" s="31"/>
      <c r="E363" s="93"/>
      <c r="F363" s="93"/>
      <c r="G363" s="93"/>
      <c r="H363" s="76"/>
      <c r="I363" s="76"/>
      <c r="J363" s="76"/>
      <c r="K363" s="153"/>
    </row>
    <row r="364" spans="3:12" ht="30.75" thickBot="1">
      <c r="C364" s="134" t="s">
        <v>44</v>
      </c>
      <c r="D364" s="138" t="s">
        <v>55</v>
      </c>
      <c r="E364" s="170" t="s">
        <v>56</v>
      </c>
      <c r="F364" s="138" t="s">
        <v>57</v>
      </c>
      <c r="G364" s="135" t="s">
        <v>27</v>
      </c>
      <c r="H364" s="133" t="s">
        <v>131</v>
      </c>
      <c r="I364" s="136" t="s">
        <v>46</v>
      </c>
      <c r="J364" s="136" t="s">
        <v>132</v>
      </c>
      <c r="K364" s="136" t="s">
        <v>410</v>
      </c>
      <c r="L364" s="136" t="s">
        <v>411</v>
      </c>
    </row>
    <row r="365" spans="3:12" ht="15.75" thickBot="1">
      <c r="C365" s="137" t="s">
        <v>482</v>
      </c>
      <c r="D365" s="199"/>
      <c r="E365" s="152">
        <v>12</v>
      </c>
      <c r="F365" s="301">
        <f>HLOOKUP($C365,$BZ$2:$CM$3,2,0)</f>
        <v>43674.39</v>
      </c>
      <c r="G365" s="113">
        <f>D365*E365*F365</f>
        <v>0</v>
      </c>
      <c r="H365" s="166"/>
      <c r="I365" s="114" t="s">
        <v>496</v>
      </c>
      <c r="J365" s="114" t="str">
        <f>VLOOKUP(I365,Presupuesto!$B$11:$C$565,2,0)</f>
        <v>SUELDOS Y SALARIOS PERMANENTES</v>
      </c>
      <c r="K365" s="218" t="s">
        <v>1441</v>
      </c>
      <c r="L365" s="98" t="s">
        <v>394</v>
      </c>
    </row>
    <row r="366" spans="3:12">
      <c r="C366" s="171" t="s">
        <v>58</v>
      </c>
      <c r="D366" s="163"/>
      <c r="E366" s="154">
        <v>0</v>
      </c>
      <c r="F366" s="100">
        <f>IF(E365=0,"",(G365/E365)/12*E365)</f>
        <v>0</v>
      </c>
      <c r="G366" s="97">
        <f>F366</f>
        <v>0</v>
      </c>
      <c r="H366" s="164"/>
      <c r="I366" s="116" t="s">
        <v>516</v>
      </c>
      <c r="J366" s="116" t="str">
        <f>VLOOKUP(I366,Presupuesto!$B$11:$C$565,2,0)</f>
        <v>AGUINALDO Y DECIMO CUARTO MES</v>
      </c>
      <c r="K366" s="98" t="str">
        <f t="shared" ref="K366:K397" si="10">$K$365</f>
        <v>Posgrado</v>
      </c>
      <c r="L366" s="98" t="s">
        <v>412</v>
      </c>
    </row>
    <row r="367" spans="3:12" ht="15.75" thickBot="1">
      <c r="C367" s="172" t="s">
        <v>59</v>
      </c>
      <c r="D367" s="163"/>
      <c r="E367" s="154">
        <v>0</v>
      </c>
      <c r="F367" s="117">
        <f>IF(E365&lt;6,"",((E365-6)/12)*(G365/E365))</f>
        <v>0</v>
      </c>
      <c r="G367" s="97">
        <f>F367</f>
        <v>0</v>
      </c>
      <c r="H367" s="164"/>
      <c r="I367" s="101" t="s">
        <v>519</v>
      </c>
      <c r="J367" s="101" t="str">
        <f>VLOOKUP(I367,Presupuesto!$B$11:$C$565,2,0)</f>
        <v>DECIMOCUARTO MES</v>
      </c>
      <c r="K367" s="98" t="str">
        <f t="shared" si="10"/>
        <v>Posgrado</v>
      </c>
      <c r="L367" s="98" t="s">
        <v>395</v>
      </c>
    </row>
    <row r="368" spans="3:12" ht="15.75" thickBot="1">
      <c r="C368" s="137" t="s">
        <v>483</v>
      </c>
      <c r="D368" s="199"/>
      <c r="E368" s="152">
        <v>12</v>
      </c>
      <c r="F368" s="301">
        <f>HLOOKUP($C368,$BZ$2:$CM$3,2,0)</f>
        <v>39703.99</v>
      </c>
      <c r="G368" s="113">
        <f>D368*E368*F368</f>
        <v>0</v>
      </c>
      <c r="H368" s="166"/>
      <c r="I368" s="114" t="s">
        <v>496</v>
      </c>
      <c r="J368" s="114" t="str">
        <f>VLOOKUP(I368,Presupuesto!$B$11:$C$565,2,0)</f>
        <v>SUELDOS Y SALARIOS PERMANENTES</v>
      </c>
      <c r="K368" s="98" t="str">
        <f t="shared" si="10"/>
        <v>Posgrado</v>
      </c>
      <c r="L368" s="98" t="s">
        <v>395</v>
      </c>
    </row>
    <row r="369" spans="3:12">
      <c r="C369" s="171" t="s">
        <v>58</v>
      </c>
      <c r="D369" s="163"/>
      <c r="E369" s="154">
        <v>0</v>
      </c>
      <c r="F369" s="100">
        <f>IF(E368=0,"",(G368/E368)/12*E368)</f>
        <v>0</v>
      </c>
      <c r="G369" s="97">
        <f>F369</f>
        <v>0</v>
      </c>
      <c r="H369" s="164"/>
      <c r="I369" s="116" t="s">
        <v>516</v>
      </c>
      <c r="J369" s="116" t="str">
        <f>VLOOKUP(I369,Presupuesto!$B$11:$C$565,2,0)</f>
        <v>AGUINALDO Y DECIMO CUARTO MES</v>
      </c>
      <c r="K369" s="98" t="str">
        <f t="shared" si="10"/>
        <v>Posgrado</v>
      </c>
      <c r="L369" s="98" t="s">
        <v>395</v>
      </c>
    </row>
    <row r="370" spans="3:12" ht="15.75" thickBot="1">
      <c r="C370" s="172" t="s">
        <v>59</v>
      </c>
      <c r="D370" s="163"/>
      <c r="E370" s="154">
        <v>0</v>
      </c>
      <c r="F370" s="117">
        <f>IF(E368&lt;6,"",((E368-6)/12)*(G368/E368))</f>
        <v>0</v>
      </c>
      <c r="G370" s="97">
        <f>F370</f>
        <v>0</v>
      </c>
      <c r="H370" s="164"/>
      <c r="I370" s="101" t="s">
        <v>519</v>
      </c>
      <c r="J370" s="101" t="str">
        <f>VLOOKUP(I370,Presupuesto!$B$11:$C$565,2,0)</f>
        <v>DECIMOCUARTO MES</v>
      </c>
      <c r="K370" s="98" t="str">
        <f t="shared" si="10"/>
        <v>Posgrado</v>
      </c>
      <c r="L370" s="98" t="s">
        <v>395</v>
      </c>
    </row>
    <row r="371" spans="3:12" ht="15.75" thickBot="1">
      <c r="C371" s="137" t="s">
        <v>484</v>
      </c>
      <c r="D371" s="199"/>
      <c r="E371" s="152">
        <v>12</v>
      </c>
      <c r="F371" s="301">
        <f>HLOOKUP($C371,$BZ$2:$CM$3,2,0)</f>
        <v>35733.589999999997</v>
      </c>
      <c r="G371" s="113">
        <f>D371*E371*F371</f>
        <v>0</v>
      </c>
      <c r="H371" s="166"/>
      <c r="I371" s="114" t="s">
        <v>496</v>
      </c>
      <c r="J371" s="114" t="str">
        <f>VLOOKUP(I371,Presupuesto!$B$11:$C$565,2,0)</f>
        <v>SUELDOS Y SALARIOS PERMANENTES</v>
      </c>
      <c r="K371" s="98" t="str">
        <f t="shared" si="10"/>
        <v>Posgrado</v>
      </c>
      <c r="L371" s="98" t="s">
        <v>395</v>
      </c>
    </row>
    <row r="372" spans="3:12">
      <c r="C372" s="171" t="s">
        <v>58</v>
      </c>
      <c r="D372" s="163"/>
      <c r="E372" s="154">
        <v>0</v>
      </c>
      <c r="F372" s="100">
        <f>IF(E371=0,"",(G371/E371)/12*E371)</f>
        <v>0</v>
      </c>
      <c r="G372" s="97">
        <f>F372</f>
        <v>0</v>
      </c>
      <c r="H372" s="164"/>
      <c r="I372" s="116" t="s">
        <v>516</v>
      </c>
      <c r="J372" s="116" t="str">
        <f>VLOOKUP(I372,Presupuesto!$B$11:$C$565,2,0)</f>
        <v>AGUINALDO Y DECIMO CUARTO MES</v>
      </c>
      <c r="K372" s="98" t="str">
        <f t="shared" si="10"/>
        <v>Posgrado</v>
      </c>
      <c r="L372" s="98" t="s">
        <v>395</v>
      </c>
    </row>
    <row r="373" spans="3:12" ht="15.75" thickBot="1">
      <c r="C373" s="172" t="s">
        <v>59</v>
      </c>
      <c r="D373" s="163"/>
      <c r="E373" s="154">
        <v>0</v>
      </c>
      <c r="F373" s="117">
        <f>IF(E371&lt;6,"",((E371-6)/12)*(G371/E371))</f>
        <v>0</v>
      </c>
      <c r="G373" s="97">
        <f>F373</f>
        <v>0</v>
      </c>
      <c r="H373" s="164"/>
      <c r="I373" s="101" t="s">
        <v>519</v>
      </c>
      <c r="J373" s="101" t="str">
        <f>VLOOKUP(I373,Presupuesto!$B$11:$C$565,2,0)</f>
        <v>DECIMOCUARTO MES</v>
      </c>
      <c r="K373" s="98" t="str">
        <f t="shared" si="10"/>
        <v>Posgrado</v>
      </c>
      <c r="L373" s="98" t="s">
        <v>395</v>
      </c>
    </row>
    <row r="374" spans="3:12" ht="15.75" thickBot="1">
      <c r="C374" s="137" t="s">
        <v>485</v>
      </c>
      <c r="D374" s="199"/>
      <c r="E374" s="152">
        <v>12</v>
      </c>
      <c r="F374" s="301">
        <f>HLOOKUP($C374,$BZ$2:$CM$3,2,0)</f>
        <v>31763.19</v>
      </c>
      <c r="G374" s="113">
        <f>D374*E374*F374</f>
        <v>0</v>
      </c>
      <c r="H374" s="166"/>
      <c r="I374" s="114" t="s">
        <v>496</v>
      </c>
      <c r="J374" s="114" t="str">
        <f>VLOOKUP(I374,Presupuesto!$B$11:$C$565,2,0)</f>
        <v>SUELDOS Y SALARIOS PERMANENTES</v>
      </c>
      <c r="K374" s="98" t="str">
        <f t="shared" si="10"/>
        <v>Posgrado</v>
      </c>
      <c r="L374" s="98" t="s">
        <v>395</v>
      </c>
    </row>
    <row r="375" spans="3:12">
      <c r="C375" s="171" t="s">
        <v>58</v>
      </c>
      <c r="D375" s="163"/>
      <c r="E375" s="154">
        <v>0</v>
      </c>
      <c r="F375" s="100">
        <f>IF(E374=0,"",(G374/E374)/12*E374)</f>
        <v>0</v>
      </c>
      <c r="G375" s="97">
        <f>F375</f>
        <v>0</v>
      </c>
      <c r="H375" s="164"/>
      <c r="I375" s="116" t="s">
        <v>516</v>
      </c>
      <c r="J375" s="116" t="str">
        <f>VLOOKUP(I375,Presupuesto!$B$11:$C$565,2,0)</f>
        <v>AGUINALDO Y DECIMO CUARTO MES</v>
      </c>
      <c r="K375" s="98" t="str">
        <f t="shared" si="10"/>
        <v>Posgrado</v>
      </c>
      <c r="L375" s="98" t="s">
        <v>395</v>
      </c>
    </row>
    <row r="376" spans="3:12" ht="15.75" thickBot="1">
      <c r="C376" s="172" t="s">
        <v>59</v>
      </c>
      <c r="D376" s="163"/>
      <c r="E376" s="154">
        <v>0</v>
      </c>
      <c r="F376" s="117">
        <f>IF(E374&lt;6,"",((E374-6)/12)*(G374/E374))</f>
        <v>0</v>
      </c>
      <c r="G376" s="97">
        <f>F376</f>
        <v>0</v>
      </c>
      <c r="H376" s="164"/>
      <c r="I376" s="101" t="s">
        <v>519</v>
      </c>
      <c r="J376" s="101" t="str">
        <f>VLOOKUP(I376,Presupuesto!$B$11:$C$565,2,0)</f>
        <v>DECIMOCUARTO MES</v>
      </c>
      <c r="K376" s="98" t="str">
        <f t="shared" si="10"/>
        <v>Posgrado</v>
      </c>
      <c r="L376" s="98" t="s">
        <v>395</v>
      </c>
    </row>
    <row r="377" spans="3:12" ht="15.75" thickBot="1">
      <c r="C377" s="137" t="s">
        <v>486</v>
      </c>
      <c r="D377" s="199"/>
      <c r="E377" s="152">
        <v>12</v>
      </c>
      <c r="F377" s="301">
        <f>HLOOKUP($C377,$BZ$2:$CM$3,2,0)</f>
        <v>29777.99</v>
      </c>
      <c r="G377" s="113">
        <f>D377*E377*F377</f>
        <v>0</v>
      </c>
      <c r="H377" s="166"/>
      <c r="I377" s="114" t="s">
        <v>496</v>
      </c>
      <c r="J377" s="114" t="str">
        <f>VLOOKUP(I377,Presupuesto!$B$11:$C$565,2,0)</f>
        <v>SUELDOS Y SALARIOS PERMANENTES</v>
      </c>
      <c r="K377" s="98" t="str">
        <f t="shared" si="10"/>
        <v>Posgrado</v>
      </c>
      <c r="L377" s="98" t="s">
        <v>395</v>
      </c>
    </row>
    <row r="378" spans="3:12">
      <c r="C378" s="171" t="s">
        <v>58</v>
      </c>
      <c r="D378" s="163"/>
      <c r="E378" s="154">
        <v>0</v>
      </c>
      <c r="F378" s="100">
        <f>IF(E377=0,"",(G377/E377)/12*E377)</f>
        <v>0</v>
      </c>
      <c r="G378" s="97">
        <f>F378</f>
        <v>0</v>
      </c>
      <c r="H378" s="164"/>
      <c r="I378" s="116" t="s">
        <v>516</v>
      </c>
      <c r="J378" s="116" t="str">
        <f>VLOOKUP(I378,Presupuesto!$B$11:$C$565,2,0)</f>
        <v>AGUINALDO Y DECIMO CUARTO MES</v>
      </c>
      <c r="K378" s="98" t="str">
        <f t="shared" si="10"/>
        <v>Posgrado</v>
      </c>
      <c r="L378" s="98" t="s">
        <v>395</v>
      </c>
    </row>
    <row r="379" spans="3:12" ht="15.75" thickBot="1">
      <c r="C379" s="172" t="s">
        <v>59</v>
      </c>
      <c r="D379" s="163"/>
      <c r="E379" s="154">
        <v>0</v>
      </c>
      <c r="F379" s="117">
        <f>IF(E377&lt;6,"",((E377-6)/12)*(G377/E377))</f>
        <v>0</v>
      </c>
      <c r="G379" s="97">
        <f>F379</f>
        <v>0</v>
      </c>
      <c r="H379" s="164"/>
      <c r="I379" s="101" t="s">
        <v>519</v>
      </c>
      <c r="J379" s="101" t="str">
        <f>VLOOKUP(I379,Presupuesto!$B$11:$C$565,2,0)</f>
        <v>DECIMOCUARTO MES</v>
      </c>
      <c r="K379" s="98" t="str">
        <f t="shared" si="10"/>
        <v>Posgrado</v>
      </c>
      <c r="L379" s="98" t="s">
        <v>395</v>
      </c>
    </row>
    <row r="380" spans="3:12" ht="15.75" thickBot="1">
      <c r="C380" s="137" t="s">
        <v>487</v>
      </c>
      <c r="D380" s="199"/>
      <c r="E380" s="152">
        <v>12</v>
      </c>
      <c r="F380" s="301">
        <f>HLOOKUP($C380,$BZ$2:$CM$3,2,0)</f>
        <v>27792.79</v>
      </c>
      <c r="G380" s="113">
        <f>D380*E380*F380</f>
        <v>0</v>
      </c>
      <c r="H380" s="166"/>
      <c r="I380" s="114" t="s">
        <v>496</v>
      </c>
      <c r="J380" s="114" t="str">
        <f>VLOOKUP(I380,Presupuesto!$B$11:$C$565,2,0)</f>
        <v>SUELDOS Y SALARIOS PERMANENTES</v>
      </c>
      <c r="K380" s="98" t="str">
        <f t="shared" si="10"/>
        <v>Posgrado</v>
      </c>
      <c r="L380" s="98" t="s">
        <v>395</v>
      </c>
    </row>
    <row r="381" spans="3:12">
      <c r="C381" s="171" t="s">
        <v>58</v>
      </c>
      <c r="D381" s="163"/>
      <c r="E381" s="154">
        <v>0</v>
      </c>
      <c r="F381" s="100">
        <f>IF(E380=0,"",(G380/E380)/12*E380)</f>
        <v>0</v>
      </c>
      <c r="G381" s="97">
        <f>F381</f>
        <v>0</v>
      </c>
      <c r="H381" s="164"/>
      <c r="I381" s="116" t="s">
        <v>516</v>
      </c>
      <c r="J381" s="116" t="str">
        <f>VLOOKUP(I381,Presupuesto!$B$11:$C$565,2,0)</f>
        <v>AGUINALDO Y DECIMO CUARTO MES</v>
      </c>
      <c r="K381" s="98" t="str">
        <f t="shared" si="10"/>
        <v>Posgrado</v>
      </c>
      <c r="L381" s="98" t="s">
        <v>395</v>
      </c>
    </row>
    <row r="382" spans="3:12" ht="15.75" thickBot="1">
      <c r="C382" s="172" t="s">
        <v>59</v>
      </c>
      <c r="D382" s="163"/>
      <c r="E382" s="154">
        <v>0</v>
      </c>
      <c r="F382" s="117">
        <f>IF(E380&lt;6,"",((E380-6)/12)*(G380/E380))</f>
        <v>0</v>
      </c>
      <c r="G382" s="97">
        <f>F382</f>
        <v>0</v>
      </c>
      <c r="H382" s="164"/>
      <c r="I382" s="101" t="s">
        <v>519</v>
      </c>
      <c r="J382" s="101" t="str">
        <f>VLOOKUP(I382,Presupuesto!$B$11:$C$565,2,0)</f>
        <v>DECIMOCUARTO MES</v>
      </c>
      <c r="K382" s="98" t="str">
        <f t="shared" si="10"/>
        <v>Posgrado</v>
      </c>
      <c r="L382" s="98" t="s">
        <v>395</v>
      </c>
    </row>
    <row r="383" spans="3:12" ht="15.75" thickBot="1">
      <c r="C383" s="137" t="s">
        <v>488</v>
      </c>
      <c r="D383" s="199"/>
      <c r="E383" s="152">
        <v>12</v>
      </c>
      <c r="F383" s="301">
        <f>HLOOKUP($C383,$BZ$2:$CM$3,2,0)</f>
        <v>18859.39</v>
      </c>
      <c r="G383" s="113">
        <f>D383*E383*F383</f>
        <v>0</v>
      </c>
      <c r="H383" s="166"/>
      <c r="I383" s="114" t="s">
        <v>496</v>
      </c>
      <c r="J383" s="114" t="str">
        <f>VLOOKUP(I383,Presupuesto!$B$11:$C$565,2,0)</f>
        <v>SUELDOS Y SALARIOS PERMANENTES</v>
      </c>
      <c r="K383" s="98" t="str">
        <f t="shared" si="10"/>
        <v>Posgrado</v>
      </c>
      <c r="L383" s="98" t="s">
        <v>395</v>
      </c>
    </row>
    <row r="384" spans="3:12">
      <c r="C384" s="171" t="s">
        <v>58</v>
      </c>
      <c r="D384" s="163"/>
      <c r="E384" s="154">
        <v>0</v>
      </c>
      <c r="F384" s="100">
        <f>IF(E383=0,"",(G383/E383)/12*E383)</f>
        <v>0</v>
      </c>
      <c r="G384" s="97">
        <f>F384</f>
        <v>0</v>
      </c>
      <c r="H384" s="164"/>
      <c r="I384" s="116" t="s">
        <v>516</v>
      </c>
      <c r="J384" s="116" t="str">
        <f>VLOOKUP(I384,Presupuesto!$B$11:$C$565,2,0)</f>
        <v>AGUINALDO Y DECIMO CUARTO MES</v>
      </c>
      <c r="K384" s="98" t="str">
        <f t="shared" si="10"/>
        <v>Posgrado</v>
      </c>
      <c r="L384" s="98" t="s">
        <v>395</v>
      </c>
    </row>
    <row r="385" spans="3:12" ht="15.75" thickBot="1">
      <c r="C385" s="172" t="s">
        <v>59</v>
      </c>
      <c r="D385" s="163"/>
      <c r="E385" s="154">
        <v>0</v>
      </c>
      <c r="F385" s="117">
        <f>IF(E383&lt;6,"",((E383-6)/12)*(G383/E383))</f>
        <v>0</v>
      </c>
      <c r="G385" s="97">
        <f>F385</f>
        <v>0</v>
      </c>
      <c r="H385" s="164"/>
      <c r="I385" s="101" t="s">
        <v>519</v>
      </c>
      <c r="J385" s="101" t="str">
        <f>VLOOKUP(I385,Presupuesto!$B$11:$C$565,2,0)</f>
        <v>DECIMOCUARTO MES</v>
      </c>
      <c r="K385" s="98" t="str">
        <f t="shared" si="10"/>
        <v>Posgrado</v>
      </c>
      <c r="L385" s="98" t="s">
        <v>395</v>
      </c>
    </row>
    <row r="386" spans="3:12" ht="15.75" thickBot="1">
      <c r="C386" s="137" t="s">
        <v>489</v>
      </c>
      <c r="D386" s="199"/>
      <c r="E386" s="152">
        <v>12</v>
      </c>
      <c r="F386" s="301">
        <f>HLOOKUP($C386,$BZ$2:$CM$3,2,0)</f>
        <v>17866.8</v>
      </c>
      <c r="G386" s="113">
        <f>D386*E386*F386</f>
        <v>0</v>
      </c>
      <c r="H386" s="166"/>
      <c r="I386" s="114" t="s">
        <v>496</v>
      </c>
      <c r="J386" s="114" t="str">
        <f>VLOOKUP(I386,Presupuesto!$B$11:$C$565,2,0)</f>
        <v>SUELDOS Y SALARIOS PERMANENTES</v>
      </c>
      <c r="K386" s="98" t="str">
        <f t="shared" si="10"/>
        <v>Posgrado</v>
      </c>
      <c r="L386" s="98" t="s">
        <v>395</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si="10"/>
        <v>Posgrado</v>
      </c>
      <c r="L387" s="98" t="s">
        <v>395</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0"/>
        <v>Posgrado</v>
      </c>
      <c r="L388" s="98" t="s">
        <v>395</v>
      </c>
    </row>
    <row r="389" spans="3:12" ht="15.75" thickBot="1">
      <c r="C389" s="137" t="s">
        <v>490</v>
      </c>
      <c r="D389" s="199"/>
      <c r="E389" s="152">
        <v>12</v>
      </c>
      <c r="F389" s="301">
        <f>HLOOKUP($C389,$BZ$2:$CM$3,2,0)</f>
        <v>13896.4</v>
      </c>
      <c r="G389" s="113">
        <f>D389*E389*F389</f>
        <v>0</v>
      </c>
      <c r="H389" s="166"/>
      <c r="I389" s="114" t="s">
        <v>496</v>
      </c>
      <c r="J389" s="114" t="str">
        <f>VLOOKUP(I389,Presupuesto!$B$11:$C$565,2,0)</f>
        <v>SUELDOS Y SALARIOS PERMANENTES</v>
      </c>
      <c r="K389" s="98" t="str">
        <f t="shared" si="10"/>
        <v>Posgrado</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0"/>
        <v>Posgrado</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0"/>
        <v>Posgrado</v>
      </c>
      <c r="L391" s="98" t="s">
        <v>395</v>
      </c>
    </row>
    <row r="392" spans="3:12" ht="15.75" thickBot="1">
      <c r="C392" s="137" t="s">
        <v>491</v>
      </c>
      <c r="D392" s="199"/>
      <c r="E392" s="152">
        <v>12</v>
      </c>
      <c r="F392" s="301">
        <f>HLOOKUP($C392,$BZ$2:$CM$3,2,0)</f>
        <v>15004.09</v>
      </c>
      <c r="G392" s="113">
        <f>D392*E392*F392</f>
        <v>0</v>
      </c>
      <c r="H392" s="166"/>
      <c r="I392" s="114" t="s">
        <v>496</v>
      </c>
      <c r="J392" s="114" t="str">
        <f>VLOOKUP(I392,Presupuesto!$B$11:$C$565,2,0)</f>
        <v>SUELDOS Y SALARIOS PERMANENTES</v>
      </c>
      <c r="K392" s="98" t="str">
        <f t="shared" si="10"/>
        <v>Posgrado</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0"/>
        <v>Posgrado</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0"/>
        <v>Posgrado</v>
      </c>
      <c r="L394" s="98" t="s">
        <v>395</v>
      </c>
    </row>
    <row r="395" spans="3:12" ht="15.75" thickBot="1">
      <c r="C395" s="137" t="s">
        <v>492</v>
      </c>
      <c r="D395" s="199"/>
      <c r="E395" s="152">
        <v>12</v>
      </c>
      <c r="F395" s="301">
        <f>HLOOKUP($C395,$BZ$2:$CM$3,2,0)</f>
        <v>13238.9</v>
      </c>
      <c r="G395" s="113">
        <f>D395*E395*F395</f>
        <v>0</v>
      </c>
      <c r="H395" s="166"/>
      <c r="I395" s="114" t="s">
        <v>496</v>
      </c>
      <c r="J395" s="114" t="str">
        <f>VLOOKUP(I395,Presupuesto!$B$11:$C$565,2,0)</f>
        <v>SUELDOS Y SALARIOS PERMANENTES</v>
      </c>
      <c r="K395" s="98" t="str">
        <f t="shared" si="10"/>
        <v>Posgrado</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0"/>
        <v>Posgrado</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0"/>
        <v>Posgrado</v>
      </c>
      <c r="L397" s="98" t="s">
        <v>395</v>
      </c>
    </row>
    <row r="398" spans="3:12" ht="15.75" thickBot="1">
      <c r="C398" s="137" t="s">
        <v>493</v>
      </c>
      <c r="D398" s="199"/>
      <c r="E398" s="152">
        <v>12</v>
      </c>
      <c r="F398" s="301">
        <f>HLOOKUP($C398,$BZ$2:$CM$3,2,0)</f>
        <v>12356.31</v>
      </c>
      <c r="G398" s="113">
        <f>D398*E398*F398</f>
        <v>0</v>
      </c>
      <c r="H398" s="166"/>
      <c r="I398" s="114" t="s">
        <v>496</v>
      </c>
      <c r="J398" s="114" t="str">
        <f>VLOOKUP(I398,Presupuesto!$B$11:$C$565,2,0)</f>
        <v>SUELDOS Y SALARIOS PERMANENTES</v>
      </c>
      <c r="K398" s="98" t="str">
        <f t="shared" ref="K398:K415" si="11">$K$365</f>
        <v>Posgrado</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1"/>
        <v>Posgrado</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1"/>
        <v>Posgrado</v>
      </c>
      <c r="L400" s="98" t="s">
        <v>395</v>
      </c>
    </row>
    <row r="401" spans="3:12" ht="15.75" thickBot="1">
      <c r="C401" s="137" t="s">
        <v>494</v>
      </c>
      <c r="D401" s="199"/>
      <c r="E401" s="152">
        <v>12</v>
      </c>
      <c r="F401" s="301">
        <f>HLOOKUP($C401,$BZ$2:$CM$3,2,0)</f>
        <v>463.22</v>
      </c>
      <c r="G401" s="113">
        <f>D401*E401*F401</f>
        <v>0</v>
      </c>
      <c r="H401" s="166"/>
      <c r="I401" s="114" t="s">
        <v>496</v>
      </c>
      <c r="J401" s="114" t="str">
        <f>VLOOKUP(I401,Presupuesto!$B$11:$C$565,2,0)</f>
        <v>SUELDOS Y SALARIOS PERMANENTES</v>
      </c>
      <c r="K401" s="98" t="str">
        <f t="shared" si="11"/>
        <v>Posgrado</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1"/>
        <v>Posgrado</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1"/>
        <v>Posgrado</v>
      </c>
      <c r="L403" s="98" t="s">
        <v>395</v>
      </c>
    </row>
    <row r="404" spans="3:12" ht="15.75" thickBot="1">
      <c r="C404" s="137" t="s">
        <v>495</v>
      </c>
      <c r="D404" s="199"/>
      <c r="E404" s="152">
        <v>12</v>
      </c>
      <c r="F404" s="301">
        <f>HLOOKUP($C404,$BZ$2:$CM$3,2,0)</f>
        <v>2007.3</v>
      </c>
      <c r="G404" s="113">
        <f>D404*E404*F404</f>
        <v>0</v>
      </c>
      <c r="H404" s="166"/>
      <c r="I404" s="114" t="s">
        <v>496</v>
      </c>
      <c r="J404" s="114" t="str">
        <f>VLOOKUP(I404,Presupuesto!$B$11:$C$565,2,0)</f>
        <v>SUELDOS Y SALARIOS PERMANENTES</v>
      </c>
      <c r="K404" s="98" t="str">
        <f t="shared" si="11"/>
        <v>Posgrado</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1"/>
        <v>Posgrado</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1"/>
        <v>Posgrado</v>
      </c>
      <c r="L406" s="98" t="s">
        <v>395</v>
      </c>
    </row>
    <row r="407" spans="3:12" ht="15.75" thickBot="1">
      <c r="C407" s="140" t="s">
        <v>83</v>
      </c>
      <c r="D407" s="199"/>
      <c r="E407" s="152">
        <v>12</v>
      </c>
      <c r="F407" s="139">
        <v>30000</v>
      </c>
      <c r="G407" s="113">
        <f>D407*E407*F407</f>
        <v>0</v>
      </c>
      <c r="H407" s="166"/>
      <c r="I407" s="114" t="s">
        <v>564</v>
      </c>
      <c r="J407" s="114" t="str">
        <f>VLOOKUP(I407,Presupuesto!$B$11:$C$565,2,0)</f>
        <v>CONTRATOS ESPECIALES</v>
      </c>
      <c r="K407" s="98" t="str">
        <f t="shared" si="11"/>
        <v>Posgrado</v>
      </c>
      <c r="L407" s="98" t="s">
        <v>395</v>
      </c>
    </row>
    <row r="408" spans="3:12">
      <c r="C408" s="171" t="s">
        <v>58</v>
      </c>
      <c r="D408" s="163"/>
      <c r="E408" s="154">
        <v>0</v>
      </c>
      <c r="F408" s="117">
        <f>IF(E407=0,"",(G407/E407)/12*E407)</f>
        <v>0</v>
      </c>
      <c r="G408" s="97">
        <f>F408</f>
        <v>0</v>
      </c>
      <c r="H408" s="164"/>
      <c r="I408" s="101" t="s">
        <v>564</v>
      </c>
      <c r="J408" s="101" t="str">
        <f>VLOOKUP(I408,Presupuesto!$B$11:$C$565,2,0)</f>
        <v>CONTRATOS ESPECIALES</v>
      </c>
      <c r="K408" s="98" t="str">
        <f t="shared" si="11"/>
        <v>Posgrado</v>
      </c>
      <c r="L408" s="98" t="s">
        <v>394</v>
      </c>
    </row>
    <row r="409" spans="3:12" ht="15.75" thickBot="1">
      <c r="C409" s="172" t="s">
        <v>59</v>
      </c>
      <c r="D409" s="163"/>
      <c r="E409" s="154">
        <v>0</v>
      </c>
      <c r="F409" s="100">
        <f>IF(E407&lt;6,"",((E407-6)/12)*(G407/E407))</f>
        <v>0</v>
      </c>
      <c r="G409" s="97">
        <f>F409</f>
        <v>0</v>
      </c>
      <c r="H409" s="164"/>
      <c r="I409" s="101" t="s">
        <v>564</v>
      </c>
      <c r="J409" s="101" t="str">
        <f>VLOOKUP(I409,Presupuesto!$B$11:$C$565,2,0)</f>
        <v>CONTRATOS ESPECIALES</v>
      </c>
      <c r="K409" s="98" t="str">
        <f t="shared" si="11"/>
        <v>Posgrado</v>
      </c>
      <c r="L409" s="98" t="s">
        <v>399</v>
      </c>
    </row>
    <row r="410" spans="3:12" ht="15.75" thickBot="1">
      <c r="C410" s="140" t="s">
        <v>60</v>
      </c>
      <c r="D410" s="199"/>
      <c r="E410" s="152">
        <v>12</v>
      </c>
      <c r="F410" s="118">
        <v>30000</v>
      </c>
      <c r="G410" s="113">
        <f>D410*E410*F410</f>
        <v>0</v>
      </c>
      <c r="H410" s="166"/>
      <c r="I410" s="114" t="s">
        <v>705</v>
      </c>
      <c r="J410" s="114" t="str">
        <f>VLOOKUP(I410,Presupuesto!$B$11:$C$565,2,0)</f>
        <v>OTROS SERVICIOS TECNICOS Y PROFESIONALES</v>
      </c>
      <c r="K410" s="98" t="str">
        <f t="shared" si="11"/>
        <v>Posgrado</v>
      </c>
      <c r="L410" s="98" t="s">
        <v>394</v>
      </c>
    </row>
    <row r="411" spans="3:12">
      <c r="C411" s="171" t="s">
        <v>58</v>
      </c>
      <c r="D411" s="163"/>
      <c r="E411" s="154">
        <v>0</v>
      </c>
      <c r="F411" s="100">
        <v>0</v>
      </c>
      <c r="G411" s="97">
        <f>F411</f>
        <v>0</v>
      </c>
      <c r="H411" s="164"/>
      <c r="I411" s="101" t="s">
        <v>705</v>
      </c>
      <c r="J411" s="101" t="str">
        <f>VLOOKUP(I411,Presupuesto!$B$11:$C$565,2,0)</f>
        <v>OTROS SERVICIOS TECNICOS Y PROFESIONALES</v>
      </c>
      <c r="K411" s="98" t="str">
        <f t="shared" si="11"/>
        <v>Posgrado</v>
      </c>
      <c r="L411" s="98" t="s">
        <v>394</v>
      </c>
    </row>
    <row r="412" spans="3:12" ht="15.75" thickBot="1">
      <c r="C412" s="172" t="s">
        <v>59</v>
      </c>
      <c r="D412" s="163"/>
      <c r="E412" s="154">
        <v>0</v>
      </c>
      <c r="F412" s="100">
        <v>0</v>
      </c>
      <c r="G412" s="97">
        <f>F412</f>
        <v>0</v>
      </c>
      <c r="H412" s="164"/>
      <c r="I412" s="101" t="s">
        <v>705</v>
      </c>
      <c r="J412" s="101" t="str">
        <f>VLOOKUP(I412,Presupuesto!$B$11:$C$565,2,0)</f>
        <v>OTROS SERVICIOS TECNICOS Y PROFESIONALES</v>
      </c>
      <c r="K412" s="98" t="str">
        <f t="shared" si="11"/>
        <v>Posgrado</v>
      </c>
      <c r="L412" s="98" t="s">
        <v>394</v>
      </c>
    </row>
    <row r="413" spans="3:12" ht="15.75" thickBot="1">
      <c r="C413" s="140" t="s">
        <v>61</v>
      </c>
      <c r="D413" s="199"/>
      <c r="E413" s="152">
        <v>12</v>
      </c>
      <c r="F413" s="118">
        <v>30000</v>
      </c>
      <c r="G413" s="113">
        <f>D413*E413*F413</f>
        <v>0</v>
      </c>
      <c r="H413" s="166"/>
      <c r="I413" s="114" t="s">
        <v>496</v>
      </c>
      <c r="J413" s="114" t="str">
        <f>VLOOKUP(I413,Presupuesto!$B$11:$C$565,2,0)</f>
        <v>SUELDOS Y SALARIOS PERMANENTES</v>
      </c>
      <c r="K413" s="98" t="str">
        <f t="shared" si="11"/>
        <v>Posgrado</v>
      </c>
      <c r="L413" s="98" t="s">
        <v>394</v>
      </c>
    </row>
    <row r="414" spans="3:12">
      <c r="C414" s="171" t="s">
        <v>58</v>
      </c>
      <c r="D414" s="169"/>
      <c r="E414" s="131">
        <v>0</v>
      </c>
      <c r="F414" s="119">
        <f>IF(E413=0,"",(G413/E413)/12*E413)</f>
        <v>0</v>
      </c>
      <c r="G414" s="120">
        <f>F414</f>
        <v>0</v>
      </c>
      <c r="H414" s="164"/>
      <c r="I414" s="101" t="s">
        <v>516</v>
      </c>
      <c r="J414" s="101" t="str">
        <f>VLOOKUP(I414,Presupuesto!$B$11:$C$565,2,0)</f>
        <v>AGUINALDO Y DECIMO CUARTO MES</v>
      </c>
      <c r="K414" s="98" t="str">
        <f t="shared" si="11"/>
        <v>Posgrado</v>
      </c>
      <c r="L414" s="98" t="s">
        <v>394</v>
      </c>
    </row>
    <row r="415" spans="3:12" ht="15.75" thickBot="1">
      <c r="C415" s="173" t="s">
        <v>59</v>
      </c>
      <c r="D415" s="162"/>
      <c r="E415" s="132">
        <v>0</v>
      </c>
      <c r="F415" s="105">
        <f>IF(E413&lt;6,"",((E413-6)/12)*(G413/E413))</f>
        <v>0</v>
      </c>
      <c r="G415" s="105">
        <f>F415</f>
        <v>0</v>
      </c>
      <c r="H415" s="162"/>
      <c r="I415" s="106" t="s">
        <v>519</v>
      </c>
      <c r="J415" s="124" t="str">
        <f>VLOOKUP(I415,Presupuesto!$B$11:$C$565,2,0)</f>
        <v>DECIMOCUARTO MES</v>
      </c>
      <c r="K415" s="106" t="str">
        <f t="shared" si="11"/>
        <v>Posgrado</v>
      </c>
      <c r="L415" s="124" t="s">
        <v>394</v>
      </c>
    </row>
    <row r="417" spans="3:12" ht="15.75" thickBot="1">
      <c r="K417" s="153"/>
    </row>
    <row r="418" spans="3:12" ht="15.75" thickBot="1">
      <c r="C418" s="69" t="s">
        <v>43</v>
      </c>
      <c r="D418" s="30">
        <f>SUM(G425:G475)</f>
        <v>0</v>
      </c>
      <c r="E418" s="93"/>
      <c r="F418" s="93"/>
      <c r="G418" s="93"/>
      <c r="H418" s="76"/>
      <c r="I418" s="76"/>
      <c r="J418" s="76"/>
      <c r="K418" s="153"/>
    </row>
    <row r="419" spans="3:12">
      <c r="D419" s="31"/>
      <c r="E419" s="93"/>
      <c r="F419" s="93"/>
      <c r="G419" s="93"/>
      <c r="H419" s="76"/>
      <c r="I419" s="76"/>
      <c r="J419" s="76"/>
      <c r="K419" s="153"/>
    </row>
    <row r="420" spans="3:12">
      <c r="D420" s="31"/>
      <c r="E420" s="93"/>
      <c r="F420" s="93"/>
      <c r="G420" s="93"/>
      <c r="H420" s="76"/>
      <c r="I420" s="76"/>
      <c r="J420" s="76"/>
      <c r="K420" s="153"/>
    </row>
    <row r="421" spans="3:12" ht="15.75">
      <c r="C421" s="202" t="s">
        <v>392</v>
      </c>
      <c r="D421" s="361"/>
      <c r="E421" s="93"/>
      <c r="F421" s="93"/>
      <c r="G421" s="93"/>
      <c r="H421" s="76"/>
      <c r="I421" s="76"/>
      <c r="J421" s="76"/>
      <c r="K421" s="153"/>
    </row>
    <row r="422" spans="3:12" ht="18.75">
      <c r="C422" s="210" t="e">
        <f>IFERROR(VLOOKUP(D421,'1. Desarrollo e Innov. Curricu.'!$E:$F,2,FALSE),IFERROR(VLOOKUP(D421,'2. Investigación Científica'!$E:$F,2,FALSE),IFERROR(VLOOKUP(D421,'3. Vinculación Univ. Sociedad'!$E:$F,2,FALSE),IFERROR(VLOOKUP(D421,'4. Docencia y Profesorado Univ.'!$E:$F,2,FALSE),IFERROR(VLOOKUP(D421,'5. Estudiantes y Graduados'!$E:$F,2,FALSE),IFERROR(VLOOKUP(D421,'11. Gestion Administrativa'!$E:$F,2,FALSE),IFERROR(VLOOKUP(D421,'13. Gestión Académica'!$E:$F,2,FALSE),IFERROR(VLOOKUP(D421,'8. Asegura. de la Calid. y M'!$E:$F,2,FALSE),IFERROR(VLOOKUP(D421,'6. Gestión del Conocimiento'!$E:$F,2,FALSE),IFERROR(VLOOKUP(D421,'15. Gobernabilidad y Proceso...'!$E:$F,2,FALSE),IFERROR(VLOOKUP(D421,'12. Gestión del Talento Humano'!$E:$F,2,FALSE),IFERROR(VLOOKUP(D421,'14. Internacional... de la E.S.'!$E:$F,2,FALSE),IFERROR(VLOOKUP(D421,'10. Posgrado'!$E:$F,2,FALSE),IFERROR(VLOOKUP(D421,'17. Gestión TIC'!$E:$F,2,FALSE),IFERROR(VLOOKUP(D421,'16. Desa. del Sistema Educ.Sup.'!$E:$F,2,FALSE),IFERROR(VLOOKUP(D421,'9. Cultura de Inno. Insti...'!$E:$F,2,FALSE),VLOOKUP(D421,'7. Lo Esencial de la Reforma U.'!$E:$F,2,0)))))))))))))))))</f>
        <v>#N/A</v>
      </c>
      <c r="D422" s="31"/>
      <c r="E422" s="93"/>
      <c r="F422" s="93"/>
      <c r="G422" s="93"/>
      <c r="H422" s="76"/>
      <c r="I422" s="76"/>
      <c r="J422" s="76"/>
      <c r="K422" s="153"/>
    </row>
    <row r="423" spans="3:12" ht="15.75" thickBot="1">
      <c r="C423" s="177"/>
      <c r="D423" s="31"/>
      <c r="E423" s="93"/>
      <c r="F423" s="93"/>
      <c r="G423" s="93"/>
      <c r="H423" s="76"/>
      <c r="I423" s="76"/>
      <c r="J423" s="76"/>
      <c r="K423" s="153"/>
    </row>
    <row r="424" spans="3:12" ht="30.75" thickBot="1">
      <c r="C424" s="134" t="s">
        <v>44</v>
      </c>
      <c r="D424" s="138" t="s">
        <v>55</v>
      </c>
      <c r="E424" s="170" t="s">
        <v>56</v>
      </c>
      <c r="F424" s="138" t="s">
        <v>57</v>
      </c>
      <c r="G424" s="135" t="s">
        <v>27</v>
      </c>
      <c r="H424" s="133" t="s">
        <v>131</v>
      </c>
      <c r="I424" s="136" t="s">
        <v>46</v>
      </c>
      <c r="J424" s="136" t="s">
        <v>132</v>
      </c>
      <c r="K424" s="136" t="s">
        <v>410</v>
      </c>
      <c r="L424" s="136" t="s">
        <v>411</v>
      </c>
    </row>
    <row r="425" spans="3:12" ht="15.75" thickBot="1">
      <c r="C425" s="137" t="s">
        <v>482</v>
      </c>
      <c r="D425" s="199"/>
      <c r="E425" s="152">
        <v>12</v>
      </c>
      <c r="F425" s="301">
        <f>HLOOKUP($C425,$BZ$2:$CM$3,2,0)</f>
        <v>43674.39</v>
      </c>
      <c r="G425" s="113">
        <f>D425*E425*F425</f>
        <v>0</v>
      </c>
      <c r="H425" s="166"/>
      <c r="I425" s="114" t="s">
        <v>496</v>
      </c>
      <c r="J425" s="114" t="str">
        <f>VLOOKUP(I425,Presupuesto!$B$11:$C$565,2,0)</f>
        <v>SUELDOS Y SALARIOS PERMANENTES</v>
      </c>
      <c r="K425" s="218" t="s">
        <v>1441</v>
      </c>
      <c r="L425" s="98" t="s">
        <v>394</v>
      </c>
    </row>
    <row r="426" spans="3:12">
      <c r="C426" s="171" t="s">
        <v>58</v>
      </c>
      <c r="D426" s="163"/>
      <c r="E426" s="154">
        <v>0</v>
      </c>
      <c r="F426" s="100">
        <f>IF(E425=0,"",(G425/E425)/12*E425)</f>
        <v>0</v>
      </c>
      <c r="G426" s="97">
        <f>F426</f>
        <v>0</v>
      </c>
      <c r="H426" s="164"/>
      <c r="I426" s="116" t="s">
        <v>516</v>
      </c>
      <c r="J426" s="116" t="str">
        <f>VLOOKUP(I426,Presupuesto!$B$11:$C$565,2,0)</f>
        <v>AGUINALDO Y DECIMO CUARTO MES</v>
      </c>
      <c r="K426" s="98" t="str">
        <f t="shared" ref="K426:K457" si="12">$K$425</f>
        <v>Posgrado</v>
      </c>
      <c r="L426" s="98" t="s">
        <v>412</v>
      </c>
    </row>
    <row r="427" spans="3:12" ht="15.75" thickBot="1">
      <c r="C427" s="172" t="s">
        <v>59</v>
      </c>
      <c r="D427" s="163"/>
      <c r="E427" s="154">
        <v>0</v>
      </c>
      <c r="F427" s="117">
        <f>IF(E425&lt;6,"",((E425-6)/12)*(G425/E425))</f>
        <v>0</v>
      </c>
      <c r="G427" s="97">
        <f>F427</f>
        <v>0</v>
      </c>
      <c r="H427" s="164"/>
      <c r="I427" s="101" t="s">
        <v>519</v>
      </c>
      <c r="J427" s="101" t="str">
        <f>VLOOKUP(I427,Presupuesto!$B$11:$C$565,2,0)</f>
        <v>DECIMOCUARTO MES</v>
      </c>
      <c r="K427" s="98" t="str">
        <f t="shared" si="12"/>
        <v>Posgrado</v>
      </c>
      <c r="L427" s="98" t="s">
        <v>395</v>
      </c>
    </row>
    <row r="428" spans="3:12" ht="15.75" thickBot="1">
      <c r="C428" s="137" t="s">
        <v>483</v>
      </c>
      <c r="D428" s="199"/>
      <c r="E428" s="152">
        <v>12</v>
      </c>
      <c r="F428" s="301">
        <f>HLOOKUP($C428,$BZ$2:$CM$3,2,0)</f>
        <v>39703.99</v>
      </c>
      <c r="G428" s="113">
        <f>D428*E428*F428</f>
        <v>0</v>
      </c>
      <c r="H428" s="166"/>
      <c r="I428" s="114" t="s">
        <v>496</v>
      </c>
      <c r="J428" s="114" t="str">
        <f>VLOOKUP(I428,Presupuesto!$B$11:$C$565,2,0)</f>
        <v>SUELDOS Y SALARIOS PERMANENTES</v>
      </c>
      <c r="K428" s="98" t="str">
        <f t="shared" si="12"/>
        <v>Posgrado</v>
      </c>
      <c r="L428" s="98" t="s">
        <v>395</v>
      </c>
    </row>
    <row r="429" spans="3:12">
      <c r="C429" s="171" t="s">
        <v>58</v>
      </c>
      <c r="D429" s="163"/>
      <c r="E429" s="154">
        <v>0</v>
      </c>
      <c r="F429" s="100">
        <f>IF(E428=0,"",(G428/E428)/12*E428)</f>
        <v>0</v>
      </c>
      <c r="G429" s="97">
        <f>F429</f>
        <v>0</v>
      </c>
      <c r="H429" s="164"/>
      <c r="I429" s="116" t="s">
        <v>516</v>
      </c>
      <c r="J429" s="116" t="str">
        <f>VLOOKUP(I429,Presupuesto!$B$11:$C$565,2,0)</f>
        <v>AGUINALDO Y DECIMO CUARTO MES</v>
      </c>
      <c r="K429" s="98" t="str">
        <f t="shared" si="12"/>
        <v>Posgrado</v>
      </c>
      <c r="L429" s="98" t="s">
        <v>395</v>
      </c>
    </row>
    <row r="430" spans="3:12" ht="15.75" thickBot="1">
      <c r="C430" s="172" t="s">
        <v>59</v>
      </c>
      <c r="D430" s="163"/>
      <c r="E430" s="154">
        <v>0</v>
      </c>
      <c r="F430" s="117">
        <f>IF(E428&lt;6,"",((E428-6)/12)*(G428/E428))</f>
        <v>0</v>
      </c>
      <c r="G430" s="97">
        <f>F430</f>
        <v>0</v>
      </c>
      <c r="H430" s="164"/>
      <c r="I430" s="101" t="s">
        <v>519</v>
      </c>
      <c r="J430" s="101" t="str">
        <f>VLOOKUP(I430,Presupuesto!$B$11:$C$565,2,0)</f>
        <v>DECIMOCUARTO MES</v>
      </c>
      <c r="K430" s="98" t="str">
        <f t="shared" si="12"/>
        <v>Posgrado</v>
      </c>
      <c r="L430" s="98" t="s">
        <v>395</v>
      </c>
    </row>
    <row r="431" spans="3:12" ht="15.75" thickBot="1">
      <c r="C431" s="137" t="s">
        <v>484</v>
      </c>
      <c r="D431" s="199"/>
      <c r="E431" s="152">
        <v>12</v>
      </c>
      <c r="F431" s="301">
        <f>HLOOKUP($C431,$BZ$2:$CM$3,2,0)</f>
        <v>35733.589999999997</v>
      </c>
      <c r="G431" s="113">
        <f>D431*E431*F431</f>
        <v>0</v>
      </c>
      <c r="H431" s="166"/>
      <c r="I431" s="114" t="s">
        <v>496</v>
      </c>
      <c r="J431" s="114" t="str">
        <f>VLOOKUP(I431,Presupuesto!$B$11:$C$565,2,0)</f>
        <v>SUELDOS Y SALARIOS PERMANENTES</v>
      </c>
      <c r="K431" s="98" t="str">
        <f t="shared" si="12"/>
        <v>Posgrado</v>
      </c>
      <c r="L431" s="98" t="s">
        <v>395</v>
      </c>
    </row>
    <row r="432" spans="3:12">
      <c r="C432" s="171" t="s">
        <v>58</v>
      </c>
      <c r="D432" s="163"/>
      <c r="E432" s="154">
        <v>0</v>
      </c>
      <c r="F432" s="100">
        <f>IF(E431=0,"",(G431/E431)/12*E431)</f>
        <v>0</v>
      </c>
      <c r="G432" s="97">
        <f>F432</f>
        <v>0</v>
      </c>
      <c r="H432" s="164"/>
      <c r="I432" s="116" t="s">
        <v>516</v>
      </c>
      <c r="J432" s="116" t="str">
        <f>VLOOKUP(I432,Presupuesto!$B$11:$C$565,2,0)</f>
        <v>AGUINALDO Y DECIMO CUARTO MES</v>
      </c>
      <c r="K432" s="98" t="str">
        <f t="shared" si="12"/>
        <v>Posgrado</v>
      </c>
      <c r="L432" s="98" t="s">
        <v>395</v>
      </c>
    </row>
    <row r="433" spans="3:12" ht="15.75" thickBot="1">
      <c r="C433" s="172" t="s">
        <v>59</v>
      </c>
      <c r="D433" s="163"/>
      <c r="E433" s="154">
        <v>0</v>
      </c>
      <c r="F433" s="117">
        <f>IF(E431&lt;6,"",((E431-6)/12)*(G431/E431))</f>
        <v>0</v>
      </c>
      <c r="G433" s="97">
        <f>F433</f>
        <v>0</v>
      </c>
      <c r="H433" s="164"/>
      <c r="I433" s="101" t="s">
        <v>519</v>
      </c>
      <c r="J433" s="101" t="str">
        <f>VLOOKUP(I433,Presupuesto!$B$11:$C$565,2,0)</f>
        <v>DECIMOCUARTO MES</v>
      </c>
      <c r="K433" s="98" t="str">
        <f t="shared" si="12"/>
        <v>Posgrado</v>
      </c>
      <c r="L433" s="98" t="s">
        <v>395</v>
      </c>
    </row>
    <row r="434" spans="3:12" ht="15.75" thickBot="1">
      <c r="C434" s="137" t="s">
        <v>485</v>
      </c>
      <c r="D434" s="199"/>
      <c r="E434" s="152">
        <v>12</v>
      </c>
      <c r="F434" s="301">
        <f>HLOOKUP($C434,$BZ$2:$CM$3,2,0)</f>
        <v>31763.19</v>
      </c>
      <c r="G434" s="113">
        <f>D434*E434*F434</f>
        <v>0</v>
      </c>
      <c r="H434" s="166"/>
      <c r="I434" s="114" t="s">
        <v>496</v>
      </c>
      <c r="J434" s="114" t="str">
        <f>VLOOKUP(I434,Presupuesto!$B$11:$C$565,2,0)</f>
        <v>SUELDOS Y SALARIOS PERMANENTES</v>
      </c>
      <c r="K434" s="98" t="str">
        <f t="shared" si="12"/>
        <v>Posgrado</v>
      </c>
      <c r="L434" s="98" t="s">
        <v>395</v>
      </c>
    </row>
    <row r="435" spans="3:12">
      <c r="C435" s="171" t="s">
        <v>58</v>
      </c>
      <c r="D435" s="163"/>
      <c r="E435" s="154">
        <v>0</v>
      </c>
      <c r="F435" s="100">
        <f>IF(E434=0,"",(G434/E434)/12*E434)</f>
        <v>0</v>
      </c>
      <c r="G435" s="97">
        <f>F435</f>
        <v>0</v>
      </c>
      <c r="H435" s="164"/>
      <c r="I435" s="116" t="s">
        <v>516</v>
      </c>
      <c r="J435" s="116" t="str">
        <f>VLOOKUP(I435,Presupuesto!$B$11:$C$565,2,0)</f>
        <v>AGUINALDO Y DECIMO CUARTO MES</v>
      </c>
      <c r="K435" s="98" t="str">
        <f t="shared" si="12"/>
        <v>Posgrado</v>
      </c>
      <c r="L435" s="98" t="s">
        <v>395</v>
      </c>
    </row>
    <row r="436" spans="3:12" ht="15.75" thickBot="1">
      <c r="C436" s="172" t="s">
        <v>59</v>
      </c>
      <c r="D436" s="163"/>
      <c r="E436" s="154">
        <v>0</v>
      </c>
      <c r="F436" s="117">
        <f>IF(E434&lt;6,"",((E434-6)/12)*(G434/E434))</f>
        <v>0</v>
      </c>
      <c r="G436" s="97">
        <f>F436</f>
        <v>0</v>
      </c>
      <c r="H436" s="164"/>
      <c r="I436" s="101" t="s">
        <v>519</v>
      </c>
      <c r="J436" s="101" t="str">
        <f>VLOOKUP(I436,Presupuesto!$B$11:$C$565,2,0)</f>
        <v>DECIMOCUARTO MES</v>
      </c>
      <c r="K436" s="98" t="str">
        <f t="shared" si="12"/>
        <v>Posgrado</v>
      </c>
      <c r="L436" s="98" t="s">
        <v>395</v>
      </c>
    </row>
    <row r="437" spans="3:12" ht="15.75" thickBot="1">
      <c r="C437" s="137" t="s">
        <v>486</v>
      </c>
      <c r="D437" s="199"/>
      <c r="E437" s="152">
        <v>12</v>
      </c>
      <c r="F437" s="301">
        <f>HLOOKUP($C437,$BZ$2:$CM$3,2,0)</f>
        <v>29777.99</v>
      </c>
      <c r="G437" s="113">
        <f>D437*E437*F437</f>
        <v>0</v>
      </c>
      <c r="H437" s="166"/>
      <c r="I437" s="114" t="s">
        <v>496</v>
      </c>
      <c r="J437" s="114" t="str">
        <f>VLOOKUP(I437,Presupuesto!$B$11:$C$565,2,0)</f>
        <v>SUELDOS Y SALARIOS PERMANENTES</v>
      </c>
      <c r="K437" s="98" t="str">
        <f t="shared" si="12"/>
        <v>Posgrado</v>
      </c>
      <c r="L437" s="98" t="s">
        <v>395</v>
      </c>
    </row>
    <row r="438" spans="3:12">
      <c r="C438" s="171" t="s">
        <v>58</v>
      </c>
      <c r="D438" s="163"/>
      <c r="E438" s="154">
        <v>0</v>
      </c>
      <c r="F438" s="100">
        <f>IF(E437=0,"",(G437/E437)/12*E437)</f>
        <v>0</v>
      </c>
      <c r="G438" s="97">
        <f>F438</f>
        <v>0</v>
      </c>
      <c r="H438" s="164"/>
      <c r="I438" s="116" t="s">
        <v>516</v>
      </c>
      <c r="J438" s="116" t="str">
        <f>VLOOKUP(I438,Presupuesto!$B$11:$C$565,2,0)</f>
        <v>AGUINALDO Y DECIMO CUARTO MES</v>
      </c>
      <c r="K438" s="98" t="str">
        <f t="shared" si="12"/>
        <v>Posgrado</v>
      </c>
      <c r="L438" s="98" t="s">
        <v>395</v>
      </c>
    </row>
    <row r="439" spans="3:12" ht="15.75" thickBot="1">
      <c r="C439" s="172" t="s">
        <v>59</v>
      </c>
      <c r="D439" s="163"/>
      <c r="E439" s="154">
        <v>0</v>
      </c>
      <c r="F439" s="117">
        <f>IF(E437&lt;6,"",((E437-6)/12)*(G437/E437))</f>
        <v>0</v>
      </c>
      <c r="G439" s="97">
        <f>F439</f>
        <v>0</v>
      </c>
      <c r="H439" s="164"/>
      <c r="I439" s="101" t="s">
        <v>519</v>
      </c>
      <c r="J439" s="101" t="str">
        <f>VLOOKUP(I439,Presupuesto!$B$11:$C$565,2,0)</f>
        <v>DECIMOCUARTO MES</v>
      </c>
      <c r="K439" s="98" t="str">
        <f t="shared" si="12"/>
        <v>Posgrado</v>
      </c>
      <c r="L439" s="98" t="s">
        <v>395</v>
      </c>
    </row>
    <row r="440" spans="3:12" ht="15.75" thickBot="1">
      <c r="C440" s="137" t="s">
        <v>487</v>
      </c>
      <c r="D440" s="199"/>
      <c r="E440" s="152">
        <v>12</v>
      </c>
      <c r="F440" s="301">
        <f>HLOOKUP($C440,$BZ$2:$CM$3,2,0)</f>
        <v>27792.79</v>
      </c>
      <c r="G440" s="113">
        <f>D440*E440*F440</f>
        <v>0</v>
      </c>
      <c r="H440" s="166"/>
      <c r="I440" s="114" t="s">
        <v>496</v>
      </c>
      <c r="J440" s="114" t="str">
        <f>VLOOKUP(I440,Presupuesto!$B$11:$C$565,2,0)</f>
        <v>SUELDOS Y SALARIOS PERMANENTES</v>
      </c>
      <c r="K440" s="98" t="str">
        <f t="shared" si="12"/>
        <v>Posgrado</v>
      </c>
      <c r="L440" s="98" t="s">
        <v>395</v>
      </c>
    </row>
    <row r="441" spans="3:12">
      <c r="C441" s="171" t="s">
        <v>58</v>
      </c>
      <c r="D441" s="163"/>
      <c r="E441" s="154">
        <v>0</v>
      </c>
      <c r="F441" s="100">
        <f>IF(E440=0,"",(G440/E440)/12*E440)</f>
        <v>0</v>
      </c>
      <c r="G441" s="97">
        <f>F441</f>
        <v>0</v>
      </c>
      <c r="H441" s="164"/>
      <c r="I441" s="116" t="s">
        <v>516</v>
      </c>
      <c r="J441" s="116" t="str">
        <f>VLOOKUP(I441,Presupuesto!$B$11:$C$565,2,0)</f>
        <v>AGUINALDO Y DECIMO CUARTO MES</v>
      </c>
      <c r="K441" s="98" t="str">
        <f t="shared" si="12"/>
        <v>Posgrado</v>
      </c>
      <c r="L441" s="98" t="s">
        <v>395</v>
      </c>
    </row>
    <row r="442" spans="3:12" ht="15.75" thickBot="1">
      <c r="C442" s="172" t="s">
        <v>59</v>
      </c>
      <c r="D442" s="163"/>
      <c r="E442" s="154">
        <v>0</v>
      </c>
      <c r="F442" s="117">
        <f>IF(E440&lt;6,"",((E440-6)/12)*(G440/E440))</f>
        <v>0</v>
      </c>
      <c r="G442" s="97">
        <f>F442</f>
        <v>0</v>
      </c>
      <c r="H442" s="164"/>
      <c r="I442" s="101" t="s">
        <v>519</v>
      </c>
      <c r="J442" s="101" t="str">
        <f>VLOOKUP(I442,Presupuesto!$B$11:$C$565,2,0)</f>
        <v>DECIMOCUARTO MES</v>
      </c>
      <c r="K442" s="98" t="str">
        <f t="shared" si="12"/>
        <v>Posgrado</v>
      </c>
      <c r="L442" s="98" t="s">
        <v>395</v>
      </c>
    </row>
    <row r="443" spans="3:12" ht="15.75" thickBot="1">
      <c r="C443" s="137" t="s">
        <v>488</v>
      </c>
      <c r="D443" s="199"/>
      <c r="E443" s="152">
        <v>12</v>
      </c>
      <c r="F443" s="301">
        <f>HLOOKUP($C443,$BZ$2:$CM$3,2,0)</f>
        <v>18859.39</v>
      </c>
      <c r="G443" s="113">
        <f>D443*E443*F443</f>
        <v>0</v>
      </c>
      <c r="H443" s="166"/>
      <c r="I443" s="114" t="s">
        <v>496</v>
      </c>
      <c r="J443" s="114" t="str">
        <f>VLOOKUP(I443,Presupuesto!$B$11:$C$565,2,0)</f>
        <v>SUELDOS Y SALARIOS PERMANENTES</v>
      </c>
      <c r="K443" s="98" t="str">
        <f t="shared" si="12"/>
        <v>Posgrado</v>
      </c>
      <c r="L443" s="98" t="s">
        <v>395</v>
      </c>
    </row>
    <row r="444" spans="3:12">
      <c r="C444" s="171" t="s">
        <v>58</v>
      </c>
      <c r="D444" s="163"/>
      <c r="E444" s="154">
        <v>0</v>
      </c>
      <c r="F444" s="100">
        <f>IF(E443=0,"",(G443/E443)/12*E443)</f>
        <v>0</v>
      </c>
      <c r="G444" s="97">
        <f>F444</f>
        <v>0</v>
      </c>
      <c r="H444" s="164"/>
      <c r="I444" s="116" t="s">
        <v>516</v>
      </c>
      <c r="J444" s="116" t="str">
        <f>VLOOKUP(I444,Presupuesto!$B$11:$C$565,2,0)</f>
        <v>AGUINALDO Y DECIMO CUARTO MES</v>
      </c>
      <c r="K444" s="98" t="str">
        <f t="shared" si="12"/>
        <v>Posgrado</v>
      </c>
      <c r="L444" s="98" t="s">
        <v>395</v>
      </c>
    </row>
    <row r="445" spans="3:12" ht="15.75" thickBot="1">
      <c r="C445" s="172" t="s">
        <v>59</v>
      </c>
      <c r="D445" s="163"/>
      <c r="E445" s="154">
        <v>0</v>
      </c>
      <c r="F445" s="117">
        <f>IF(E443&lt;6,"",((E443-6)/12)*(G443/E443))</f>
        <v>0</v>
      </c>
      <c r="G445" s="97">
        <f>F445</f>
        <v>0</v>
      </c>
      <c r="H445" s="164"/>
      <c r="I445" s="101" t="s">
        <v>519</v>
      </c>
      <c r="J445" s="101" t="str">
        <f>VLOOKUP(I445,Presupuesto!$B$11:$C$565,2,0)</f>
        <v>DECIMOCUARTO MES</v>
      </c>
      <c r="K445" s="98" t="str">
        <f t="shared" si="12"/>
        <v>Posgrado</v>
      </c>
      <c r="L445" s="98" t="s">
        <v>395</v>
      </c>
    </row>
    <row r="446" spans="3:12" ht="15.75" thickBot="1">
      <c r="C446" s="137" t="s">
        <v>489</v>
      </c>
      <c r="D446" s="199"/>
      <c r="E446" s="152">
        <v>12</v>
      </c>
      <c r="F446" s="301">
        <f>HLOOKUP($C446,$BZ$2:$CM$3,2,0)</f>
        <v>17866.8</v>
      </c>
      <c r="G446" s="113">
        <f>D446*E446*F446</f>
        <v>0</v>
      </c>
      <c r="H446" s="166"/>
      <c r="I446" s="114" t="s">
        <v>496</v>
      </c>
      <c r="J446" s="114" t="str">
        <f>VLOOKUP(I446,Presupuesto!$B$11:$C$565,2,0)</f>
        <v>SUELDOS Y SALARIOS PERMANENTES</v>
      </c>
      <c r="K446" s="98" t="str">
        <f t="shared" si="12"/>
        <v>Posgrado</v>
      </c>
      <c r="L446" s="98" t="s">
        <v>395</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si="12"/>
        <v>Posgrado</v>
      </c>
      <c r="L447" s="98" t="s">
        <v>395</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2"/>
        <v>Posgrado</v>
      </c>
      <c r="L448" s="98" t="s">
        <v>395</v>
      </c>
    </row>
    <row r="449" spans="3:12" ht="15.75" thickBot="1">
      <c r="C449" s="137" t="s">
        <v>490</v>
      </c>
      <c r="D449" s="199"/>
      <c r="E449" s="152">
        <v>12</v>
      </c>
      <c r="F449" s="301">
        <f>HLOOKUP($C449,$BZ$2:$CM$3,2,0)</f>
        <v>13896.4</v>
      </c>
      <c r="G449" s="113">
        <f>D449*E449*F449</f>
        <v>0</v>
      </c>
      <c r="H449" s="166"/>
      <c r="I449" s="114" t="s">
        <v>496</v>
      </c>
      <c r="J449" s="114" t="str">
        <f>VLOOKUP(I449,Presupuesto!$B$11:$C$565,2,0)</f>
        <v>SUELDOS Y SALARIOS PERMANENTES</v>
      </c>
      <c r="K449" s="98" t="str">
        <f t="shared" si="12"/>
        <v>Posgrado</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2"/>
        <v>Posgrado</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2"/>
        <v>Posgrado</v>
      </c>
      <c r="L451" s="98" t="s">
        <v>395</v>
      </c>
    </row>
    <row r="452" spans="3:12" ht="15.75" thickBot="1">
      <c r="C452" s="137" t="s">
        <v>491</v>
      </c>
      <c r="D452" s="199"/>
      <c r="E452" s="152">
        <v>12</v>
      </c>
      <c r="F452" s="301">
        <f>HLOOKUP($C452,$BZ$2:$CM$3,2,0)</f>
        <v>15004.09</v>
      </c>
      <c r="G452" s="113">
        <f>D452*E452*F452</f>
        <v>0</v>
      </c>
      <c r="H452" s="166"/>
      <c r="I452" s="114" t="s">
        <v>496</v>
      </c>
      <c r="J452" s="114" t="str">
        <f>VLOOKUP(I452,Presupuesto!$B$11:$C$565,2,0)</f>
        <v>SUELDOS Y SALARIOS PERMANENTES</v>
      </c>
      <c r="K452" s="98" t="str">
        <f t="shared" si="12"/>
        <v>Posgrado</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2"/>
        <v>Posgrado</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2"/>
        <v>Posgrado</v>
      </c>
      <c r="L454" s="98" t="s">
        <v>395</v>
      </c>
    </row>
    <row r="455" spans="3:12" ht="15.75" thickBot="1">
      <c r="C455" s="137" t="s">
        <v>492</v>
      </c>
      <c r="D455" s="199"/>
      <c r="E455" s="152">
        <v>12</v>
      </c>
      <c r="F455" s="301">
        <f>HLOOKUP($C455,$BZ$2:$CM$3,2,0)</f>
        <v>13238.9</v>
      </c>
      <c r="G455" s="113">
        <f>D455*E455*F455</f>
        <v>0</v>
      </c>
      <c r="H455" s="166"/>
      <c r="I455" s="114" t="s">
        <v>496</v>
      </c>
      <c r="J455" s="114" t="str">
        <f>VLOOKUP(I455,Presupuesto!$B$11:$C$565,2,0)</f>
        <v>SUELDOS Y SALARIOS PERMANENTES</v>
      </c>
      <c r="K455" s="98" t="str">
        <f t="shared" si="12"/>
        <v>Posgrado</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2"/>
        <v>Posgrado</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2"/>
        <v>Posgrado</v>
      </c>
      <c r="L457" s="98" t="s">
        <v>395</v>
      </c>
    </row>
    <row r="458" spans="3:12" ht="15.75" thickBot="1">
      <c r="C458" s="137" t="s">
        <v>493</v>
      </c>
      <c r="D458" s="199"/>
      <c r="E458" s="152">
        <v>12</v>
      </c>
      <c r="F458" s="301">
        <f>HLOOKUP($C458,$BZ$2:$CM$3,2,0)</f>
        <v>12356.31</v>
      </c>
      <c r="G458" s="113">
        <f>D458*E458*F458</f>
        <v>0</v>
      </c>
      <c r="H458" s="166"/>
      <c r="I458" s="114" t="s">
        <v>496</v>
      </c>
      <c r="J458" s="114" t="str">
        <f>VLOOKUP(I458,Presupuesto!$B$11:$C$565,2,0)</f>
        <v>SUELDOS Y SALARIOS PERMANENTES</v>
      </c>
      <c r="K458" s="98" t="str">
        <f t="shared" ref="K458:K475" si="13">$K$425</f>
        <v>Posgrado</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3"/>
        <v>Posgrado</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3"/>
        <v>Posgrado</v>
      </c>
      <c r="L460" s="98" t="s">
        <v>395</v>
      </c>
    </row>
    <row r="461" spans="3:12" ht="15.75" thickBot="1">
      <c r="C461" s="137" t="s">
        <v>494</v>
      </c>
      <c r="D461" s="199"/>
      <c r="E461" s="152">
        <v>12</v>
      </c>
      <c r="F461" s="301">
        <f>HLOOKUP($C461,$BZ$2:$CM$3,2,0)</f>
        <v>463.22</v>
      </c>
      <c r="G461" s="113">
        <f>D461*E461*F461</f>
        <v>0</v>
      </c>
      <c r="H461" s="166"/>
      <c r="I461" s="114" t="s">
        <v>496</v>
      </c>
      <c r="J461" s="114" t="str">
        <f>VLOOKUP(I461,Presupuesto!$B$11:$C$565,2,0)</f>
        <v>SUELDOS Y SALARIOS PERMANENTES</v>
      </c>
      <c r="K461" s="98" t="str">
        <f t="shared" si="13"/>
        <v>Posgrado</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3"/>
        <v>Posgrado</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3"/>
        <v>Posgrado</v>
      </c>
      <c r="L463" s="98" t="s">
        <v>395</v>
      </c>
    </row>
    <row r="464" spans="3:12" ht="15.75" thickBot="1">
      <c r="C464" s="137" t="s">
        <v>495</v>
      </c>
      <c r="D464" s="199"/>
      <c r="E464" s="152">
        <v>12</v>
      </c>
      <c r="F464" s="301">
        <f>HLOOKUP($C464,$BZ$2:$CM$3,2,0)</f>
        <v>2007.3</v>
      </c>
      <c r="G464" s="113">
        <f>D464*E464*F464</f>
        <v>0</v>
      </c>
      <c r="H464" s="166"/>
      <c r="I464" s="114" t="s">
        <v>496</v>
      </c>
      <c r="J464" s="114" t="str">
        <f>VLOOKUP(I464,Presupuesto!$B$11:$C$565,2,0)</f>
        <v>SUELDOS Y SALARIOS PERMANENTES</v>
      </c>
      <c r="K464" s="98" t="str">
        <f t="shared" si="13"/>
        <v>Posgrado</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3"/>
        <v>Posgrado</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3"/>
        <v>Posgrado</v>
      </c>
      <c r="L466" s="98" t="s">
        <v>395</v>
      </c>
    </row>
    <row r="467" spans="3:12" ht="15.75" thickBot="1">
      <c r="C467" s="140" t="s">
        <v>83</v>
      </c>
      <c r="D467" s="199"/>
      <c r="E467" s="152">
        <v>12</v>
      </c>
      <c r="F467" s="139">
        <v>30000</v>
      </c>
      <c r="G467" s="113">
        <f>D467*E467*F467</f>
        <v>0</v>
      </c>
      <c r="H467" s="166"/>
      <c r="I467" s="114" t="s">
        <v>564</v>
      </c>
      <c r="J467" s="114" t="str">
        <f>VLOOKUP(I467,Presupuesto!$B$11:$C$565,2,0)</f>
        <v>CONTRATOS ESPECIALES</v>
      </c>
      <c r="K467" s="98" t="str">
        <f t="shared" si="13"/>
        <v>Posgrado</v>
      </c>
      <c r="L467" s="98" t="s">
        <v>395</v>
      </c>
    </row>
    <row r="468" spans="3:12">
      <c r="C468" s="171" t="s">
        <v>58</v>
      </c>
      <c r="D468" s="163"/>
      <c r="E468" s="154">
        <v>0</v>
      </c>
      <c r="F468" s="117">
        <f>IF(E467=0,"",(G467/E467)/12*E467)</f>
        <v>0</v>
      </c>
      <c r="G468" s="97">
        <f>F468</f>
        <v>0</v>
      </c>
      <c r="H468" s="164"/>
      <c r="I468" s="101" t="s">
        <v>564</v>
      </c>
      <c r="J468" s="101" t="str">
        <f>VLOOKUP(I468,Presupuesto!$B$11:$C$565,2,0)</f>
        <v>CONTRATOS ESPECIALES</v>
      </c>
      <c r="K468" s="98" t="str">
        <f t="shared" si="13"/>
        <v>Posgrado</v>
      </c>
      <c r="L468" s="98" t="s">
        <v>394</v>
      </c>
    </row>
    <row r="469" spans="3:12" ht="15.75" thickBot="1">
      <c r="C469" s="172" t="s">
        <v>59</v>
      </c>
      <c r="D469" s="163"/>
      <c r="E469" s="154">
        <v>0</v>
      </c>
      <c r="F469" s="100">
        <f>IF(E467&lt;6,"",((E467-6)/12)*(G467/E467))</f>
        <v>0</v>
      </c>
      <c r="G469" s="97">
        <f>F469</f>
        <v>0</v>
      </c>
      <c r="H469" s="164"/>
      <c r="I469" s="101" t="s">
        <v>564</v>
      </c>
      <c r="J469" s="101" t="str">
        <f>VLOOKUP(I469,Presupuesto!$B$11:$C$565,2,0)</f>
        <v>CONTRATOS ESPECIALES</v>
      </c>
      <c r="K469" s="98" t="str">
        <f t="shared" si="13"/>
        <v>Posgrado</v>
      </c>
      <c r="L469" s="98" t="s">
        <v>399</v>
      </c>
    </row>
    <row r="470" spans="3:12" ht="15.75" thickBot="1">
      <c r="C470" s="140" t="s">
        <v>60</v>
      </c>
      <c r="D470" s="199"/>
      <c r="E470" s="152">
        <v>12</v>
      </c>
      <c r="F470" s="118">
        <v>30000</v>
      </c>
      <c r="G470" s="113">
        <f>D470*E470*F470</f>
        <v>0</v>
      </c>
      <c r="H470" s="166"/>
      <c r="I470" s="114" t="s">
        <v>705</v>
      </c>
      <c r="J470" s="114" t="str">
        <f>VLOOKUP(I470,Presupuesto!$B$11:$C$565,2,0)</f>
        <v>OTROS SERVICIOS TECNICOS Y PROFESIONALES</v>
      </c>
      <c r="K470" s="98" t="str">
        <f t="shared" si="13"/>
        <v>Posgrado</v>
      </c>
      <c r="L470" s="98" t="s">
        <v>394</v>
      </c>
    </row>
    <row r="471" spans="3:12">
      <c r="C471" s="171" t="s">
        <v>58</v>
      </c>
      <c r="D471" s="163"/>
      <c r="E471" s="154">
        <v>0</v>
      </c>
      <c r="F471" s="100">
        <v>0</v>
      </c>
      <c r="G471" s="97">
        <f>F471</f>
        <v>0</v>
      </c>
      <c r="H471" s="164"/>
      <c r="I471" s="101" t="s">
        <v>705</v>
      </c>
      <c r="J471" s="101" t="str">
        <f>VLOOKUP(I471,Presupuesto!$B$11:$C$565,2,0)</f>
        <v>OTROS SERVICIOS TECNICOS Y PROFESIONALES</v>
      </c>
      <c r="K471" s="98" t="str">
        <f t="shared" si="13"/>
        <v>Posgrado</v>
      </c>
      <c r="L471" s="98" t="s">
        <v>394</v>
      </c>
    </row>
    <row r="472" spans="3:12" ht="15.75" thickBot="1">
      <c r="C472" s="172" t="s">
        <v>59</v>
      </c>
      <c r="D472" s="163"/>
      <c r="E472" s="154">
        <v>0</v>
      </c>
      <c r="F472" s="100">
        <v>0</v>
      </c>
      <c r="G472" s="97">
        <f>F472</f>
        <v>0</v>
      </c>
      <c r="H472" s="164"/>
      <c r="I472" s="101" t="s">
        <v>705</v>
      </c>
      <c r="J472" s="101" t="str">
        <f>VLOOKUP(I472,Presupuesto!$B$11:$C$565,2,0)</f>
        <v>OTROS SERVICIOS TECNICOS Y PROFESIONALES</v>
      </c>
      <c r="K472" s="98" t="str">
        <f t="shared" si="13"/>
        <v>Posgrado</v>
      </c>
      <c r="L472" s="98" t="s">
        <v>394</v>
      </c>
    </row>
    <row r="473" spans="3:12" ht="15.75" thickBot="1">
      <c r="C473" s="140" t="s">
        <v>61</v>
      </c>
      <c r="D473" s="199"/>
      <c r="E473" s="152">
        <v>12</v>
      </c>
      <c r="F473" s="118">
        <v>30000</v>
      </c>
      <c r="G473" s="113">
        <f>D473*E473*F473</f>
        <v>0</v>
      </c>
      <c r="H473" s="166"/>
      <c r="I473" s="114" t="s">
        <v>496</v>
      </c>
      <c r="J473" s="114" t="str">
        <f>VLOOKUP(I473,Presupuesto!$B$11:$C$565,2,0)</f>
        <v>SUELDOS Y SALARIOS PERMANENTES</v>
      </c>
      <c r="K473" s="98" t="str">
        <f t="shared" si="13"/>
        <v>Posgrado</v>
      </c>
      <c r="L473" s="98" t="s">
        <v>394</v>
      </c>
    </row>
    <row r="474" spans="3:12">
      <c r="C474" s="171" t="s">
        <v>58</v>
      </c>
      <c r="D474" s="169"/>
      <c r="E474" s="131">
        <v>0</v>
      </c>
      <c r="F474" s="119">
        <f>IF(E473=0,"",(G473/E473)/12*E473)</f>
        <v>0</v>
      </c>
      <c r="G474" s="120">
        <f>F474</f>
        <v>0</v>
      </c>
      <c r="H474" s="164"/>
      <c r="I474" s="101" t="s">
        <v>516</v>
      </c>
      <c r="J474" s="101" t="str">
        <f>VLOOKUP(I474,Presupuesto!$B$11:$C$565,2,0)</f>
        <v>AGUINALDO Y DECIMO CUARTO MES</v>
      </c>
      <c r="K474" s="98" t="str">
        <f t="shared" si="13"/>
        <v>Posgrado</v>
      </c>
      <c r="L474" s="98" t="s">
        <v>394</v>
      </c>
    </row>
    <row r="475" spans="3:12" ht="15.75" thickBot="1">
      <c r="C475" s="173" t="s">
        <v>59</v>
      </c>
      <c r="D475" s="162"/>
      <c r="E475" s="132">
        <v>0</v>
      </c>
      <c r="F475" s="105">
        <f>IF(E473&lt;6,"",((E473-6)/12)*(G473/E473))</f>
        <v>0</v>
      </c>
      <c r="G475" s="105">
        <f>F475</f>
        <v>0</v>
      </c>
      <c r="H475" s="162"/>
      <c r="I475" s="106" t="s">
        <v>519</v>
      </c>
      <c r="J475" s="124" t="str">
        <f>VLOOKUP(I475,Presupuesto!$B$11:$C$565,2,0)</f>
        <v>DECIMOCUARTO MES</v>
      </c>
      <c r="K475" s="106" t="str">
        <f t="shared" si="13"/>
        <v>Posgrado</v>
      </c>
      <c r="L475" s="124" t="s">
        <v>394</v>
      </c>
    </row>
    <row r="477" spans="3:12" ht="15.75" thickBot="1"/>
    <row r="478" spans="3:12" ht="15.75" thickBot="1">
      <c r="C478" s="69" t="s">
        <v>43</v>
      </c>
      <c r="D478" s="30">
        <f>SUM(G485:G535)</f>
        <v>0</v>
      </c>
      <c r="E478" s="93"/>
      <c r="F478" s="93"/>
      <c r="G478" s="93"/>
      <c r="H478" s="76"/>
      <c r="I478" s="76"/>
      <c r="J478" s="76"/>
      <c r="K478" s="153"/>
    </row>
    <row r="479" spans="3:12">
      <c r="D479" s="31"/>
      <c r="E479" s="93"/>
      <c r="F479" s="93"/>
      <c r="G479" s="93"/>
      <c r="H479" s="76"/>
      <c r="I479" s="76"/>
      <c r="J479" s="76"/>
      <c r="K479" s="153"/>
    </row>
    <row r="480" spans="3:12">
      <c r="D480" s="31"/>
      <c r="E480" s="93"/>
      <c r="F480" s="93"/>
      <c r="G480" s="93"/>
      <c r="H480" s="76"/>
      <c r="I480" s="76"/>
      <c r="J480" s="76"/>
      <c r="K480" s="153"/>
    </row>
    <row r="481" spans="3:12" ht="15.75">
      <c r="C481" s="202" t="s">
        <v>392</v>
      </c>
      <c r="D481" s="361"/>
      <c r="E481" s="93"/>
      <c r="F481" s="93"/>
      <c r="G481" s="93"/>
      <c r="H481" s="76"/>
      <c r="I481" s="76"/>
      <c r="J481" s="76"/>
      <c r="K481" s="153"/>
    </row>
    <row r="482" spans="3:12" ht="18.75">
      <c r="C482" s="210" t="e">
        <f>IFERROR(VLOOKUP(D481,'1. Desarrollo e Innov. Curricu.'!$E:$F,2,FALSE),IFERROR(VLOOKUP(D481,'2. Investigación Científica'!$E:$F,2,FALSE),IFERROR(VLOOKUP(D481,'3. Vinculación Univ. Sociedad'!$E:$F,2,FALSE),IFERROR(VLOOKUP(D481,'4. Docencia y Profesorado Univ.'!$E:$F,2,FALSE),IFERROR(VLOOKUP(D481,'5. Estudiantes y Graduados'!$E:$F,2,FALSE),IFERROR(VLOOKUP(D481,'11. Gestion Administrativa'!$E:$F,2,FALSE),IFERROR(VLOOKUP(D481,'13. Gestión Académica'!$E:$F,2,FALSE),IFERROR(VLOOKUP(D481,'8. Asegura. de la Calid. y M'!$E:$F,2,FALSE),IFERROR(VLOOKUP(D481,'6. Gestión del Conocimiento'!$E:$F,2,FALSE),IFERROR(VLOOKUP(D481,'15. Gobernabilidad y Proceso...'!$E:$F,2,FALSE),IFERROR(VLOOKUP(D481,'12. Gestión del Talento Humano'!$E:$F,2,FALSE),IFERROR(VLOOKUP(D481,'14. Internacional... de la E.S.'!$E:$F,2,FALSE),IFERROR(VLOOKUP(D481,'10. Posgrado'!$E:$F,2,FALSE),IFERROR(VLOOKUP(D481,'17. Gestión TIC'!$E:$F,2,FALSE),IFERROR(VLOOKUP(D481,'16. Desa. del Sistema Educ.Sup.'!$E:$F,2,FALSE),IFERROR(VLOOKUP(D481,'9. Cultura de Inno. Insti...'!$E:$F,2,FALSE),VLOOKUP(D481,'7. Lo Esencial de la Reforma U.'!$E:$F,2,0)))))))))))))))))</f>
        <v>#N/A</v>
      </c>
      <c r="D482" s="31"/>
      <c r="E482" s="93"/>
      <c r="F482" s="93"/>
      <c r="G482" s="93"/>
      <c r="H482" s="76"/>
      <c r="I482" s="76"/>
      <c r="J482" s="76"/>
      <c r="K482" s="153"/>
    </row>
    <row r="483" spans="3:12" ht="15.75" thickBot="1">
      <c r="C483" s="177"/>
      <c r="D483" s="31"/>
      <c r="E483" s="93"/>
      <c r="F483" s="93"/>
      <c r="G483" s="93"/>
      <c r="H483" s="76"/>
      <c r="I483" s="76"/>
      <c r="J483" s="76"/>
      <c r="K483" s="153"/>
    </row>
    <row r="484" spans="3:12" ht="30.75" thickBot="1">
      <c r="C484" s="134" t="s">
        <v>44</v>
      </c>
      <c r="D484" s="138" t="s">
        <v>55</v>
      </c>
      <c r="E484" s="170" t="s">
        <v>56</v>
      </c>
      <c r="F484" s="138" t="s">
        <v>57</v>
      </c>
      <c r="G484" s="135" t="s">
        <v>27</v>
      </c>
      <c r="H484" s="133" t="s">
        <v>131</v>
      </c>
      <c r="I484" s="136" t="s">
        <v>46</v>
      </c>
      <c r="J484" s="136" t="s">
        <v>132</v>
      </c>
      <c r="K484" s="136" t="s">
        <v>410</v>
      </c>
      <c r="L484" s="136" t="s">
        <v>411</v>
      </c>
    </row>
    <row r="485" spans="3:12" ht="15.75" thickBot="1">
      <c r="C485" s="137" t="s">
        <v>482</v>
      </c>
      <c r="D485" s="199"/>
      <c r="E485" s="152">
        <v>12</v>
      </c>
      <c r="F485" s="301">
        <f>HLOOKUP($C485,$BZ$2:$CM$3,2,0)</f>
        <v>43674.39</v>
      </c>
      <c r="G485" s="113">
        <f>D485*E485*F485</f>
        <v>0</v>
      </c>
      <c r="H485" s="166"/>
      <c r="I485" s="114" t="s">
        <v>496</v>
      </c>
      <c r="J485" s="114" t="str">
        <f>VLOOKUP(I485,Presupuesto!$B$11:$C$565,2,0)</f>
        <v>SUELDOS Y SALARIOS PERMANENTES</v>
      </c>
      <c r="K485" s="218" t="s">
        <v>1441</v>
      </c>
      <c r="L485" s="98" t="s">
        <v>394</v>
      </c>
    </row>
    <row r="486" spans="3:12">
      <c r="C486" s="171" t="s">
        <v>58</v>
      </c>
      <c r="D486" s="163"/>
      <c r="E486" s="154">
        <v>0</v>
      </c>
      <c r="F486" s="100">
        <f>IF(E485=0,"",(G485/E485)/12*E485)</f>
        <v>0</v>
      </c>
      <c r="G486" s="97">
        <f>F486</f>
        <v>0</v>
      </c>
      <c r="H486" s="164"/>
      <c r="I486" s="116" t="s">
        <v>516</v>
      </c>
      <c r="J486" s="116" t="str">
        <f>VLOOKUP(I486,Presupuesto!$B$11:$C$565,2,0)</f>
        <v>AGUINALDO Y DECIMO CUARTO MES</v>
      </c>
      <c r="K486" s="98" t="str">
        <f t="shared" ref="K486:K517" si="14">$K$485</f>
        <v>Posgrado</v>
      </c>
      <c r="L486" s="98" t="s">
        <v>412</v>
      </c>
    </row>
    <row r="487" spans="3:12" ht="15.75" thickBot="1">
      <c r="C487" s="172" t="s">
        <v>59</v>
      </c>
      <c r="D487" s="163"/>
      <c r="E487" s="154">
        <v>0</v>
      </c>
      <c r="F487" s="117">
        <f>IF(E485&lt;6,"",((E485-6)/12)*(G485/E485))</f>
        <v>0</v>
      </c>
      <c r="G487" s="97">
        <f>F487</f>
        <v>0</v>
      </c>
      <c r="H487" s="164"/>
      <c r="I487" s="101" t="s">
        <v>519</v>
      </c>
      <c r="J487" s="101" t="str">
        <f>VLOOKUP(I487,Presupuesto!$B$11:$C$565,2,0)</f>
        <v>DECIMOCUARTO MES</v>
      </c>
      <c r="K487" s="98" t="str">
        <f t="shared" si="14"/>
        <v>Posgrado</v>
      </c>
      <c r="L487" s="98" t="s">
        <v>395</v>
      </c>
    </row>
    <row r="488" spans="3:12" ht="15.75" thickBot="1">
      <c r="C488" s="137" t="s">
        <v>483</v>
      </c>
      <c r="D488" s="199"/>
      <c r="E488" s="152">
        <v>12</v>
      </c>
      <c r="F488" s="301">
        <f>HLOOKUP($C488,$BZ$2:$CM$3,2,0)</f>
        <v>39703.99</v>
      </c>
      <c r="G488" s="113">
        <f>D488*E488*F488</f>
        <v>0</v>
      </c>
      <c r="H488" s="166"/>
      <c r="I488" s="114" t="s">
        <v>496</v>
      </c>
      <c r="J488" s="114" t="str">
        <f>VLOOKUP(I488,Presupuesto!$B$11:$C$565,2,0)</f>
        <v>SUELDOS Y SALARIOS PERMANENTES</v>
      </c>
      <c r="K488" s="98" t="str">
        <f t="shared" si="14"/>
        <v>Posgrado</v>
      </c>
      <c r="L488" s="98" t="s">
        <v>395</v>
      </c>
    </row>
    <row r="489" spans="3:12">
      <c r="C489" s="171" t="s">
        <v>58</v>
      </c>
      <c r="D489" s="163"/>
      <c r="E489" s="154">
        <v>0</v>
      </c>
      <c r="F489" s="100">
        <f>IF(E488=0,"",(G488/E488)/12*E488)</f>
        <v>0</v>
      </c>
      <c r="G489" s="97">
        <f>F489</f>
        <v>0</v>
      </c>
      <c r="H489" s="164"/>
      <c r="I489" s="116" t="s">
        <v>516</v>
      </c>
      <c r="J489" s="116" t="str">
        <f>VLOOKUP(I489,Presupuesto!$B$11:$C$565,2,0)</f>
        <v>AGUINALDO Y DECIMO CUARTO MES</v>
      </c>
      <c r="K489" s="98" t="str">
        <f t="shared" si="14"/>
        <v>Posgrado</v>
      </c>
      <c r="L489" s="98" t="s">
        <v>395</v>
      </c>
    </row>
    <row r="490" spans="3:12" ht="15.75" thickBot="1">
      <c r="C490" s="172" t="s">
        <v>59</v>
      </c>
      <c r="D490" s="163"/>
      <c r="E490" s="154">
        <v>0</v>
      </c>
      <c r="F490" s="117">
        <f>IF(E488&lt;6,"",((E488-6)/12)*(G488/E488))</f>
        <v>0</v>
      </c>
      <c r="G490" s="97">
        <f>F490</f>
        <v>0</v>
      </c>
      <c r="H490" s="164"/>
      <c r="I490" s="101" t="s">
        <v>519</v>
      </c>
      <c r="J490" s="101" t="str">
        <f>VLOOKUP(I490,Presupuesto!$B$11:$C$565,2,0)</f>
        <v>DECIMOCUARTO MES</v>
      </c>
      <c r="K490" s="98" t="str">
        <f t="shared" si="14"/>
        <v>Posgrado</v>
      </c>
      <c r="L490" s="98" t="s">
        <v>395</v>
      </c>
    </row>
    <row r="491" spans="3:12" ht="15.75" thickBot="1">
      <c r="C491" s="137" t="s">
        <v>484</v>
      </c>
      <c r="D491" s="199"/>
      <c r="E491" s="152">
        <v>12</v>
      </c>
      <c r="F491" s="301">
        <f>HLOOKUP($C491,$BZ$2:$CM$3,2,0)</f>
        <v>35733.589999999997</v>
      </c>
      <c r="G491" s="113">
        <f>D491*E491*F491</f>
        <v>0</v>
      </c>
      <c r="H491" s="166"/>
      <c r="I491" s="114" t="s">
        <v>496</v>
      </c>
      <c r="J491" s="114" t="str">
        <f>VLOOKUP(I491,Presupuesto!$B$11:$C$565,2,0)</f>
        <v>SUELDOS Y SALARIOS PERMANENTES</v>
      </c>
      <c r="K491" s="98" t="str">
        <f t="shared" si="14"/>
        <v>Posgrado</v>
      </c>
      <c r="L491" s="98" t="s">
        <v>395</v>
      </c>
    </row>
    <row r="492" spans="3:12">
      <c r="C492" s="171" t="s">
        <v>58</v>
      </c>
      <c r="D492" s="163"/>
      <c r="E492" s="154">
        <v>0</v>
      </c>
      <c r="F492" s="100">
        <f>IF(E491=0,"",(G491/E491)/12*E491)</f>
        <v>0</v>
      </c>
      <c r="G492" s="97">
        <f>F492</f>
        <v>0</v>
      </c>
      <c r="H492" s="164"/>
      <c r="I492" s="116" t="s">
        <v>516</v>
      </c>
      <c r="J492" s="116" t="str">
        <f>VLOOKUP(I492,Presupuesto!$B$11:$C$565,2,0)</f>
        <v>AGUINALDO Y DECIMO CUARTO MES</v>
      </c>
      <c r="K492" s="98" t="str">
        <f t="shared" si="14"/>
        <v>Posgrado</v>
      </c>
      <c r="L492" s="98" t="s">
        <v>395</v>
      </c>
    </row>
    <row r="493" spans="3:12" ht="15.75" thickBot="1">
      <c r="C493" s="172" t="s">
        <v>59</v>
      </c>
      <c r="D493" s="163"/>
      <c r="E493" s="154">
        <v>0</v>
      </c>
      <c r="F493" s="117">
        <f>IF(E491&lt;6,"",((E491-6)/12)*(G491/E491))</f>
        <v>0</v>
      </c>
      <c r="G493" s="97">
        <f>F493</f>
        <v>0</v>
      </c>
      <c r="H493" s="164"/>
      <c r="I493" s="101" t="s">
        <v>519</v>
      </c>
      <c r="J493" s="101" t="str">
        <f>VLOOKUP(I493,Presupuesto!$B$11:$C$565,2,0)</f>
        <v>DECIMOCUARTO MES</v>
      </c>
      <c r="K493" s="98" t="str">
        <f t="shared" si="14"/>
        <v>Posgrado</v>
      </c>
      <c r="L493" s="98" t="s">
        <v>395</v>
      </c>
    </row>
    <row r="494" spans="3:12" ht="15.75" thickBot="1">
      <c r="C494" s="137" t="s">
        <v>485</v>
      </c>
      <c r="D494" s="199"/>
      <c r="E494" s="152">
        <v>12</v>
      </c>
      <c r="F494" s="301">
        <f>HLOOKUP($C494,$BZ$2:$CM$3,2,0)</f>
        <v>31763.19</v>
      </c>
      <c r="G494" s="113">
        <f>D494*E494*F494</f>
        <v>0</v>
      </c>
      <c r="H494" s="166"/>
      <c r="I494" s="114" t="s">
        <v>496</v>
      </c>
      <c r="J494" s="114" t="str">
        <f>VLOOKUP(I494,Presupuesto!$B$11:$C$565,2,0)</f>
        <v>SUELDOS Y SALARIOS PERMANENTES</v>
      </c>
      <c r="K494" s="98" t="str">
        <f t="shared" si="14"/>
        <v>Posgrado</v>
      </c>
      <c r="L494" s="98" t="s">
        <v>395</v>
      </c>
    </row>
    <row r="495" spans="3:12">
      <c r="C495" s="171" t="s">
        <v>58</v>
      </c>
      <c r="D495" s="163"/>
      <c r="E495" s="154">
        <v>0</v>
      </c>
      <c r="F495" s="100">
        <f>IF(E494=0,"",(G494/E494)/12*E494)</f>
        <v>0</v>
      </c>
      <c r="G495" s="97">
        <f>F495</f>
        <v>0</v>
      </c>
      <c r="H495" s="164"/>
      <c r="I495" s="116" t="s">
        <v>516</v>
      </c>
      <c r="J495" s="116" t="str">
        <f>VLOOKUP(I495,Presupuesto!$B$11:$C$565,2,0)</f>
        <v>AGUINALDO Y DECIMO CUARTO MES</v>
      </c>
      <c r="K495" s="98" t="str">
        <f t="shared" si="14"/>
        <v>Posgrado</v>
      </c>
      <c r="L495" s="98" t="s">
        <v>395</v>
      </c>
    </row>
    <row r="496" spans="3:12" ht="15.75" thickBot="1">
      <c r="C496" s="172" t="s">
        <v>59</v>
      </c>
      <c r="D496" s="163"/>
      <c r="E496" s="154">
        <v>0</v>
      </c>
      <c r="F496" s="117">
        <f>IF(E494&lt;6,"",((E494-6)/12)*(G494/E494))</f>
        <v>0</v>
      </c>
      <c r="G496" s="97">
        <f>F496</f>
        <v>0</v>
      </c>
      <c r="H496" s="164"/>
      <c r="I496" s="101" t="s">
        <v>519</v>
      </c>
      <c r="J496" s="101" t="str">
        <f>VLOOKUP(I496,Presupuesto!$B$11:$C$565,2,0)</f>
        <v>DECIMOCUARTO MES</v>
      </c>
      <c r="K496" s="98" t="str">
        <f t="shared" si="14"/>
        <v>Posgrado</v>
      </c>
      <c r="L496" s="98" t="s">
        <v>395</v>
      </c>
    </row>
    <row r="497" spans="3:12" ht="15.75" thickBot="1">
      <c r="C497" s="137" t="s">
        <v>486</v>
      </c>
      <c r="D497" s="199"/>
      <c r="E497" s="152">
        <v>12</v>
      </c>
      <c r="F497" s="301">
        <f>HLOOKUP($C497,$BZ$2:$CM$3,2,0)</f>
        <v>29777.99</v>
      </c>
      <c r="G497" s="113">
        <f>D497*E497*F497</f>
        <v>0</v>
      </c>
      <c r="H497" s="166"/>
      <c r="I497" s="114" t="s">
        <v>496</v>
      </c>
      <c r="J497" s="114" t="str">
        <f>VLOOKUP(I497,Presupuesto!$B$11:$C$565,2,0)</f>
        <v>SUELDOS Y SALARIOS PERMANENTES</v>
      </c>
      <c r="K497" s="98" t="str">
        <f t="shared" si="14"/>
        <v>Posgrado</v>
      </c>
      <c r="L497" s="98" t="s">
        <v>395</v>
      </c>
    </row>
    <row r="498" spans="3:12">
      <c r="C498" s="171" t="s">
        <v>58</v>
      </c>
      <c r="D498" s="163"/>
      <c r="E498" s="154">
        <v>0</v>
      </c>
      <c r="F498" s="100">
        <f>IF(E497=0,"",(G497/E497)/12*E497)</f>
        <v>0</v>
      </c>
      <c r="G498" s="97">
        <f>F498</f>
        <v>0</v>
      </c>
      <c r="H498" s="164"/>
      <c r="I498" s="116" t="s">
        <v>516</v>
      </c>
      <c r="J498" s="116" t="str">
        <f>VLOOKUP(I498,Presupuesto!$B$11:$C$565,2,0)</f>
        <v>AGUINALDO Y DECIMO CUARTO MES</v>
      </c>
      <c r="K498" s="98" t="str">
        <f t="shared" si="14"/>
        <v>Posgrado</v>
      </c>
      <c r="L498" s="98" t="s">
        <v>395</v>
      </c>
    </row>
    <row r="499" spans="3:12" ht="15.75" thickBot="1">
      <c r="C499" s="172" t="s">
        <v>59</v>
      </c>
      <c r="D499" s="163"/>
      <c r="E499" s="154">
        <v>0</v>
      </c>
      <c r="F499" s="117">
        <f>IF(E497&lt;6,"",((E497-6)/12)*(G497/E497))</f>
        <v>0</v>
      </c>
      <c r="G499" s="97">
        <f>F499</f>
        <v>0</v>
      </c>
      <c r="H499" s="164"/>
      <c r="I499" s="101" t="s">
        <v>519</v>
      </c>
      <c r="J499" s="101" t="str">
        <f>VLOOKUP(I499,Presupuesto!$B$11:$C$565,2,0)</f>
        <v>DECIMOCUARTO MES</v>
      </c>
      <c r="K499" s="98" t="str">
        <f t="shared" si="14"/>
        <v>Posgrado</v>
      </c>
      <c r="L499" s="98" t="s">
        <v>395</v>
      </c>
    </row>
    <row r="500" spans="3:12" ht="15.75" thickBot="1">
      <c r="C500" s="137" t="s">
        <v>487</v>
      </c>
      <c r="D500" s="199"/>
      <c r="E500" s="152">
        <v>12</v>
      </c>
      <c r="F500" s="301">
        <f>HLOOKUP($C500,$BZ$2:$CM$3,2,0)</f>
        <v>27792.79</v>
      </c>
      <c r="G500" s="113">
        <f>D500*E500*F500</f>
        <v>0</v>
      </c>
      <c r="H500" s="166"/>
      <c r="I500" s="114" t="s">
        <v>496</v>
      </c>
      <c r="J500" s="114" t="str">
        <f>VLOOKUP(I500,Presupuesto!$B$11:$C$565,2,0)</f>
        <v>SUELDOS Y SALARIOS PERMANENTES</v>
      </c>
      <c r="K500" s="98" t="str">
        <f t="shared" si="14"/>
        <v>Posgrado</v>
      </c>
      <c r="L500" s="98" t="s">
        <v>395</v>
      </c>
    </row>
    <row r="501" spans="3:12">
      <c r="C501" s="171" t="s">
        <v>58</v>
      </c>
      <c r="D501" s="163"/>
      <c r="E501" s="154">
        <v>0</v>
      </c>
      <c r="F501" s="100">
        <f>IF(E500=0,"",(G500/E500)/12*E500)</f>
        <v>0</v>
      </c>
      <c r="G501" s="97">
        <f>F501</f>
        <v>0</v>
      </c>
      <c r="H501" s="164"/>
      <c r="I501" s="116" t="s">
        <v>516</v>
      </c>
      <c r="J501" s="116" t="str">
        <f>VLOOKUP(I501,Presupuesto!$B$11:$C$565,2,0)</f>
        <v>AGUINALDO Y DECIMO CUARTO MES</v>
      </c>
      <c r="K501" s="98" t="str">
        <f t="shared" si="14"/>
        <v>Posgrado</v>
      </c>
      <c r="L501" s="98" t="s">
        <v>395</v>
      </c>
    </row>
    <row r="502" spans="3:12" ht="15.75" thickBot="1">
      <c r="C502" s="172" t="s">
        <v>59</v>
      </c>
      <c r="D502" s="163"/>
      <c r="E502" s="154">
        <v>0</v>
      </c>
      <c r="F502" s="117">
        <f>IF(E500&lt;6,"",((E500-6)/12)*(G500/E500))</f>
        <v>0</v>
      </c>
      <c r="G502" s="97">
        <f>F502</f>
        <v>0</v>
      </c>
      <c r="H502" s="164"/>
      <c r="I502" s="101" t="s">
        <v>519</v>
      </c>
      <c r="J502" s="101" t="str">
        <f>VLOOKUP(I502,Presupuesto!$B$11:$C$565,2,0)</f>
        <v>DECIMOCUARTO MES</v>
      </c>
      <c r="K502" s="98" t="str">
        <f t="shared" si="14"/>
        <v>Posgrado</v>
      </c>
      <c r="L502" s="98" t="s">
        <v>395</v>
      </c>
    </row>
    <row r="503" spans="3:12" ht="15.75" thickBot="1">
      <c r="C503" s="137" t="s">
        <v>488</v>
      </c>
      <c r="D503" s="199"/>
      <c r="E503" s="152">
        <v>12</v>
      </c>
      <c r="F503" s="301">
        <f>HLOOKUP($C503,$BZ$2:$CM$3,2,0)</f>
        <v>18859.39</v>
      </c>
      <c r="G503" s="113">
        <f>D503*E503*F503</f>
        <v>0</v>
      </c>
      <c r="H503" s="166"/>
      <c r="I503" s="114" t="s">
        <v>496</v>
      </c>
      <c r="J503" s="114" t="str">
        <f>VLOOKUP(I503,Presupuesto!$B$11:$C$565,2,0)</f>
        <v>SUELDOS Y SALARIOS PERMANENTES</v>
      </c>
      <c r="K503" s="98" t="str">
        <f t="shared" si="14"/>
        <v>Posgrado</v>
      </c>
      <c r="L503" s="98" t="s">
        <v>395</v>
      </c>
    </row>
    <row r="504" spans="3:12">
      <c r="C504" s="171" t="s">
        <v>58</v>
      </c>
      <c r="D504" s="163"/>
      <c r="E504" s="154">
        <v>0</v>
      </c>
      <c r="F504" s="100">
        <f>IF(E503=0,"",(G503/E503)/12*E503)</f>
        <v>0</v>
      </c>
      <c r="G504" s="97">
        <f>F504</f>
        <v>0</v>
      </c>
      <c r="H504" s="164"/>
      <c r="I504" s="116" t="s">
        <v>516</v>
      </c>
      <c r="J504" s="116" t="str">
        <f>VLOOKUP(I504,Presupuesto!$B$11:$C$565,2,0)</f>
        <v>AGUINALDO Y DECIMO CUARTO MES</v>
      </c>
      <c r="K504" s="98" t="str">
        <f t="shared" si="14"/>
        <v>Posgrado</v>
      </c>
      <c r="L504" s="98" t="s">
        <v>395</v>
      </c>
    </row>
    <row r="505" spans="3:12" ht="15.75" thickBot="1">
      <c r="C505" s="172" t="s">
        <v>59</v>
      </c>
      <c r="D505" s="163"/>
      <c r="E505" s="154">
        <v>0</v>
      </c>
      <c r="F505" s="117">
        <f>IF(E503&lt;6,"",((E503-6)/12)*(G503/E503))</f>
        <v>0</v>
      </c>
      <c r="G505" s="97">
        <f>F505</f>
        <v>0</v>
      </c>
      <c r="H505" s="164"/>
      <c r="I505" s="101" t="s">
        <v>519</v>
      </c>
      <c r="J505" s="101" t="str">
        <f>VLOOKUP(I505,Presupuesto!$B$11:$C$565,2,0)</f>
        <v>DECIMOCUARTO MES</v>
      </c>
      <c r="K505" s="98" t="str">
        <f t="shared" si="14"/>
        <v>Posgrado</v>
      </c>
      <c r="L505" s="98" t="s">
        <v>395</v>
      </c>
    </row>
    <row r="506" spans="3:12" ht="15.75" thickBot="1">
      <c r="C506" s="137" t="s">
        <v>489</v>
      </c>
      <c r="D506" s="199"/>
      <c r="E506" s="152">
        <v>12</v>
      </c>
      <c r="F506" s="301">
        <f>HLOOKUP($C506,$BZ$2:$CM$3,2,0)</f>
        <v>17866.8</v>
      </c>
      <c r="G506" s="113">
        <f>D506*E506*F506</f>
        <v>0</v>
      </c>
      <c r="H506" s="166"/>
      <c r="I506" s="114" t="s">
        <v>496</v>
      </c>
      <c r="J506" s="114" t="str">
        <f>VLOOKUP(I506,Presupuesto!$B$11:$C$565,2,0)</f>
        <v>SUELDOS Y SALARIOS PERMANENTES</v>
      </c>
      <c r="K506" s="98" t="str">
        <f t="shared" si="14"/>
        <v>Posgrado</v>
      </c>
      <c r="L506" s="98" t="s">
        <v>395</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si="14"/>
        <v>Posgrado</v>
      </c>
      <c r="L507" s="98" t="s">
        <v>395</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4"/>
        <v>Posgrado</v>
      </c>
      <c r="L508" s="98" t="s">
        <v>395</v>
      </c>
    </row>
    <row r="509" spans="3:12" ht="15.75" thickBot="1">
      <c r="C509" s="137" t="s">
        <v>490</v>
      </c>
      <c r="D509" s="199"/>
      <c r="E509" s="152">
        <v>12</v>
      </c>
      <c r="F509" s="301">
        <f>HLOOKUP($C509,$BZ$2:$CM$3,2,0)</f>
        <v>13896.4</v>
      </c>
      <c r="G509" s="113">
        <f>D509*E509*F509</f>
        <v>0</v>
      </c>
      <c r="H509" s="166"/>
      <c r="I509" s="114" t="s">
        <v>496</v>
      </c>
      <c r="J509" s="114" t="str">
        <f>VLOOKUP(I509,Presupuesto!$B$11:$C$565,2,0)</f>
        <v>SUELDOS Y SALARIOS PERMANENTES</v>
      </c>
      <c r="K509" s="98" t="str">
        <f t="shared" si="14"/>
        <v>Posgrado</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4"/>
        <v>Posgrado</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4"/>
        <v>Posgrado</v>
      </c>
      <c r="L511" s="98" t="s">
        <v>395</v>
      </c>
    </row>
    <row r="512" spans="3:12" ht="15.75" thickBot="1">
      <c r="C512" s="137" t="s">
        <v>491</v>
      </c>
      <c r="D512" s="199"/>
      <c r="E512" s="152">
        <v>12</v>
      </c>
      <c r="F512" s="301">
        <f>HLOOKUP($C512,$BZ$2:$CM$3,2,0)</f>
        <v>15004.09</v>
      </c>
      <c r="G512" s="113">
        <f>D512*E512*F512</f>
        <v>0</v>
      </c>
      <c r="H512" s="166"/>
      <c r="I512" s="114" t="s">
        <v>496</v>
      </c>
      <c r="J512" s="114" t="str">
        <f>VLOOKUP(I512,Presupuesto!$B$11:$C$565,2,0)</f>
        <v>SUELDOS Y SALARIOS PERMANENTES</v>
      </c>
      <c r="K512" s="98" t="str">
        <f t="shared" si="14"/>
        <v>Posgrado</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4"/>
        <v>Posgrado</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4"/>
        <v>Posgrado</v>
      </c>
      <c r="L514" s="98" t="s">
        <v>395</v>
      </c>
    </row>
    <row r="515" spans="3:12" ht="15.75" thickBot="1">
      <c r="C515" s="137" t="s">
        <v>492</v>
      </c>
      <c r="D515" s="199"/>
      <c r="E515" s="152">
        <v>12</v>
      </c>
      <c r="F515" s="301">
        <f>HLOOKUP($C515,$BZ$2:$CM$3,2,0)</f>
        <v>13238.9</v>
      </c>
      <c r="G515" s="113">
        <f>D515*E515*F515</f>
        <v>0</v>
      </c>
      <c r="H515" s="166"/>
      <c r="I515" s="114" t="s">
        <v>496</v>
      </c>
      <c r="J515" s="114" t="str">
        <f>VLOOKUP(I515,Presupuesto!$B$11:$C$565,2,0)</f>
        <v>SUELDOS Y SALARIOS PERMANENTES</v>
      </c>
      <c r="K515" s="98" t="str">
        <f t="shared" si="14"/>
        <v>Posgrado</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4"/>
        <v>Posgrado</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4"/>
        <v>Posgrado</v>
      </c>
      <c r="L517" s="98" t="s">
        <v>395</v>
      </c>
    </row>
    <row r="518" spans="3:12" ht="15.75" thickBot="1">
      <c r="C518" s="137" t="s">
        <v>493</v>
      </c>
      <c r="D518" s="199"/>
      <c r="E518" s="152">
        <v>12</v>
      </c>
      <c r="F518" s="301">
        <f>HLOOKUP($C518,$BZ$2:$CM$3,2,0)</f>
        <v>12356.31</v>
      </c>
      <c r="G518" s="113">
        <f>D518*E518*F518</f>
        <v>0</v>
      </c>
      <c r="H518" s="166"/>
      <c r="I518" s="114" t="s">
        <v>496</v>
      </c>
      <c r="J518" s="114" t="str">
        <f>VLOOKUP(I518,Presupuesto!$B$11:$C$565,2,0)</f>
        <v>SUELDOS Y SALARIOS PERMANENTES</v>
      </c>
      <c r="K518" s="98" t="str">
        <f t="shared" ref="K518:K535" si="15">$K$485</f>
        <v>Posgrado</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5"/>
        <v>Posgrado</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5"/>
        <v>Posgrado</v>
      </c>
      <c r="L520" s="98" t="s">
        <v>395</v>
      </c>
    </row>
    <row r="521" spans="3:12" ht="15.75" thickBot="1">
      <c r="C521" s="137" t="s">
        <v>494</v>
      </c>
      <c r="D521" s="199"/>
      <c r="E521" s="152">
        <v>12</v>
      </c>
      <c r="F521" s="301">
        <f>HLOOKUP($C521,$BZ$2:$CM$3,2,0)</f>
        <v>463.22</v>
      </c>
      <c r="G521" s="113">
        <f>D521*E521*F521</f>
        <v>0</v>
      </c>
      <c r="H521" s="166"/>
      <c r="I521" s="114" t="s">
        <v>496</v>
      </c>
      <c r="J521" s="114" t="str">
        <f>VLOOKUP(I521,Presupuesto!$B$11:$C$565,2,0)</f>
        <v>SUELDOS Y SALARIOS PERMANENTES</v>
      </c>
      <c r="K521" s="98" t="str">
        <f t="shared" si="15"/>
        <v>Posgrado</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5"/>
        <v>Posgrado</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5"/>
        <v>Posgrado</v>
      </c>
      <c r="L523" s="98" t="s">
        <v>395</v>
      </c>
    </row>
    <row r="524" spans="3:12" ht="15.75" thickBot="1">
      <c r="C524" s="137" t="s">
        <v>495</v>
      </c>
      <c r="D524" s="199"/>
      <c r="E524" s="152">
        <v>12</v>
      </c>
      <c r="F524" s="301">
        <f>HLOOKUP($C524,$BZ$2:$CM$3,2,0)</f>
        <v>2007.3</v>
      </c>
      <c r="G524" s="113">
        <f>D524*E524*F524</f>
        <v>0</v>
      </c>
      <c r="H524" s="166"/>
      <c r="I524" s="114" t="s">
        <v>496</v>
      </c>
      <c r="J524" s="114" t="str">
        <f>VLOOKUP(I524,Presupuesto!$B$11:$C$565,2,0)</f>
        <v>SUELDOS Y SALARIOS PERMANENTES</v>
      </c>
      <c r="K524" s="98" t="str">
        <f t="shared" si="15"/>
        <v>Posgrado</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5"/>
        <v>Posgrado</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5"/>
        <v>Posgrado</v>
      </c>
      <c r="L526" s="98" t="s">
        <v>395</v>
      </c>
    </row>
    <row r="527" spans="3:12" ht="15.75" thickBot="1">
      <c r="C527" s="140" t="s">
        <v>83</v>
      </c>
      <c r="D527" s="199"/>
      <c r="E527" s="152">
        <v>12</v>
      </c>
      <c r="F527" s="139">
        <v>30000</v>
      </c>
      <c r="G527" s="113">
        <f>D527*E527*F527</f>
        <v>0</v>
      </c>
      <c r="H527" s="166"/>
      <c r="I527" s="114" t="s">
        <v>564</v>
      </c>
      <c r="J527" s="114" t="str">
        <f>VLOOKUP(I527,Presupuesto!$B$11:$C$565,2,0)</f>
        <v>CONTRATOS ESPECIALES</v>
      </c>
      <c r="K527" s="98" t="str">
        <f t="shared" si="15"/>
        <v>Posgrado</v>
      </c>
      <c r="L527" s="98" t="s">
        <v>395</v>
      </c>
    </row>
    <row r="528" spans="3:12">
      <c r="C528" s="171" t="s">
        <v>58</v>
      </c>
      <c r="D528" s="163"/>
      <c r="E528" s="154">
        <v>0</v>
      </c>
      <c r="F528" s="117">
        <f>IF(E527=0,"",(G527/E527)/12*E527)</f>
        <v>0</v>
      </c>
      <c r="G528" s="97">
        <f>F528</f>
        <v>0</v>
      </c>
      <c r="H528" s="164"/>
      <c r="I528" s="101" t="s">
        <v>564</v>
      </c>
      <c r="J528" s="101" t="str">
        <f>VLOOKUP(I528,Presupuesto!$B$11:$C$565,2,0)</f>
        <v>CONTRATOS ESPECIALES</v>
      </c>
      <c r="K528" s="98" t="str">
        <f t="shared" si="15"/>
        <v>Posgrado</v>
      </c>
      <c r="L528" s="98" t="s">
        <v>394</v>
      </c>
    </row>
    <row r="529" spans="3:12" ht="15.75" thickBot="1">
      <c r="C529" s="172" t="s">
        <v>59</v>
      </c>
      <c r="D529" s="163"/>
      <c r="E529" s="154">
        <v>0</v>
      </c>
      <c r="F529" s="100">
        <f>IF(E527&lt;6,"",((E527-6)/12)*(G527/E527))</f>
        <v>0</v>
      </c>
      <c r="G529" s="97">
        <f>F529</f>
        <v>0</v>
      </c>
      <c r="H529" s="164"/>
      <c r="I529" s="101" t="s">
        <v>564</v>
      </c>
      <c r="J529" s="101" t="str">
        <f>VLOOKUP(I529,Presupuesto!$B$11:$C$565,2,0)</f>
        <v>CONTRATOS ESPECIALES</v>
      </c>
      <c r="K529" s="98" t="str">
        <f t="shared" si="15"/>
        <v>Posgrado</v>
      </c>
      <c r="L529" s="98" t="s">
        <v>399</v>
      </c>
    </row>
    <row r="530" spans="3:12" ht="15.75" thickBot="1">
      <c r="C530" s="140" t="s">
        <v>60</v>
      </c>
      <c r="D530" s="199"/>
      <c r="E530" s="152">
        <v>12</v>
      </c>
      <c r="F530" s="118">
        <v>30000</v>
      </c>
      <c r="G530" s="113">
        <f>D530*E530*F530</f>
        <v>0</v>
      </c>
      <c r="H530" s="166"/>
      <c r="I530" s="114" t="s">
        <v>705</v>
      </c>
      <c r="J530" s="114" t="str">
        <f>VLOOKUP(I530,Presupuesto!$B$11:$C$565,2,0)</f>
        <v>OTROS SERVICIOS TECNICOS Y PROFESIONALES</v>
      </c>
      <c r="K530" s="98" t="str">
        <f t="shared" si="15"/>
        <v>Posgrado</v>
      </c>
      <c r="L530" s="98" t="s">
        <v>394</v>
      </c>
    </row>
    <row r="531" spans="3:12">
      <c r="C531" s="171" t="s">
        <v>58</v>
      </c>
      <c r="D531" s="163"/>
      <c r="E531" s="154">
        <v>0</v>
      </c>
      <c r="F531" s="100">
        <v>0</v>
      </c>
      <c r="G531" s="97">
        <f>F531</f>
        <v>0</v>
      </c>
      <c r="H531" s="164"/>
      <c r="I531" s="101" t="s">
        <v>705</v>
      </c>
      <c r="J531" s="101" t="str">
        <f>VLOOKUP(I531,Presupuesto!$B$11:$C$565,2,0)</f>
        <v>OTROS SERVICIOS TECNICOS Y PROFESIONALES</v>
      </c>
      <c r="K531" s="98" t="str">
        <f t="shared" si="15"/>
        <v>Posgrado</v>
      </c>
      <c r="L531" s="98" t="s">
        <v>394</v>
      </c>
    </row>
    <row r="532" spans="3:12" ht="15.75" thickBot="1">
      <c r="C532" s="172" t="s">
        <v>59</v>
      </c>
      <c r="D532" s="163"/>
      <c r="E532" s="154">
        <v>0</v>
      </c>
      <c r="F532" s="100">
        <v>0</v>
      </c>
      <c r="G532" s="97">
        <f>F532</f>
        <v>0</v>
      </c>
      <c r="H532" s="164"/>
      <c r="I532" s="101" t="s">
        <v>705</v>
      </c>
      <c r="J532" s="101" t="str">
        <f>VLOOKUP(I532,Presupuesto!$B$11:$C$565,2,0)</f>
        <v>OTROS SERVICIOS TECNICOS Y PROFESIONALES</v>
      </c>
      <c r="K532" s="98" t="str">
        <f t="shared" si="15"/>
        <v>Posgrado</v>
      </c>
      <c r="L532" s="98" t="s">
        <v>394</v>
      </c>
    </row>
    <row r="533" spans="3:12" ht="15.75" thickBot="1">
      <c r="C533" s="140" t="s">
        <v>61</v>
      </c>
      <c r="D533" s="199"/>
      <c r="E533" s="152">
        <v>12</v>
      </c>
      <c r="F533" s="118">
        <v>30000</v>
      </c>
      <c r="G533" s="113">
        <f>D533*E533*F533</f>
        <v>0</v>
      </c>
      <c r="H533" s="166"/>
      <c r="I533" s="114" t="s">
        <v>496</v>
      </c>
      <c r="J533" s="114" t="str">
        <f>VLOOKUP(I533,Presupuesto!$B$11:$C$565,2,0)</f>
        <v>SUELDOS Y SALARIOS PERMANENTES</v>
      </c>
      <c r="K533" s="98" t="str">
        <f t="shared" si="15"/>
        <v>Posgrado</v>
      </c>
      <c r="L533" s="98" t="s">
        <v>394</v>
      </c>
    </row>
    <row r="534" spans="3:12">
      <c r="C534" s="171" t="s">
        <v>58</v>
      </c>
      <c r="D534" s="169"/>
      <c r="E534" s="131">
        <v>0</v>
      </c>
      <c r="F534" s="119">
        <f>IF(E533=0,"",(G533/E533)/12*E533)</f>
        <v>0</v>
      </c>
      <c r="G534" s="120">
        <f>F534</f>
        <v>0</v>
      </c>
      <c r="H534" s="164"/>
      <c r="I534" s="101" t="s">
        <v>516</v>
      </c>
      <c r="J534" s="101" t="str">
        <f>VLOOKUP(I534,Presupuesto!$B$11:$C$565,2,0)</f>
        <v>AGUINALDO Y DECIMO CUARTO MES</v>
      </c>
      <c r="K534" s="98" t="str">
        <f t="shared" si="15"/>
        <v>Posgrado</v>
      </c>
      <c r="L534" s="98" t="s">
        <v>394</v>
      </c>
    </row>
    <row r="535" spans="3:12" ht="15.75" thickBot="1">
      <c r="C535" s="173" t="s">
        <v>59</v>
      </c>
      <c r="D535" s="162"/>
      <c r="E535" s="132">
        <v>0</v>
      </c>
      <c r="F535" s="105">
        <f>IF(E533&lt;6,"",((E533-6)/12)*(G533/E533))</f>
        <v>0</v>
      </c>
      <c r="G535" s="105">
        <f>F535</f>
        <v>0</v>
      </c>
      <c r="H535" s="162"/>
      <c r="I535" s="106" t="s">
        <v>519</v>
      </c>
      <c r="J535" s="124" t="str">
        <f>VLOOKUP(I535,Presupuesto!$B$11:$C$565,2,0)</f>
        <v>DECIMOCUARTO MES</v>
      </c>
      <c r="K535" s="106" t="str">
        <f t="shared" si="15"/>
        <v>Posgrado</v>
      </c>
      <c r="L535" s="124" t="s">
        <v>394</v>
      </c>
    </row>
    <row r="537" spans="3:12" ht="15.75" thickBot="1"/>
    <row r="538" spans="3:12" ht="15.75" thickBot="1">
      <c r="C538" s="69" t="s">
        <v>43</v>
      </c>
      <c r="D538" s="30">
        <f>SUM(G545:G595)</f>
        <v>0</v>
      </c>
      <c r="E538" s="93"/>
      <c r="F538" s="93"/>
      <c r="G538" s="93"/>
      <c r="H538" s="76"/>
      <c r="I538" s="76"/>
      <c r="J538" s="76"/>
    </row>
    <row r="539" spans="3:12">
      <c r="D539" s="31"/>
      <c r="E539" s="93"/>
      <c r="F539" s="93"/>
      <c r="G539" s="93"/>
      <c r="H539" s="76"/>
      <c r="I539" s="76"/>
      <c r="J539" s="76"/>
      <c r="K539" s="153"/>
    </row>
    <row r="540" spans="3:12">
      <c r="D540" s="31"/>
      <c r="E540" s="93"/>
      <c r="F540" s="93"/>
      <c r="G540" s="93"/>
      <c r="H540" s="76"/>
      <c r="I540" s="76"/>
      <c r="J540" s="76"/>
      <c r="K540" s="153"/>
    </row>
    <row r="541" spans="3:12" ht="15.75">
      <c r="C541" s="202" t="s">
        <v>392</v>
      </c>
      <c r="D541" s="361"/>
      <c r="E541" s="93"/>
      <c r="F541" s="93"/>
      <c r="G541" s="93"/>
      <c r="H541" s="76"/>
      <c r="I541" s="76"/>
      <c r="J541" s="76"/>
      <c r="K541" s="153"/>
    </row>
    <row r="542" spans="3:12" ht="18.75">
      <c r="C542" s="210" t="e">
        <f>IFERROR(VLOOKUP(D541,'1. Desarrollo e Innov. Curricu.'!$E:$F,2,FALSE),IFERROR(VLOOKUP(D541,'2. Investigación Científica'!$E:$F,2,FALSE),IFERROR(VLOOKUP(D541,'3. Vinculación Univ. Sociedad'!$E:$F,2,FALSE),IFERROR(VLOOKUP(D541,'4. Docencia y Profesorado Univ.'!$E:$F,2,FALSE),IFERROR(VLOOKUP(D541,'5. Estudiantes y Graduados'!$E:$F,2,FALSE),IFERROR(VLOOKUP(D541,'11. Gestion Administrativa'!$E:$F,2,FALSE),IFERROR(VLOOKUP(D541,'13. Gestión Académica'!$E:$F,2,FALSE),IFERROR(VLOOKUP(D541,'8. Asegura. de la Calid. y M'!$E:$F,2,FALSE),IFERROR(VLOOKUP(D541,'6. Gestión del Conocimiento'!$E:$F,2,FALSE),IFERROR(VLOOKUP(D541,'15. Gobernabilidad y Proceso...'!$E:$F,2,FALSE),IFERROR(VLOOKUP(D541,'12. Gestión del Talento Humano'!$E:$F,2,FALSE),IFERROR(VLOOKUP(D541,'14. Internacional... de la E.S.'!$E:$F,2,FALSE),IFERROR(VLOOKUP(D541,'10. Posgrado'!$E:$F,2,FALSE),IFERROR(VLOOKUP(D541,'17. Gestión TIC'!$E:$F,2,FALSE),IFERROR(VLOOKUP(D541,'16. Desa. del Sistema Educ.Sup.'!$E:$F,2,FALSE),IFERROR(VLOOKUP(D541,'9. Cultura de Inno. Insti...'!$E:$F,2,FALSE),VLOOKUP(D541,'7. Lo Esencial de la Reforma U.'!$E:$F,2,0)))))))))))))))))</f>
        <v>#N/A</v>
      </c>
      <c r="D542" s="31"/>
      <c r="E542" s="93"/>
      <c r="F542" s="93"/>
      <c r="G542" s="93"/>
      <c r="H542" s="76"/>
      <c r="I542" s="76"/>
      <c r="J542" s="76"/>
      <c r="K542" s="153"/>
    </row>
    <row r="543" spans="3:12" ht="15.75" thickBot="1">
      <c r="C543" s="177"/>
      <c r="D543" s="31"/>
      <c r="E543" s="93"/>
      <c r="F543" s="93"/>
      <c r="G543" s="93"/>
      <c r="H543" s="76"/>
      <c r="I543" s="76"/>
      <c r="J543" s="76"/>
      <c r="K543" s="153"/>
    </row>
    <row r="544" spans="3:12" ht="30.75" thickBot="1">
      <c r="C544" s="134" t="s">
        <v>44</v>
      </c>
      <c r="D544" s="138" t="s">
        <v>55</v>
      </c>
      <c r="E544" s="170" t="s">
        <v>56</v>
      </c>
      <c r="F544" s="138" t="s">
        <v>57</v>
      </c>
      <c r="G544" s="135" t="s">
        <v>27</v>
      </c>
      <c r="H544" s="133" t="s">
        <v>131</v>
      </c>
      <c r="I544" s="136" t="s">
        <v>46</v>
      </c>
      <c r="J544" s="136" t="s">
        <v>132</v>
      </c>
      <c r="K544" s="136" t="s">
        <v>410</v>
      </c>
      <c r="L544" s="136" t="s">
        <v>411</v>
      </c>
    </row>
    <row r="545" spans="3:12" ht="15.75" thickBot="1">
      <c r="C545" s="137" t="s">
        <v>482</v>
      </c>
      <c r="D545" s="199"/>
      <c r="E545" s="152">
        <v>12</v>
      </c>
      <c r="F545" s="301">
        <f>HLOOKUP($C545,$BZ$2:$CM$3,2,0)</f>
        <v>43674.39</v>
      </c>
      <c r="G545" s="113">
        <f>D545*E545*F545</f>
        <v>0</v>
      </c>
      <c r="H545" s="166"/>
      <c r="I545" s="114" t="s">
        <v>496</v>
      </c>
      <c r="J545" s="114" t="str">
        <f>VLOOKUP(I545,Presupuesto!$B$11:$C$565,2,0)</f>
        <v>SUELDOS Y SALARIOS PERMANENTES</v>
      </c>
      <c r="K545" s="218" t="s">
        <v>1441</v>
      </c>
      <c r="L545" s="98" t="s">
        <v>394</v>
      </c>
    </row>
    <row r="546" spans="3:12">
      <c r="C546" s="171" t="s">
        <v>58</v>
      </c>
      <c r="D546" s="163"/>
      <c r="E546" s="154">
        <v>0</v>
      </c>
      <c r="F546" s="100">
        <f>IF(E545=0,"",(G545/E545)/12*E545)</f>
        <v>0</v>
      </c>
      <c r="G546" s="97">
        <f>F546</f>
        <v>0</v>
      </c>
      <c r="H546" s="164"/>
      <c r="I546" s="116" t="s">
        <v>516</v>
      </c>
      <c r="J546" s="116" t="str">
        <f>VLOOKUP(I546,Presupuesto!$B$11:$C$565,2,0)</f>
        <v>AGUINALDO Y DECIMO CUARTO MES</v>
      </c>
      <c r="K546" s="98" t="str">
        <f t="shared" ref="K546:K577" si="16">$K$545</f>
        <v>Posgrado</v>
      </c>
      <c r="L546" s="98" t="s">
        <v>412</v>
      </c>
    </row>
    <row r="547" spans="3:12" ht="15.75" thickBot="1">
      <c r="C547" s="172" t="s">
        <v>59</v>
      </c>
      <c r="D547" s="163"/>
      <c r="E547" s="154">
        <v>0</v>
      </c>
      <c r="F547" s="117">
        <f>IF(E545&lt;6,"",((E545-6)/12)*(G545/E545))</f>
        <v>0</v>
      </c>
      <c r="G547" s="97">
        <f>F547</f>
        <v>0</v>
      </c>
      <c r="H547" s="164"/>
      <c r="I547" s="101" t="s">
        <v>519</v>
      </c>
      <c r="J547" s="101" t="str">
        <f>VLOOKUP(I547,Presupuesto!$B$11:$C$565,2,0)</f>
        <v>DECIMOCUARTO MES</v>
      </c>
      <c r="K547" s="98" t="str">
        <f t="shared" si="16"/>
        <v>Posgrado</v>
      </c>
      <c r="L547" s="98" t="s">
        <v>395</v>
      </c>
    </row>
    <row r="548" spans="3:12" ht="15.75" thickBot="1">
      <c r="C548" s="137" t="s">
        <v>483</v>
      </c>
      <c r="D548" s="199"/>
      <c r="E548" s="152">
        <v>12</v>
      </c>
      <c r="F548" s="301">
        <f>HLOOKUP($C548,$BZ$2:$CM$3,2,0)</f>
        <v>39703.99</v>
      </c>
      <c r="G548" s="113">
        <f>D548*E548*F548</f>
        <v>0</v>
      </c>
      <c r="H548" s="166"/>
      <c r="I548" s="114" t="s">
        <v>496</v>
      </c>
      <c r="J548" s="114" t="str">
        <f>VLOOKUP(I548,Presupuesto!$B$11:$C$565,2,0)</f>
        <v>SUELDOS Y SALARIOS PERMANENTES</v>
      </c>
      <c r="K548" s="98" t="str">
        <f t="shared" si="16"/>
        <v>Posgrado</v>
      </c>
      <c r="L548" s="98" t="s">
        <v>395</v>
      </c>
    </row>
    <row r="549" spans="3:12">
      <c r="C549" s="171" t="s">
        <v>58</v>
      </c>
      <c r="D549" s="163"/>
      <c r="E549" s="154">
        <v>0</v>
      </c>
      <c r="F549" s="100">
        <f>IF(E548=0,"",(G548/E548)/12*E548)</f>
        <v>0</v>
      </c>
      <c r="G549" s="97">
        <f>F549</f>
        <v>0</v>
      </c>
      <c r="H549" s="164"/>
      <c r="I549" s="116" t="s">
        <v>516</v>
      </c>
      <c r="J549" s="116" t="str">
        <f>VLOOKUP(I549,Presupuesto!$B$11:$C$565,2,0)</f>
        <v>AGUINALDO Y DECIMO CUARTO MES</v>
      </c>
      <c r="K549" s="98" t="str">
        <f t="shared" si="16"/>
        <v>Posgrado</v>
      </c>
      <c r="L549" s="98" t="s">
        <v>395</v>
      </c>
    </row>
    <row r="550" spans="3:12" ht="15.75" thickBot="1">
      <c r="C550" s="172" t="s">
        <v>59</v>
      </c>
      <c r="D550" s="163"/>
      <c r="E550" s="154">
        <v>0</v>
      </c>
      <c r="F550" s="117">
        <f>IF(E548&lt;6,"",((E548-6)/12)*(G548/E548))</f>
        <v>0</v>
      </c>
      <c r="G550" s="97">
        <f>F550</f>
        <v>0</v>
      </c>
      <c r="H550" s="164"/>
      <c r="I550" s="101" t="s">
        <v>519</v>
      </c>
      <c r="J550" s="101" t="str">
        <f>VLOOKUP(I550,Presupuesto!$B$11:$C$565,2,0)</f>
        <v>DECIMOCUARTO MES</v>
      </c>
      <c r="K550" s="98" t="str">
        <f t="shared" si="16"/>
        <v>Posgrado</v>
      </c>
      <c r="L550" s="98" t="s">
        <v>395</v>
      </c>
    </row>
    <row r="551" spans="3:12" ht="15.75" thickBot="1">
      <c r="C551" s="137" t="s">
        <v>484</v>
      </c>
      <c r="D551" s="199"/>
      <c r="E551" s="152">
        <v>12</v>
      </c>
      <c r="F551" s="301">
        <f>HLOOKUP($C551,$BZ$2:$CM$3,2,0)</f>
        <v>35733.589999999997</v>
      </c>
      <c r="G551" s="113">
        <f>D551*E551*F551</f>
        <v>0</v>
      </c>
      <c r="H551" s="166"/>
      <c r="I551" s="114" t="s">
        <v>496</v>
      </c>
      <c r="J551" s="114" t="str">
        <f>VLOOKUP(I551,Presupuesto!$B$11:$C$565,2,0)</f>
        <v>SUELDOS Y SALARIOS PERMANENTES</v>
      </c>
      <c r="K551" s="98" t="str">
        <f t="shared" si="16"/>
        <v>Posgrado</v>
      </c>
      <c r="L551" s="98" t="s">
        <v>395</v>
      </c>
    </row>
    <row r="552" spans="3:12">
      <c r="C552" s="171" t="s">
        <v>58</v>
      </c>
      <c r="D552" s="163"/>
      <c r="E552" s="154">
        <v>0</v>
      </c>
      <c r="F552" s="100">
        <f>IF(E551=0,"",(G551/E551)/12*E551)</f>
        <v>0</v>
      </c>
      <c r="G552" s="97">
        <f>F552</f>
        <v>0</v>
      </c>
      <c r="H552" s="164"/>
      <c r="I552" s="116" t="s">
        <v>516</v>
      </c>
      <c r="J552" s="116" t="str">
        <f>VLOOKUP(I552,Presupuesto!$B$11:$C$565,2,0)</f>
        <v>AGUINALDO Y DECIMO CUARTO MES</v>
      </c>
      <c r="K552" s="98" t="str">
        <f t="shared" si="16"/>
        <v>Posgrado</v>
      </c>
      <c r="L552" s="98" t="s">
        <v>395</v>
      </c>
    </row>
    <row r="553" spans="3:12" ht="15.75" thickBot="1">
      <c r="C553" s="172" t="s">
        <v>59</v>
      </c>
      <c r="D553" s="163"/>
      <c r="E553" s="154">
        <v>0</v>
      </c>
      <c r="F553" s="117">
        <f>IF(E551&lt;6,"",((E551-6)/12)*(G551/E551))</f>
        <v>0</v>
      </c>
      <c r="G553" s="97">
        <f>F553</f>
        <v>0</v>
      </c>
      <c r="H553" s="164"/>
      <c r="I553" s="101" t="s">
        <v>519</v>
      </c>
      <c r="J553" s="101" t="str">
        <f>VLOOKUP(I553,Presupuesto!$B$11:$C$565,2,0)</f>
        <v>DECIMOCUARTO MES</v>
      </c>
      <c r="K553" s="98" t="str">
        <f t="shared" si="16"/>
        <v>Posgrado</v>
      </c>
      <c r="L553" s="98" t="s">
        <v>395</v>
      </c>
    </row>
    <row r="554" spans="3:12" ht="15.75" thickBot="1">
      <c r="C554" s="137" t="s">
        <v>485</v>
      </c>
      <c r="D554" s="199"/>
      <c r="E554" s="152">
        <v>12</v>
      </c>
      <c r="F554" s="301">
        <f>HLOOKUP($C554,$BZ$2:$CM$3,2,0)</f>
        <v>31763.19</v>
      </c>
      <c r="G554" s="113">
        <f>D554*E554*F554</f>
        <v>0</v>
      </c>
      <c r="H554" s="166"/>
      <c r="I554" s="114" t="s">
        <v>496</v>
      </c>
      <c r="J554" s="114" t="str">
        <f>VLOOKUP(I554,Presupuesto!$B$11:$C$565,2,0)</f>
        <v>SUELDOS Y SALARIOS PERMANENTES</v>
      </c>
      <c r="K554" s="98" t="str">
        <f t="shared" si="16"/>
        <v>Posgrado</v>
      </c>
      <c r="L554" s="98" t="s">
        <v>395</v>
      </c>
    </row>
    <row r="555" spans="3:12">
      <c r="C555" s="171" t="s">
        <v>58</v>
      </c>
      <c r="D555" s="163"/>
      <c r="E555" s="154">
        <v>0</v>
      </c>
      <c r="F555" s="100">
        <f>IF(E554=0,"",(G554/E554)/12*E554)</f>
        <v>0</v>
      </c>
      <c r="G555" s="97">
        <f>F555</f>
        <v>0</v>
      </c>
      <c r="H555" s="164"/>
      <c r="I555" s="116" t="s">
        <v>516</v>
      </c>
      <c r="J555" s="116" t="str">
        <f>VLOOKUP(I555,Presupuesto!$B$11:$C$565,2,0)</f>
        <v>AGUINALDO Y DECIMO CUARTO MES</v>
      </c>
      <c r="K555" s="98" t="str">
        <f t="shared" si="16"/>
        <v>Posgrado</v>
      </c>
      <c r="L555" s="98" t="s">
        <v>395</v>
      </c>
    </row>
    <row r="556" spans="3:12" ht="15.75" thickBot="1">
      <c r="C556" s="172" t="s">
        <v>59</v>
      </c>
      <c r="D556" s="163"/>
      <c r="E556" s="154">
        <v>0</v>
      </c>
      <c r="F556" s="117">
        <f>IF(E554&lt;6,"",((E554-6)/12)*(G554/E554))</f>
        <v>0</v>
      </c>
      <c r="G556" s="97">
        <f>F556</f>
        <v>0</v>
      </c>
      <c r="H556" s="164"/>
      <c r="I556" s="101" t="s">
        <v>519</v>
      </c>
      <c r="J556" s="101" t="str">
        <f>VLOOKUP(I556,Presupuesto!$B$11:$C$565,2,0)</f>
        <v>DECIMOCUARTO MES</v>
      </c>
      <c r="K556" s="98" t="str">
        <f t="shared" si="16"/>
        <v>Posgrado</v>
      </c>
      <c r="L556" s="98" t="s">
        <v>395</v>
      </c>
    </row>
    <row r="557" spans="3:12" ht="15.75" thickBot="1">
      <c r="C557" s="137" t="s">
        <v>486</v>
      </c>
      <c r="D557" s="199"/>
      <c r="E557" s="152">
        <v>12</v>
      </c>
      <c r="F557" s="301">
        <f>HLOOKUP($C557,$BZ$2:$CM$3,2,0)</f>
        <v>29777.99</v>
      </c>
      <c r="G557" s="113">
        <f>D557*E557*F557</f>
        <v>0</v>
      </c>
      <c r="H557" s="166"/>
      <c r="I557" s="114" t="s">
        <v>496</v>
      </c>
      <c r="J557" s="114" t="str">
        <f>VLOOKUP(I557,Presupuesto!$B$11:$C$565,2,0)</f>
        <v>SUELDOS Y SALARIOS PERMANENTES</v>
      </c>
      <c r="K557" s="98" t="str">
        <f t="shared" si="16"/>
        <v>Posgrado</v>
      </c>
      <c r="L557" s="98" t="s">
        <v>395</v>
      </c>
    </row>
    <row r="558" spans="3:12">
      <c r="C558" s="171" t="s">
        <v>58</v>
      </c>
      <c r="D558" s="163"/>
      <c r="E558" s="154">
        <v>0</v>
      </c>
      <c r="F558" s="100">
        <f>IF(E557=0,"",(G557/E557)/12*E557)</f>
        <v>0</v>
      </c>
      <c r="G558" s="97">
        <f>F558</f>
        <v>0</v>
      </c>
      <c r="H558" s="164"/>
      <c r="I558" s="116" t="s">
        <v>516</v>
      </c>
      <c r="J558" s="116" t="str">
        <f>VLOOKUP(I558,Presupuesto!$B$11:$C$565,2,0)</f>
        <v>AGUINALDO Y DECIMO CUARTO MES</v>
      </c>
      <c r="K558" s="98" t="str">
        <f t="shared" si="16"/>
        <v>Posgrado</v>
      </c>
      <c r="L558" s="98" t="s">
        <v>395</v>
      </c>
    </row>
    <row r="559" spans="3:12" ht="15.75" thickBot="1">
      <c r="C559" s="172" t="s">
        <v>59</v>
      </c>
      <c r="D559" s="163"/>
      <c r="E559" s="154">
        <v>0</v>
      </c>
      <c r="F559" s="117">
        <f>IF(E557&lt;6,"",((E557-6)/12)*(G557/E557))</f>
        <v>0</v>
      </c>
      <c r="G559" s="97">
        <f>F559</f>
        <v>0</v>
      </c>
      <c r="H559" s="164"/>
      <c r="I559" s="101" t="s">
        <v>519</v>
      </c>
      <c r="J559" s="101" t="str">
        <f>VLOOKUP(I559,Presupuesto!$B$11:$C$565,2,0)</f>
        <v>DECIMOCUARTO MES</v>
      </c>
      <c r="K559" s="98" t="str">
        <f t="shared" si="16"/>
        <v>Posgrado</v>
      </c>
      <c r="L559" s="98" t="s">
        <v>395</v>
      </c>
    </row>
    <row r="560" spans="3:12" ht="15.75" thickBot="1">
      <c r="C560" s="137" t="s">
        <v>487</v>
      </c>
      <c r="D560" s="199"/>
      <c r="E560" s="152">
        <v>12</v>
      </c>
      <c r="F560" s="301">
        <f>HLOOKUP($C560,$BZ$2:$CM$3,2,0)</f>
        <v>27792.79</v>
      </c>
      <c r="G560" s="113">
        <f>D560*E560*F560</f>
        <v>0</v>
      </c>
      <c r="H560" s="166"/>
      <c r="I560" s="114" t="s">
        <v>496</v>
      </c>
      <c r="J560" s="114" t="str">
        <f>VLOOKUP(I560,Presupuesto!$B$11:$C$565,2,0)</f>
        <v>SUELDOS Y SALARIOS PERMANENTES</v>
      </c>
      <c r="K560" s="98" t="str">
        <f t="shared" si="16"/>
        <v>Posgrado</v>
      </c>
      <c r="L560" s="98" t="s">
        <v>395</v>
      </c>
    </row>
    <row r="561" spans="3:12">
      <c r="C561" s="171" t="s">
        <v>58</v>
      </c>
      <c r="D561" s="163"/>
      <c r="E561" s="154">
        <v>0</v>
      </c>
      <c r="F561" s="100">
        <f>IF(E560=0,"",(G560/E560)/12*E560)</f>
        <v>0</v>
      </c>
      <c r="G561" s="97">
        <f>F561</f>
        <v>0</v>
      </c>
      <c r="H561" s="164"/>
      <c r="I561" s="116" t="s">
        <v>516</v>
      </c>
      <c r="J561" s="116" t="str">
        <f>VLOOKUP(I561,Presupuesto!$B$11:$C$565,2,0)</f>
        <v>AGUINALDO Y DECIMO CUARTO MES</v>
      </c>
      <c r="K561" s="98" t="str">
        <f t="shared" si="16"/>
        <v>Posgrado</v>
      </c>
      <c r="L561" s="98" t="s">
        <v>395</v>
      </c>
    </row>
    <row r="562" spans="3:12" ht="15.75" thickBot="1">
      <c r="C562" s="172" t="s">
        <v>59</v>
      </c>
      <c r="D562" s="163"/>
      <c r="E562" s="154">
        <v>0</v>
      </c>
      <c r="F562" s="117">
        <f>IF(E560&lt;6,"",((E560-6)/12)*(G560/E560))</f>
        <v>0</v>
      </c>
      <c r="G562" s="97">
        <f>F562</f>
        <v>0</v>
      </c>
      <c r="H562" s="164"/>
      <c r="I562" s="101" t="s">
        <v>519</v>
      </c>
      <c r="J562" s="101" t="str">
        <f>VLOOKUP(I562,Presupuesto!$B$11:$C$565,2,0)</f>
        <v>DECIMOCUARTO MES</v>
      </c>
      <c r="K562" s="98" t="str">
        <f t="shared" si="16"/>
        <v>Posgrado</v>
      </c>
      <c r="L562" s="98" t="s">
        <v>395</v>
      </c>
    </row>
    <row r="563" spans="3:12" ht="15.75" thickBot="1">
      <c r="C563" s="137" t="s">
        <v>488</v>
      </c>
      <c r="D563" s="199"/>
      <c r="E563" s="152">
        <v>12</v>
      </c>
      <c r="F563" s="301">
        <f>HLOOKUP($C563,$BZ$2:$CM$3,2,0)</f>
        <v>18859.39</v>
      </c>
      <c r="G563" s="113">
        <f>D563*E563*F563</f>
        <v>0</v>
      </c>
      <c r="H563" s="166"/>
      <c r="I563" s="114" t="s">
        <v>496</v>
      </c>
      <c r="J563" s="114" t="str">
        <f>VLOOKUP(I563,Presupuesto!$B$11:$C$565,2,0)</f>
        <v>SUELDOS Y SALARIOS PERMANENTES</v>
      </c>
      <c r="K563" s="98" t="str">
        <f t="shared" si="16"/>
        <v>Posgrado</v>
      </c>
      <c r="L563" s="98" t="s">
        <v>395</v>
      </c>
    </row>
    <row r="564" spans="3:12">
      <c r="C564" s="171" t="s">
        <v>58</v>
      </c>
      <c r="D564" s="163"/>
      <c r="E564" s="154">
        <v>0</v>
      </c>
      <c r="F564" s="100">
        <f>IF(E563=0,"",(G563/E563)/12*E563)</f>
        <v>0</v>
      </c>
      <c r="G564" s="97">
        <f>F564</f>
        <v>0</v>
      </c>
      <c r="H564" s="164"/>
      <c r="I564" s="116" t="s">
        <v>516</v>
      </c>
      <c r="J564" s="116" t="str">
        <f>VLOOKUP(I564,Presupuesto!$B$11:$C$565,2,0)</f>
        <v>AGUINALDO Y DECIMO CUARTO MES</v>
      </c>
      <c r="K564" s="98" t="str">
        <f t="shared" si="16"/>
        <v>Posgrado</v>
      </c>
      <c r="L564" s="98" t="s">
        <v>395</v>
      </c>
    </row>
    <row r="565" spans="3:12" ht="15.75" thickBot="1">
      <c r="C565" s="172" t="s">
        <v>59</v>
      </c>
      <c r="D565" s="163"/>
      <c r="E565" s="154">
        <v>0</v>
      </c>
      <c r="F565" s="117">
        <f>IF(E563&lt;6,"",((E563-6)/12)*(G563/E563))</f>
        <v>0</v>
      </c>
      <c r="G565" s="97">
        <f>F565</f>
        <v>0</v>
      </c>
      <c r="H565" s="164"/>
      <c r="I565" s="101" t="s">
        <v>519</v>
      </c>
      <c r="J565" s="101" t="str">
        <f>VLOOKUP(I565,Presupuesto!$B$11:$C$565,2,0)</f>
        <v>DECIMOCUARTO MES</v>
      </c>
      <c r="K565" s="98" t="str">
        <f t="shared" si="16"/>
        <v>Posgrado</v>
      </c>
      <c r="L565" s="98" t="s">
        <v>395</v>
      </c>
    </row>
    <row r="566" spans="3:12" ht="15.75" thickBot="1">
      <c r="C566" s="137" t="s">
        <v>489</v>
      </c>
      <c r="D566" s="199"/>
      <c r="E566" s="152">
        <v>12</v>
      </c>
      <c r="F566" s="301">
        <f>HLOOKUP($C566,$BZ$2:$CM$3,2,0)</f>
        <v>17866.8</v>
      </c>
      <c r="G566" s="113">
        <f>D566*E566*F566</f>
        <v>0</v>
      </c>
      <c r="H566" s="166"/>
      <c r="I566" s="114" t="s">
        <v>496</v>
      </c>
      <c r="J566" s="114" t="str">
        <f>VLOOKUP(I566,Presupuesto!$B$11:$C$565,2,0)</f>
        <v>SUELDOS Y SALARIOS PERMANENTES</v>
      </c>
      <c r="K566" s="98" t="str">
        <f t="shared" si="16"/>
        <v>Posgrado</v>
      </c>
      <c r="L566" s="98" t="s">
        <v>395</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si="16"/>
        <v>Posgrado</v>
      </c>
      <c r="L567" s="98" t="s">
        <v>395</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6"/>
        <v>Posgrado</v>
      </c>
      <c r="L568" s="98" t="s">
        <v>395</v>
      </c>
    </row>
    <row r="569" spans="3:12" ht="15.75" thickBot="1">
      <c r="C569" s="137" t="s">
        <v>490</v>
      </c>
      <c r="D569" s="199"/>
      <c r="E569" s="152">
        <v>12</v>
      </c>
      <c r="F569" s="301">
        <f>HLOOKUP($C569,$BZ$2:$CM$3,2,0)</f>
        <v>13896.4</v>
      </c>
      <c r="G569" s="113">
        <f>D569*E569*F569</f>
        <v>0</v>
      </c>
      <c r="H569" s="166"/>
      <c r="I569" s="114" t="s">
        <v>496</v>
      </c>
      <c r="J569" s="114" t="str">
        <f>VLOOKUP(I569,Presupuesto!$B$11:$C$565,2,0)</f>
        <v>SUELDOS Y SALARIOS PERMANENTES</v>
      </c>
      <c r="K569" s="98" t="str">
        <f t="shared" si="16"/>
        <v>Posgrado</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6"/>
        <v>Posgrado</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6"/>
        <v>Posgrado</v>
      </c>
      <c r="L571" s="98" t="s">
        <v>395</v>
      </c>
    </row>
    <row r="572" spans="3:12" ht="15.75" thickBot="1">
      <c r="C572" s="137" t="s">
        <v>491</v>
      </c>
      <c r="D572" s="199"/>
      <c r="E572" s="152">
        <v>12</v>
      </c>
      <c r="F572" s="301">
        <f>HLOOKUP($C572,$BZ$2:$CM$3,2,0)</f>
        <v>15004.09</v>
      </c>
      <c r="G572" s="113">
        <f>D572*E572*F572</f>
        <v>0</v>
      </c>
      <c r="H572" s="166"/>
      <c r="I572" s="114" t="s">
        <v>496</v>
      </c>
      <c r="J572" s="114" t="str">
        <f>VLOOKUP(I572,Presupuesto!$B$11:$C$565,2,0)</f>
        <v>SUELDOS Y SALARIOS PERMANENTES</v>
      </c>
      <c r="K572" s="98" t="str">
        <f t="shared" si="16"/>
        <v>Posgrado</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6"/>
        <v>Posgrado</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6"/>
        <v>Posgrado</v>
      </c>
      <c r="L574" s="98" t="s">
        <v>395</v>
      </c>
    </row>
    <row r="575" spans="3:12" ht="15.75" thickBot="1">
      <c r="C575" s="137" t="s">
        <v>492</v>
      </c>
      <c r="D575" s="199"/>
      <c r="E575" s="152">
        <v>12</v>
      </c>
      <c r="F575" s="301">
        <f>HLOOKUP($C575,$BZ$2:$CM$3,2,0)</f>
        <v>13238.9</v>
      </c>
      <c r="G575" s="113">
        <f>D575*E575*F575</f>
        <v>0</v>
      </c>
      <c r="H575" s="166"/>
      <c r="I575" s="114" t="s">
        <v>496</v>
      </c>
      <c r="J575" s="114" t="str">
        <f>VLOOKUP(I575,Presupuesto!$B$11:$C$565,2,0)</f>
        <v>SUELDOS Y SALARIOS PERMANENTES</v>
      </c>
      <c r="K575" s="98" t="str">
        <f t="shared" si="16"/>
        <v>Posgrado</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6"/>
        <v>Posgrado</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6"/>
        <v>Posgrado</v>
      </c>
      <c r="L577" s="98" t="s">
        <v>395</v>
      </c>
    </row>
    <row r="578" spans="3:12" ht="15.75" thickBot="1">
      <c r="C578" s="137" t="s">
        <v>493</v>
      </c>
      <c r="D578" s="199"/>
      <c r="E578" s="152">
        <v>12</v>
      </c>
      <c r="F578" s="301">
        <f>HLOOKUP($C578,$BZ$2:$CM$3,2,0)</f>
        <v>12356.31</v>
      </c>
      <c r="G578" s="113">
        <f>D578*E578*F578</f>
        <v>0</v>
      </c>
      <c r="H578" s="166"/>
      <c r="I578" s="114" t="s">
        <v>496</v>
      </c>
      <c r="J578" s="114" t="str">
        <f>VLOOKUP(I578,Presupuesto!$B$11:$C$565,2,0)</f>
        <v>SUELDOS Y SALARIOS PERMANENTES</v>
      </c>
      <c r="K578" s="98" t="str">
        <f t="shared" ref="K578:K595" si="17">$K$545</f>
        <v>Posgrado</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7"/>
        <v>Posgrado</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7"/>
        <v>Posgrado</v>
      </c>
      <c r="L580" s="98" t="s">
        <v>395</v>
      </c>
    </row>
    <row r="581" spans="3:12" ht="15.75" thickBot="1">
      <c r="C581" s="137" t="s">
        <v>494</v>
      </c>
      <c r="D581" s="199"/>
      <c r="E581" s="152">
        <v>12</v>
      </c>
      <c r="F581" s="301">
        <f>HLOOKUP($C581,$BZ$2:$CM$3,2,0)</f>
        <v>463.22</v>
      </c>
      <c r="G581" s="113">
        <f>D581*E581*F581</f>
        <v>0</v>
      </c>
      <c r="H581" s="166"/>
      <c r="I581" s="114" t="s">
        <v>496</v>
      </c>
      <c r="J581" s="114" t="str">
        <f>VLOOKUP(I581,Presupuesto!$B$11:$C$565,2,0)</f>
        <v>SUELDOS Y SALARIOS PERMANENTES</v>
      </c>
      <c r="K581" s="98" t="str">
        <f t="shared" si="17"/>
        <v>Posgrado</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7"/>
        <v>Posgrado</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7"/>
        <v>Posgrado</v>
      </c>
      <c r="L583" s="98" t="s">
        <v>395</v>
      </c>
    </row>
    <row r="584" spans="3:12" ht="15.75" thickBot="1">
      <c r="C584" s="137" t="s">
        <v>495</v>
      </c>
      <c r="D584" s="199"/>
      <c r="E584" s="152">
        <v>12</v>
      </c>
      <c r="F584" s="301">
        <f>HLOOKUP($C584,$BZ$2:$CM$3,2,0)</f>
        <v>2007.3</v>
      </c>
      <c r="G584" s="113">
        <f>D584*E584*F584</f>
        <v>0</v>
      </c>
      <c r="H584" s="166"/>
      <c r="I584" s="114" t="s">
        <v>496</v>
      </c>
      <c r="J584" s="114" t="str">
        <f>VLOOKUP(I584,Presupuesto!$B$11:$C$565,2,0)</f>
        <v>SUELDOS Y SALARIOS PERMANENTES</v>
      </c>
      <c r="K584" s="98" t="str">
        <f t="shared" si="17"/>
        <v>Posgrado</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7"/>
        <v>Posgrado</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7"/>
        <v>Posgrado</v>
      </c>
      <c r="L586" s="98" t="s">
        <v>395</v>
      </c>
    </row>
    <row r="587" spans="3:12" ht="15.75" thickBot="1">
      <c r="C587" s="140" t="s">
        <v>83</v>
      </c>
      <c r="D587" s="199"/>
      <c r="E587" s="152">
        <v>12</v>
      </c>
      <c r="F587" s="139">
        <v>30000</v>
      </c>
      <c r="G587" s="113">
        <f>D587*E587*F587</f>
        <v>0</v>
      </c>
      <c r="H587" s="166"/>
      <c r="I587" s="114" t="s">
        <v>564</v>
      </c>
      <c r="J587" s="114" t="str">
        <f>VLOOKUP(I587,Presupuesto!$B$11:$C$565,2,0)</f>
        <v>CONTRATOS ESPECIALES</v>
      </c>
      <c r="K587" s="98" t="str">
        <f t="shared" si="17"/>
        <v>Posgrado</v>
      </c>
      <c r="L587" s="98" t="s">
        <v>395</v>
      </c>
    </row>
    <row r="588" spans="3:12">
      <c r="C588" s="171" t="s">
        <v>58</v>
      </c>
      <c r="D588" s="163"/>
      <c r="E588" s="154">
        <v>0</v>
      </c>
      <c r="F588" s="117">
        <f>IF(E587=0,"",(G587/E587)/12*E587)</f>
        <v>0</v>
      </c>
      <c r="G588" s="97">
        <f>F588</f>
        <v>0</v>
      </c>
      <c r="H588" s="164"/>
      <c r="I588" s="101" t="s">
        <v>564</v>
      </c>
      <c r="J588" s="101" t="str">
        <f>VLOOKUP(I588,Presupuesto!$B$11:$C$565,2,0)</f>
        <v>CONTRATOS ESPECIALES</v>
      </c>
      <c r="K588" s="98" t="str">
        <f t="shared" si="17"/>
        <v>Posgrado</v>
      </c>
      <c r="L588" s="98" t="s">
        <v>394</v>
      </c>
    </row>
    <row r="589" spans="3:12" ht="15.75" thickBot="1">
      <c r="C589" s="172" t="s">
        <v>59</v>
      </c>
      <c r="D589" s="163"/>
      <c r="E589" s="154">
        <v>0</v>
      </c>
      <c r="F589" s="100">
        <f>IF(E587&lt;6,"",((E587-6)/12)*(G587/E587))</f>
        <v>0</v>
      </c>
      <c r="G589" s="97">
        <f>F589</f>
        <v>0</v>
      </c>
      <c r="H589" s="164"/>
      <c r="I589" s="101" t="s">
        <v>564</v>
      </c>
      <c r="J589" s="101" t="str">
        <f>VLOOKUP(I589,Presupuesto!$B$11:$C$565,2,0)</f>
        <v>CONTRATOS ESPECIALES</v>
      </c>
      <c r="K589" s="98" t="str">
        <f t="shared" si="17"/>
        <v>Posgrado</v>
      </c>
      <c r="L589" s="98" t="s">
        <v>399</v>
      </c>
    </row>
    <row r="590" spans="3:12" ht="15.75" thickBot="1">
      <c r="C590" s="140" t="s">
        <v>60</v>
      </c>
      <c r="D590" s="199"/>
      <c r="E590" s="152">
        <v>12</v>
      </c>
      <c r="F590" s="118">
        <v>30000</v>
      </c>
      <c r="G590" s="113">
        <f>D590*E590*F590</f>
        <v>0</v>
      </c>
      <c r="H590" s="166"/>
      <c r="I590" s="114" t="s">
        <v>705</v>
      </c>
      <c r="J590" s="114" t="str">
        <f>VLOOKUP(I590,Presupuesto!$B$11:$C$565,2,0)</f>
        <v>OTROS SERVICIOS TECNICOS Y PROFESIONALES</v>
      </c>
      <c r="K590" s="98" t="str">
        <f t="shared" si="17"/>
        <v>Posgrado</v>
      </c>
      <c r="L590" s="98" t="s">
        <v>394</v>
      </c>
    </row>
    <row r="591" spans="3:12">
      <c r="C591" s="171" t="s">
        <v>58</v>
      </c>
      <c r="D591" s="163"/>
      <c r="E591" s="154">
        <v>0</v>
      </c>
      <c r="F591" s="100">
        <v>0</v>
      </c>
      <c r="G591" s="97">
        <f>F591</f>
        <v>0</v>
      </c>
      <c r="H591" s="164"/>
      <c r="I591" s="101" t="s">
        <v>705</v>
      </c>
      <c r="J591" s="101" t="str">
        <f>VLOOKUP(I591,Presupuesto!$B$11:$C$565,2,0)</f>
        <v>OTROS SERVICIOS TECNICOS Y PROFESIONALES</v>
      </c>
      <c r="K591" s="98" t="str">
        <f t="shared" si="17"/>
        <v>Posgrado</v>
      </c>
      <c r="L591" s="98" t="s">
        <v>394</v>
      </c>
    </row>
    <row r="592" spans="3:12" ht="15.75" thickBot="1">
      <c r="C592" s="172" t="s">
        <v>59</v>
      </c>
      <c r="D592" s="163"/>
      <c r="E592" s="154">
        <v>0</v>
      </c>
      <c r="F592" s="100">
        <v>0</v>
      </c>
      <c r="G592" s="97">
        <f>F592</f>
        <v>0</v>
      </c>
      <c r="H592" s="164"/>
      <c r="I592" s="101" t="s">
        <v>705</v>
      </c>
      <c r="J592" s="101" t="str">
        <f>VLOOKUP(I592,Presupuesto!$B$11:$C$565,2,0)</f>
        <v>OTROS SERVICIOS TECNICOS Y PROFESIONALES</v>
      </c>
      <c r="K592" s="98" t="str">
        <f t="shared" si="17"/>
        <v>Posgrado</v>
      </c>
      <c r="L592" s="98" t="s">
        <v>394</v>
      </c>
    </row>
    <row r="593" spans="3:12" ht="15.75" thickBot="1">
      <c r="C593" s="140" t="s">
        <v>61</v>
      </c>
      <c r="D593" s="199"/>
      <c r="E593" s="152">
        <v>12</v>
      </c>
      <c r="F593" s="118">
        <v>30000</v>
      </c>
      <c r="G593" s="113">
        <f>D593*E593*F593</f>
        <v>0</v>
      </c>
      <c r="H593" s="166"/>
      <c r="I593" s="114" t="s">
        <v>496</v>
      </c>
      <c r="J593" s="114" t="str">
        <f>VLOOKUP(I593,Presupuesto!$B$11:$C$565,2,0)</f>
        <v>SUELDOS Y SALARIOS PERMANENTES</v>
      </c>
      <c r="K593" s="98" t="str">
        <f t="shared" si="17"/>
        <v>Posgrado</v>
      </c>
      <c r="L593" s="98" t="s">
        <v>394</v>
      </c>
    </row>
    <row r="594" spans="3:12">
      <c r="C594" s="171" t="s">
        <v>58</v>
      </c>
      <c r="D594" s="169"/>
      <c r="E594" s="131">
        <v>0</v>
      </c>
      <c r="F594" s="119">
        <f>IF(E593=0,"",(G593/E593)/12*E593)</f>
        <v>0</v>
      </c>
      <c r="G594" s="120">
        <f>F594</f>
        <v>0</v>
      </c>
      <c r="H594" s="164"/>
      <c r="I594" s="101" t="s">
        <v>516</v>
      </c>
      <c r="J594" s="101" t="str">
        <f>VLOOKUP(I594,Presupuesto!$B$11:$C$565,2,0)</f>
        <v>AGUINALDO Y DECIMO CUARTO MES</v>
      </c>
      <c r="K594" s="98" t="str">
        <f t="shared" si="17"/>
        <v>Posgrado</v>
      </c>
      <c r="L594" s="98" t="s">
        <v>394</v>
      </c>
    </row>
    <row r="595" spans="3:12" ht="15.75" thickBot="1">
      <c r="C595" s="173" t="s">
        <v>59</v>
      </c>
      <c r="D595" s="162"/>
      <c r="E595" s="132">
        <v>0</v>
      </c>
      <c r="F595" s="105">
        <f>IF(E593&lt;6,"",((E593-6)/12)*(G593/E593))</f>
        <v>0</v>
      </c>
      <c r="G595" s="105">
        <f>F595</f>
        <v>0</v>
      </c>
      <c r="H595" s="162"/>
      <c r="I595" s="106" t="s">
        <v>519</v>
      </c>
      <c r="J595" s="124" t="str">
        <f>VLOOKUP(I595,Presupuesto!$B$11:$C$565,2,0)</f>
        <v>DECIMOCUARTO MES</v>
      </c>
      <c r="K595" s="106" t="str">
        <f t="shared" si="17"/>
        <v>Posgrado</v>
      </c>
      <c r="L595" s="124" t="s">
        <v>394</v>
      </c>
    </row>
    <row r="597" spans="3:12" ht="15.75" thickBot="1"/>
    <row r="598" spans="3:12" ht="15.75" thickBot="1">
      <c r="C598" s="69" t="s">
        <v>43</v>
      </c>
      <c r="D598" s="30">
        <f>SUM(G605:G655)</f>
        <v>0</v>
      </c>
      <c r="E598" s="93"/>
      <c r="F598" s="93"/>
      <c r="G598" s="93"/>
      <c r="H598" s="76"/>
      <c r="I598" s="76"/>
      <c r="J598" s="76"/>
    </row>
    <row r="599" spans="3:12">
      <c r="D599" s="31"/>
      <c r="E599" s="93"/>
      <c r="F599" s="93"/>
      <c r="G599" s="93"/>
      <c r="H599" s="76"/>
      <c r="I599" s="76"/>
      <c r="J599" s="76"/>
    </row>
    <row r="600" spans="3:12">
      <c r="D600" s="31"/>
      <c r="E600" s="93"/>
      <c r="F600" s="93"/>
      <c r="G600" s="93"/>
      <c r="H600" s="76"/>
      <c r="I600" s="76"/>
      <c r="J600" s="76"/>
      <c r="K600" s="153"/>
    </row>
    <row r="601" spans="3:12" ht="15.75">
      <c r="C601" s="202" t="s">
        <v>392</v>
      </c>
      <c r="D601" s="361"/>
      <c r="E601" s="93"/>
      <c r="F601" s="93"/>
      <c r="G601" s="93"/>
      <c r="H601" s="76"/>
      <c r="I601" s="76"/>
      <c r="J601" s="76"/>
      <c r="K601" s="153"/>
    </row>
    <row r="602" spans="3:12" ht="18.75">
      <c r="C602" s="210" t="e">
        <f>IFERROR(VLOOKUP(D601,'1. Desarrollo e Innov. Curricu.'!$E:$F,2,FALSE),IFERROR(VLOOKUP(D601,'2. Investigación Científica'!$E:$F,2,FALSE),IFERROR(VLOOKUP(D601,'3. Vinculación Univ. Sociedad'!$E:$F,2,FALSE),IFERROR(VLOOKUP(D601,'4. Docencia y Profesorado Univ.'!$E:$F,2,FALSE),IFERROR(VLOOKUP(D601,'5. Estudiantes y Graduados'!$E:$F,2,FALSE),IFERROR(VLOOKUP(D601,'11. Gestion Administrativa'!$E:$F,2,FALSE),IFERROR(VLOOKUP(D601,'13. Gestión Académica'!$E:$F,2,FALSE),IFERROR(VLOOKUP(D601,'8. Asegura. de la Calid. y M'!$E:$F,2,FALSE),IFERROR(VLOOKUP(D601,'6. Gestión del Conocimiento'!$E:$F,2,FALSE),IFERROR(VLOOKUP(D601,'15. Gobernabilidad y Proceso...'!$E:$F,2,FALSE),IFERROR(VLOOKUP(D601,'12. Gestión del Talento Humano'!$E:$F,2,FALSE),IFERROR(VLOOKUP(D601,'14. Internacional... de la E.S.'!$E:$F,2,FALSE),IFERROR(VLOOKUP(D601,'10. Posgrado'!$E:$F,2,FALSE),IFERROR(VLOOKUP(D601,'17. Gestión TIC'!$E:$F,2,FALSE),IFERROR(VLOOKUP(D601,'16. Desa. del Sistema Educ.Sup.'!$E:$F,2,FALSE),IFERROR(VLOOKUP(D601,'9. Cultura de Inno. Insti...'!$E:$F,2,FALSE),VLOOKUP(D601,'7. Lo Esencial de la Reforma U.'!$E:$F,2,0)))))))))))))))))</f>
        <v>#N/A</v>
      </c>
      <c r="D602" s="31"/>
      <c r="E602" s="93"/>
      <c r="F602" s="93"/>
      <c r="G602" s="93"/>
      <c r="H602" s="76"/>
      <c r="I602" s="76"/>
      <c r="J602" s="76"/>
      <c r="K602" s="153"/>
    </row>
    <row r="603" spans="3:12" ht="15.75" thickBot="1">
      <c r="C603" s="177"/>
      <c r="D603" s="31"/>
      <c r="E603" s="93"/>
      <c r="F603" s="93"/>
      <c r="G603" s="93"/>
      <c r="H603" s="76"/>
      <c r="I603" s="76"/>
      <c r="J603" s="76"/>
      <c r="K603" s="153"/>
    </row>
    <row r="604" spans="3:12" ht="30.75" thickBot="1">
      <c r="C604" s="134" t="s">
        <v>44</v>
      </c>
      <c r="D604" s="138" t="s">
        <v>55</v>
      </c>
      <c r="E604" s="170" t="s">
        <v>56</v>
      </c>
      <c r="F604" s="138" t="s">
        <v>57</v>
      </c>
      <c r="G604" s="135" t="s">
        <v>27</v>
      </c>
      <c r="H604" s="133" t="s">
        <v>131</v>
      </c>
      <c r="I604" s="136" t="s">
        <v>46</v>
      </c>
      <c r="J604" s="136" t="s">
        <v>132</v>
      </c>
      <c r="K604" s="136" t="s">
        <v>410</v>
      </c>
      <c r="L604" s="136" t="s">
        <v>411</v>
      </c>
    </row>
    <row r="605" spans="3:12" ht="15.75" thickBot="1">
      <c r="C605" s="137" t="s">
        <v>482</v>
      </c>
      <c r="D605" s="199"/>
      <c r="E605" s="152">
        <v>12</v>
      </c>
      <c r="F605" s="301">
        <f>HLOOKUP($C605,$BZ$2:$CM$3,2,0)</f>
        <v>43674.39</v>
      </c>
      <c r="G605" s="113">
        <f>D605*E605*F605</f>
        <v>0</v>
      </c>
      <c r="H605" s="166"/>
      <c r="I605" s="114" t="s">
        <v>496</v>
      </c>
      <c r="J605" s="114" t="str">
        <f>VLOOKUP(I605,Presupuesto!$B$11:$C$565,2,0)</f>
        <v>SUELDOS Y SALARIOS PERMANENTES</v>
      </c>
      <c r="K605" s="218" t="s">
        <v>1441</v>
      </c>
      <c r="L605" s="98" t="s">
        <v>394</v>
      </c>
    </row>
    <row r="606" spans="3:12">
      <c r="C606" s="171" t="s">
        <v>58</v>
      </c>
      <c r="D606" s="163"/>
      <c r="E606" s="154">
        <v>0</v>
      </c>
      <c r="F606" s="100">
        <f>IF(E605=0,"",(G605/E605)/12*E605)</f>
        <v>0</v>
      </c>
      <c r="G606" s="97">
        <f>F606</f>
        <v>0</v>
      </c>
      <c r="H606" s="164"/>
      <c r="I606" s="116" t="s">
        <v>516</v>
      </c>
      <c r="J606" s="116" t="str">
        <f>VLOOKUP(I606,Presupuesto!$B$11:$C$565,2,0)</f>
        <v>AGUINALDO Y DECIMO CUARTO MES</v>
      </c>
      <c r="K606" s="98" t="str">
        <f t="shared" ref="K606:K637" si="18">$K$605</f>
        <v>Posgrado</v>
      </c>
      <c r="L606" s="98" t="s">
        <v>412</v>
      </c>
    </row>
    <row r="607" spans="3:12" ht="15.75" thickBot="1">
      <c r="C607" s="172" t="s">
        <v>59</v>
      </c>
      <c r="D607" s="163"/>
      <c r="E607" s="154">
        <v>0</v>
      </c>
      <c r="F607" s="117">
        <f>IF(E605&lt;6,"",((E605-6)/12)*(G605/E605))</f>
        <v>0</v>
      </c>
      <c r="G607" s="97">
        <f>F607</f>
        <v>0</v>
      </c>
      <c r="H607" s="164"/>
      <c r="I607" s="101" t="s">
        <v>519</v>
      </c>
      <c r="J607" s="101" t="str">
        <f>VLOOKUP(I607,Presupuesto!$B$11:$C$565,2,0)</f>
        <v>DECIMOCUARTO MES</v>
      </c>
      <c r="K607" s="98" t="str">
        <f t="shared" si="18"/>
        <v>Posgrado</v>
      </c>
      <c r="L607" s="98" t="s">
        <v>395</v>
      </c>
    </row>
    <row r="608" spans="3:12" ht="15.75" thickBot="1">
      <c r="C608" s="137" t="s">
        <v>483</v>
      </c>
      <c r="D608" s="199"/>
      <c r="E608" s="152">
        <v>12</v>
      </c>
      <c r="F608" s="301">
        <f>HLOOKUP($C608,$BZ$2:$CM$3,2,0)</f>
        <v>39703.99</v>
      </c>
      <c r="G608" s="113">
        <f>D608*E608*F608</f>
        <v>0</v>
      </c>
      <c r="H608" s="166"/>
      <c r="I608" s="114" t="s">
        <v>496</v>
      </c>
      <c r="J608" s="114" t="str">
        <f>VLOOKUP(I608,Presupuesto!$B$11:$C$565,2,0)</f>
        <v>SUELDOS Y SALARIOS PERMANENTES</v>
      </c>
      <c r="K608" s="98" t="str">
        <f t="shared" si="18"/>
        <v>Posgrado</v>
      </c>
      <c r="L608" s="98" t="s">
        <v>395</v>
      </c>
    </row>
    <row r="609" spans="3:12">
      <c r="C609" s="171" t="s">
        <v>58</v>
      </c>
      <c r="D609" s="163"/>
      <c r="E609" s="154">
        <v>0</v>
      </c>
      <c r="F609" s="100">
        <f>IF(E608=0,"",(G608/E608)/12*E608)</f>
        <v>0</v>
      </c>
      <c r="G609" s="97">
        <f>F609</f>
        <v>0</v>
      </c>
      <c r="H609" s="164"/>
      <c r="I609" s="116" t="s">
        <v>516</v>
      </c>
      <c r="J609" s="116" t="str">
        <f>VLOOKUP(I609,Presupuesto!$B$11:$C$565,2,0)</f>
        <v>AGUINALDO Y DECIMO CUARTO MES</v>
      </c>
      <c r="K609" s="98" t="str">
        <f t="shared" si="18"/>
        <v>Posgrado</v>
      </c>
      <c r="L609" s="98" t="s">
        <v>395</v>
      </c>
    </row>
    <row r="610" spans="3:12" ht="15.75" thickBot="1">
      <c r="C610" s="172" t="s">
        <v>59</v>
      </c>
      <c r="D610" s="163"/>
      <c r="E610" s="154">
        <v>0</v>
      </c>
      <c r="F610" s="117">
        <f>IF(E608&lt;6,"",((E608-6)/12)*(G608/E608))</f>
        <v>0</v>
      </c>
      <c r="G610" s="97">
        <f>F610</f>
        <v>0</v>
      </c>
      <c r="H610" s="164"/>
      <c r="I610" s="101" t="s">
        <v>519</v>
      </c>
      <c r="J610" s="101" t="str">
        <f>VLOOKUP(I610,Presupuesto!$B$11:$C$565,2,0)</f>
        <v>DECIMOCUARTO MES</v>
      </c>
      <c r="K610" s="98" t="str">
        <f t="shared" si="18"/>
        <v>Posgrado</v>
      </c>
      <c r="L610" s="98" t="s">
        <v>395</v>
      </c>
    </row>
    <row r="611" spans="3:12" ht="15.75" thickBot="1">
      <c r="C611" s="137" t="s">
        <v>484</v>
      </c>
      <c r="D611" s="199"/>
      <c r="E611" s="152">
        <v>12</v>
      </c>
      <c r="F611" s="301">
        <f>HLOOKUP($C611,$BZ$2:$CM$3,2,0)</f>
        <v>35733.589999999997</v>
      </c>
      <c r="G611" s="113">
        <f>D611*E611*F611</f>
        <v>0</v>
      </c>
      <c r="H611" s="166"/>
      <c r="I611" s="114" t="s">
        <v>496</v>
      </c>
      <c r="J611" s="114" t="str">
        <f>VLOOKUP(I611,Presupuesto!$B$11:$C$565,2,0)</f>
        <v>SUELDOS Y SALARIOS PERMANENTES</v>
      </c>
      <c r="K611" s="98" t="str">
        <f t="shared" si="18"/>
        <v>Posgrado</v>
      </c>
      <c r="L611" s="98" t="s">
        <v>395</v>
      </c>
    </row>
    <row r="612" spans="3:12">
      <c r="C612" s="171" t="s">
        <v>58</v>
      </c>
      <c r="D612" s="163"/>
      <c r="E612" s="154">
        <v>0</v>
      </c>
      <c r="F612" s="100">
        <f>IF(E611=0,"",(G611/E611)/12*E611)</f>
        <v>0</v>
      </c>
      <c r="G612" s="97">
        <f>F612</f>
        <v>0</v>
      </c>
      <c r="H612" s="164"/>
      <c r="I612" s="116" t="s">
        <v>516</v>
      </c>
      <c r="J612" s="116" t="str">
        <f>VLOOKUP(I612,Presupuesto!$B$11:$C$565,2,0)</f>
        <v>AGUINALDO Y DECIMO CUARTO MES</v>
      </c>
      <c r="K612" s="98" t="str">
        <f t="shared" si="18"/>
        <v>Posgrado</v>
      </c>
      <c r="L612" s="98" t="s">
        <v>395</v>
      </c>
    </row>
    <row r="613" spans="3:12" ht="15.75" thickBot="1">
      <c r="C613" s="172" t="s">
        <v>59</v>
      </c>
      <c r="D613" s="163"/>
      <c r="E613" s="154">
        <v>0</v>
      </c>
      <c r="F613" s="117">
        <f>IF(E611&lt;6,"",((E611-6)/12)*(G611/E611))</f>
        <v>0</v>
      </c>
      <c r="G613" s="97">
        <f>F613</f>
        <v>0</v>
      </c>
      <c r="H613" s="164"/>
      <c r="I613" s="101" t="s">
        <v>519</v>
      </c>
      <c r="J613" s="101" t="str">
        <f>VLOOKUP(I613,Presupuesto!$B$11:$C$565,2,0)</f>
        <v>DECIMOCUARTO MES</v>
      </c>
      <c r="K613" s="98" t="str">
        <f t="shared" si="18"/>
        <v>Posgrado</v>
      </c>
      <c r="L613" s="98" t="s">
        <v>395</v>
      </c>
    </row>
    <row r="614" spans="3:12" ht="15.75" thickBot="1">
      <c r="C614" s="137" t="s">
        <v>485</v>
      </c>
      <c r="D614" s="199"/>
      <c r="E614" s="152">
        <v>12</v>
      </c>
      <c r="F614" s="301">
        <f>HLOOKUP($C614,$BZ$2:$CM$3,2,0)</f>
        <v>31763.19</v>
      </c>
      <c r="G614" s="113">
        <f>D614*E614*F614</f>
        <v>0</v>
      </c>
      <c r="H614" s="166"/>
      <c r="I614" s="114" t="s">
        <v>496</v>
      </c>
      <c r="J614" s="114" t="str">
        <f>VLOOKUP(I614,Presupuesto!$B$11:$C$565,2,0)</f>
        <v>SUELDOS Y SALARIOS PERMANENTES</v>
      </c>
      <c r="K614" s="98" t="str">
        <f t="shared" si="18"/>
        <v>Posgrado</v>
      </c>
      <c r="L614" s="98" t="s">
        <v>395</v>
      </c>
    </row>
    <row r="615" spans="3:12">
      <c r="C615" s="171" t="s">
        <v>58</v>
      </c>
      <c r="D615" s="163"/>
      <c r="E615" s="154">
        <v>0</v>
      </c>
      <c r="F615" s="100">
        <f>IF(E614=0,"",(G614/E614)/12*E614)</f>
        <v>0</v>
      </c>
      <c r="G615" s="97">
        <f>F615</f>
        <v>0</v>
      </c>
      <c r="H615" s="164"/>
      <c r="I615" s="116" t="s">
        <v>516</v>
      </c>
      <c r="J615" s="116" t="str">
        <f>VLOOKUP(I615,Presupuesto!$B$11:$C$565,2,0)</f>
        <v>AGUINALDO Y DECIMO CUARTO MES</v>
      </c>
      <c r="K615" s="98" t="str">
        <f t="shared" si="18"/>
        <v>Posgrado</v>
      </c>
      <c r="L615" s="98" t="s">
        <v>395</v>
      </c>
    </row>
    <row r="616" spans="3:12" ht="15.75" thickBot="1">
      <c r="C616" s="172" t="s">
        <v>59</v>
      </c>
      <c r="D616" s="163"/>
      <c r="E616" s="154">
        <v>0</v>
      </c>
      <c r="F616" s="117">
        <f>IF(E614&lt;6,"",((E614-6)/12)*(G614/E614))</f>
        <v>0</v>
      </c>
      <c r="G616" s="97">
        <f>F616</f>
        <v>0</v>
      </c>
      <c r="H616" s="164"/>
      <c r="I616" s="101" t="s">
        <v>519</v>
      </c>
      <c r="J616" s="101" t="str">
        <f>VLOOKUP(I616,Presupuesto!$B$11:$C$565,2,0)</f>
        <v>DECIMOCUARTO MES</v>
      </c>
      <c r="K616" s="98" t="str">
        <f t="shared" si="18"/>
        <v>Posgrado</v>
      </c>
      <c r="L616" s="98" t="s">
        <v>395</v>
      </c>
    </row>
    <row r="617" spans="3:12" ht="15.75" thickBot="1">
      <c r="C617" s="137" t="s">
        <v>486</v>
      </c>
      <c r="D617" s="199"/>
      <c r="E617" s="152">
        <v>12</v>
      </c>
      <c r="F617" s="301">
        <f>HLOOKUP($C617,$BZ$2:$CM$3,2,0)</f>
        <v>29777.99</v>
      </c>
      <c r="G617" s="113">
        <f>D617*E617*F617</f>
        <v>0</v>
      </c>
      <c r="H617" s="166"/>
      <c r="I617" s="114" t="s">
        <v>496</v>
      </c>
      <c r="J617" s="114" t="str">
        <f>VLOOKUP(I617,Presupuesto!$B$11:$C$565,2,0)</f>
        <v>SUELDOS Y SALARIOS PERMANENTES</v>
      </c>
      <c r="K617" s="98" t="str">
        <f t="shared" si="18"/>
        <v>Posgrado</v>
      </c>
      <c r="L617" s="98" t="s">
        <v>395</v>
      </c>
    </row>
    <row r="618" spans="3:12">
      <c r="C618" s="171" t="s">
        <v>58</v>
      </c>
      <c r="D618" s="163"/>
      <c r="E618" s="154">
        <v>0</v>
      </c>
      <c r="F618" s="100">
        <f>IF(E617=0,"",(G617/E617)/12*E617)</f>
        <v>0</v>
      </c>
      <c r="G618" s="97">
        <f>F618</f>
        <v>0</v>
      </c>
      <c r="H618" s="164"/>
      <c r="I618" s="116" t="s">
        <v>516</v>
      </c>
      <c r="J618" s="116" t="str">
        <f>VLOOKUP(I618,Presupuesto!$B$11:$C$565,2,0)</f>
        <v>AGUINALDO Y DECIMO CUARTO MES</v>
      </c>
      <c r="K618" s="98" t="str">
        <f t="shared" si="18"/>
        <v>Posgrado</v>
      </c>
      <c r="L618" s="98" t="s">
        <v>395</v>
      </c>
    </row>
    <row r="619" spans="3:12" ht="15.75" thickBot="1">
      <c r="C619" s="172" t="s">
        <v>59</v>
      </c>
      <c r="D619" s="163"/>
      <c r="E619" s="154">
        <v>0</v>
      </c>
      <c r="F619" s="117">
        <f>IF(E617&lt;6,"",((E617-6)/12)*(G617/E617))</f>
        <v>0</v>
      </c>
      <c r="G619" s="97">
        <f>F619</f>
        <v>0</v>
      </c>
      <c r="H619" s="164"/>
      <c r="I619" s="101" t="s">
        <v>519</v>
      </c>
      <c r="J619" s="101" t="str">
        <f>VLOOKUP(I619,Presupuesto!$B$11:$C$565,2,0)</f>
        <v>DECIMOCUARTO MES</v>
      </c>
      <c r="K619" s="98" t="str">
        <f t="shared" si="18"/>
        <v>Posgrado</v>
      </c>
      <c r="L619" s="98" t="s">
        <v>395</v>
      </c>
    </row>
    <row r="620" spans="3:12" ht="15.75" thickBot="1">
      <c r="C620" s="137" t="s">
        <v>487</v>
      </c>
      <c r="D620" s="199"/>
      <c r="E620" s="152">
        <v>12</v>
      </c>
      <c r="F620" s="301">
        <f>HLOOKUP($C620,$BZ$2:$CM$3,2,0)</f>
        <v>27792.79</v>
      </c>
      <c r="G620" s="113">
        <f>D620*E620*F620</f>
        <v>0</v>
      </c>
      <c r="H620" s="166"/>
      <c r="I620" s="114" t="s">
        <v>496</v>
      </c>
      <c r="J620" s="114" t="str">
        <f>VLOOKUP(I620,Presupuesto!$B$11:$C$565,2,0)</f>
        <v>SUELDOS Y SALARIOS PERMANENTES</v>
      </c>
      <c r="K620" s="98" t="str">
        <f t="shared" si="18"/>
        <v>Posgrado</v>
      </c>
      <c r="L620" s="98" t="s">
        <v>395</v>
      </c>
    </row>
    <row r="621" spans="3:12">
      <c r="C621" s="171" t="s">
        <v>58</v>
      </c>
      <c r="D621" s="163"/>
      <c r="E621" s="154">
        <v>0</v>
      </c>
      <c r="F621" s="100">
        <f>IF(E620=0,"",(G620/E620)/12*E620)</f>
        <v>0</v>
      </c>
      <c r="G621" s="97">
        <f>F621</f>
        <v>0</v>
      </c>
      <c r="H621" s="164"/>
      <c r="I621" s="116" t="s">
        <v>516</v>
      </c>
      <c r="J621" s="116" t="str">
        <f>VLOOKUP(I621,Presupuesto!$B$11:$C$565,2,0)</f>
        <v>AGUINALDO Y DECIMO CUARTO MES</v>
      </c>
      <c r="K621" s="98" t="str">
        <f t="shared" si="18"/>
        <v>Posgrado</v>
      </c>
      <c r="L621" s="98" t="s">
        <v>395</v>
      </c>
    </row>
    <row r="622" spans="3:12" ht="15.75" thickBot="1">
      <c r="C622" s="172" t="s">
        <v>59</v>
      </c>
      <c r="D622" s="163"/>
      <c r="E622" s="154">
        <v>0</v>
      </c>
      <c r="F622" s="117">
        <f>IF(E620&lt;6,"",((E620-6)/12)*(G620/E620))</f>
        <v>0</v>
      </c>
      <c r="G622" s="97">
        <f>F622</f>
        <v>0</v>
      </c>
      <c r="H622" s="164"/>
      <c r="I622" s="101" t="s">
        <v>519</v>
      </c>
      <c r="J622" s="101" t="str">
        <f>VLOOKUP(I622,Presupuesto!$B$11:$C$565,2,0)</f>
        <v>DECIMOCUARTO MES</v>
      </c>
      <c r="K622" s="98" t="str">
        <f t="shared" si="18"/>
        <v>Posgrado</v>
      </c>
      <c r="L622" s="98" t="s">
        <v>395</v>
      </c>
    </row>
    <row r="623" spans="3:12" ht="15.75" thickBot="1">
      <c r="C623" s="137" t="s">
        <v>488</v>
      </c>
      <c r="D623" s="199"/>
      <c r="E623" s="152">
        <v>12</v>
      </c>
      <c r="F623" s="301">
        <f>HLOOKUP($C623,$BZ$2:$CM$3,2,0)</f>
        <v>18859.39</v>
      </c>
      <c r="G623" s="113">
        <f>D623*E623*F623</f>
        <v>0</v>
      </c>
      <c r="H623" s="166"/>
      <c r="I623" s="114" t="s">
        <v>496</v>
      </c>
      <c r="J623" s="114" t="str">
        <f>VLOOKUP(I623,Presupuesto!$B$11:$C$565,2,0)</f>
        <v>SUELDOS Y SALARIOS PERMANENTES</v>
      </c>
      <c r="K623" s="98" t="str">
        <f t="shared" si="18"/>
        <v>Posgrado</v>
      </c>
      <c r="L623" s="98" t="s">
        <v>395</v>
      </c>
    </row>
    <row r="624" spans="3:12">
      <c r="C624" s="171" t="s">
        <v>58</v>
      </c>
      <c r="D624" s="163"/>
      <c r="E624" s="154">
        <v>0</v>
      </c>
      <c r="F624" s="100">
        <f>IF(E623=0,"",(G623/E623)/12*E623)</f>
        <v>0</v>
      </c>
      <c r="G624" s="97">
        <f>F624</f>
        <v>0</v>
      </c>
      <c r="H624" s="164"/>
      <c r="I624" s="116" t="s">
        <v>516</v>
      </c>
      <c r="J624" s="116" t="str">
        <f>VLOOKUP(I624,Presupuesto!$B$11:$C$565,2,0)</f>
        <v>AGUINALDO Y DECIMO CUARTO MES</v>
      </c>
      <c r="K624" s="98" t="str">
        <f t="shared" si="18"/>
        <v>Posgrado</v>
      </c>
      <c r="L624" s="98" t="s">
        <v>395</v>
      </c>
    </row>
    <row r="625" spans="3:12" ht="15.75" thickBot="1">
      <c r="C625" s="172" t="s">
        <v>59</v>
      </c>
      <c r="D625" s="163"/>
      <c r="E625" s="154">
        <v>0</v>
      </c>
      <c r="F625" s="117">
        <f>IF(E623&lt;6,"",((E623-6)/12)*(G623/E623))</f>
        <v>0</v>
      </c>
      <c r="G625" s="97">
        <f>F625</f>
        <v>0</v>
      </c>
      <c r="H625" s="164"/>
      <c r="I625" s="101" t="s">
        <v>519</v>
      </c>
      <c r="J625" s="101" t="str">
        <f>VLOOKUP(I625,Presupuesto!$B$11:$C$565,2,0)</f>
        <v>DECIMOCUARTO MES</v>
      </c>
      <c r="K625" s="98" t="str">
        <f t="shared" si="18"/>
        <v>Posgrado</v>
      </c>
      <c r="L625" s="98" t="s">
        <v>395</v>
      </c>
    </row>
    <row r="626" spans="3:12" ht="15.75" thickBot="1">
      <c r="C626" s="137" t="s">
        <v>489</v>
      </c>
      <c r="D626" s="199"/>
      <c r="E626" s="152">
        <v>12</v>
      </c>
      <c r="F626" s="301">
        <f>HLOOKUP($C626,$BZ$2:$CM$3,2,0)</f>
        <v>17866.8</v>
      </c>
      <c r="G626" s="113">
        <f>D626*E626*F626</f>
        <v>0</v>
      </c>
      <c r="H626" s="166"/>
      <c r="I626" s="114" t="s">
        <v>496</v>
      </c>
      <c r="J626" s="114" t="str">
        <f>VLOOKUP(I626,Presupuesto!$B$11:$C$565,2,0)</f>
        <v>SUELDOS Y SALARIOS PERMANENTES</v>
      </c>
      <c r="K626" s="98" t="str">
        <f t="shared" si="18"/>
        <v>Posgrado</v>
      </c>
      <c r="L626" s="98" t="s">
        <v>395</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si="18"/>
        <v>Posgrado</v>
      </c>
      <c r="L627" s="98" t="s">
        <v>395</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18"/>
        <v>Posgrado</v>
      </c>
      <c r="L628" s="98" t="s">
        <v>395</v>
      </c>
    </row>
    <row r="629" spans="3:12" ht="15.75" thickBot="1">
      <c r="C629" s="137" t="s">
        <v>490</v>
      </c>
      <c r="D629" s="199"/>
      <c r="E629" s="152">
        <v>12</v>
      </c>
      <c r="F629" s="301">
        <f>HLOOKUP($C629,$BZ$2:$CM$3,2,0)</f>
        <v>13896.4</v>
      </c>
      <c r="G629" s="113">
        <f>D629*E629*F629</f>
        <v>0</v>
      </c>
      <c r="H629" s="166"/>
      <c r="I629" s="114" t="s">
        <v>496</v>
      </c>
      <c r="J629" s="114" t="str">
        <f>VLOOKUP(I629,Presupuesto!$B$11:$C$565,2,0)</f>
        <v>SUELDOS Y SALARIOS PERMANENTES</v>
      </c>
      <c r="K629" s="98" t="str">
        <f t="shared" si="18"/>
        <v>Posgrado</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18"/>
        <v>Posgrado</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18"/>
        <v>Posgrado</v>
      </c>
      <c r="L631" s="98" t="s">
        <v>395</v>
      </c>
    </row>
    <row r="632" spans="3:12" ht="15.75" thickBot="1">
      <c r="C632" s="137" t="s">
        <v>491</v>
      </c>
      <c r="D632" s="199"/>
      <c r="E632" s="152">
        <v>12</v>
      </c>
      <c r="F632" s="301">
        <f>HLOOKUP($C632,$BZ$2:$CM$3,2,0)</f>
        <v>15004.09</v>
      </c>
      <c r="G632" s="113">
        <f>D632*E632*F632</f>
        <v>0</v>
      </c>
      <c r="H632" s="166"/>
      <c r="I632" s="114" t="s">
        <v>496</v>
      </c>
      <c r="J632" s="114" t="str">
        <f>VLOOKUP(I632,Presupuesto!$B$11:$C$565,2,0)</f>
        <v>SUELDOS Y SALARIOS PERMANENTES</v>
      </c>
      <c r="K632" s="98" t="str">
        <f t="shared" si="18"/>
        <v>Posgrado</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18"/>
        <v>Posgrado</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18"/>
        <v>Posgrado</v>
      </c>
      <c r="L634" s="98" t="s">
        <v>395</v>
      </c>
    </row>
    <row r="635" spans="3:12" ht="15.75" thickBot="1">
      <c r="C635" s="137" t="s">
        <v>492</v>
      </c>
      <c r="D635" s="199"/>
      <c r="E635" s="152">
        <v>12</v>
      </c>
      <c r="F635" s="301">
        <f>HLOOKUP($C635,$BZ$2:$CM$3,2,0)</f>
        <v>13238.9</v>
      </c>
      <c r="G635" s="113">
        <f>D635*E635*F635</f>
        <v>0</v>
      </c>
      <c r="H635" s="166"/>
      <c r="I635" s="114" t="s">
        <v>496</v>
      </c>
      <c r="J635" s="114" t="str">
        <f>VLOOKUP(I635,Presupuesto!$B$11:$C$565,2,0)</f>
        <v>SUELDOS Y SALARIOS PERMANENTES</v>
      </c>
      <c r="K635" s="98" t="str">
        <f t="shared" si="18"/>
        <v>Posgrado</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18"/>
        <v>Posgrado</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18"/>
        <v>Posgrado</v>
      </c>
      <c r="L637" s="98" t="s">
        <v>395</v>
      </c>
    </row>
    <row r="638" spans="3:12" ht="15.75" thickBot="1">
      <c r="C638" s="137" t="s">
        <v>493</v>
      </c>
      <c r="D638" s="199"/>
      <c r="E638" s="152">
        <v>12</v>
      </c>
      <c r="F638" s="301">
        <f>HLOOKUP($C638,$BZ$2:$CM$3,2,0)</f>
        <v>12356.31</v>
      </c>
      <c r="G638" s="113">
        <f>D638*E638*F638</f>
        <v>0</v>
      </c>
      <c r="H638" s="166"/>
      <c r="I638" s="114" t="s">
        <v>496</v>
      </c>
      <c r="J638" s="114" t="str">
        <f>VLOOKUP(I638,Presupuesto!$B$11:$C$565,2,0)</f>
        <v>SUELDOS Y SALARIOS PERMANENTES</v>
      </c>
      <c r="K638" s="98" t="str">
        <f t="shared" ref="K638:K655" si="19">$K$605</f>
        <v>Posgrado</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19"/>
        <v>Posgrado</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19"/>
        <v>Posgrado</v>
      </c>
      <c r="L640" s="98" t="s">
        <v>395</v>
      </c>
    </row>
    <row r="641" spans="3:12" ht="15.75" thickBot="1">
      <c r="C641" s="137" t="s">
        <v>494</v>
      </c>
      <c r="D641" s="199"/>
      <c r="E641" s="152">
        <v>12</v>
      </c>
      <c r="F641" s="301">
        <f>HLOOKUP($C641,$BZ$2:$CM$3,2,0)</f>
        <v>463.22</v>
      </c>
      <c r="G641" s="113">
        <f>D641*E641*F641</f>
        <v>0</v>
      </c>
      <c r="H641" s="166"/>
      <c r="I641" s="114" t="s">
        <v>496</v>
      </c>
      <c r="J641" s="114" t="str">
        <f>VLOOKUP(I641,Presupuesto!$B$11:$C$565,2,0)</f>
        <v>SUELDOS Y SALARIOS PERMANENTES</v>
      </c>
      <c r="K641" s="98" t="str">
        <f t="shared" si="19"/>
        <v>Posgrado</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19"/>
        <v>Posgrado</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19"/>
        <v>Posgrado</v>
      </c>
      <c r="L643" s="98" t="s">
        <v>395</v>
      </c>
    </row>
    <row r="644" spans="3:12" ht="15.75" thickBot="1">
      <c r="C644" s="137" t="s">
        <v>495</v>
      </c>
      <c r="D644" s="199"/>
      <c r="E644" s="152">
        <v>12</v>
      </c>
      <c r="F644" s="301">
        <f>HLOOKUP($C644,$BZ$2:$CM$3,2,0)</f>
        <v>2007.3</v>
      </c>
      <c r="G644" s="113">
        <f>D644*E644*F644</f>
        <v>0</v>
      </c>
      <c r="H644" s="166"/>
      <c r="I644" s="114" t="s">
        <v>496</v>
      </c>
      <c r="J644" s="114" t="str">
        <f>VLOOKUP(I644,Presupuesto!$B$11:$C$565,2,0)</f>
        <v>SUELDOS Y SALARIOS PERMANENTES</v>
      </c>
      <c r="K644" s="98" t="str">
        <f t="shared" si="19"/>
        <v>Posgrado</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19"/>
        <v>Posgrado</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19"/>
        <v>Posgrado</v>
      </c>
      <c r="L646" s="98" t="s">
        <v>395</v>
      </c>
    </row>
    <row r="647" spans="3:12" ht="15.75" thickBot="1">
      <c r="C647" s="140" t="s">
        <v>83</v>
      </c>
      <c r="D647" s="199"/>
      <c r="E647" s="152">
        <v>12</v>
      </c>
      <c r="F647" s="139">
        <v>30000</v>
      </c>
      <c r="G647" s="113">
        <f>D647*E647*F647</f>
        <v>0</v>
      </c>
      <c r="H647" s="166"/>
      <c r="I647" s="114" t="s">
        <v>564</v>
      </c>
      <c r="J647" s="114" t="str">
        <f>VLOOKUP(I647,Presupuesto!$B$11:$C$565,2,0)</f>
        <v>CONTRATOS ESPECIALES</v>
      </c>
      <c r="K647" s="98" t="str">
        <f t="shared" si="19"/>
        <v>Posgrado</v>
      </c>
      <c r="L647" s="98" t="s">
        <v>395</v>
      </c>
    </row>
    <row r="648" spans="3:12">
      <c r="C648" s="171" t="s">
        <v>58</v>
      </c>
      <c r="D648" s="163"/>
      <c r="E648" s="154">
        <v>0</v>
      </c>
      <c r="F648" s="117">
        <f>IF(E647=0,"",(G647/E647)/12*E647)</f>
        <v>0</v>
      </c>
      <c r="G648" s="97">
        <f>F648</f>
        <v>0</v>
      </c>
      <c r="H648" s="164"/>
      <c r="I648" s="101" t="s">
        <v>564</v>
      </c>
      <c r="J648" s="101" t="str">
        <f>VLOOKUP(I648,Presupuesto!$B$11:$C$565,2,0)</f>
        <v>CONTRATOS ESPECIALES</v>
      </c>
      <c r="K648" s="98" t="str">
        <f t="shared" si="19"/>
        <v>Posgrado</v>
      </c>
      <c r="L648" s="98" t="s">
        <v>394</v>
      </c>
    </row>
    <row r="649" spans="3:12" ht="15.75" thickBot="1">
      <c r="C649" s="172" t="s">
        <v>59</v>
      </c>
      <c r="D649" s="163"/>
      <c r="E649" s="154">
        <v>0</v>
      </c>
      <c r="F649" s="100">
        <f>IF(E647&lt;6,"",((E647-6)/12)*(G647/E647))</f>
        <v>0</v>
      </c>
      <c r="G649" s="97">
        <f>F649</f>
        <v>0</v>
      </c>
      <c r="H649" s="164"/>
      <c r="I649" s="101" t="s">
        <v>564</v>
      </c>
      <c r="J649" s="101" t="str">
        <f>VLOOKUP(I649,Presupuesto!$B$11:$C$565,2,0)</f>
        <v>CONTRATOS ESPECIALES</v>
      </c>
      <c r="K649" s="98" t="str">
        <f t="shared" si="19"/>
        <v>Posgrado</v>
      </c>
      <c r="L649" s="98" t="s">
        <v>399</v>
      </c>
    </row>
    <row r="650" spans="3:12" ht="15.75" thickBot="1">
      <c r="C650" s="140" t="s">
        <v>60</v>
      </c>
      <c r="D650" s="199"/>
      <c r="E650" s="152">
        <v>12</v>
      </c>
      <c r="F650" s="118">
        <v>30000</v>
      </c>
      <c r="G650" s="113">
        <f>D650*E650*F650</f>
        <v>0</v>
      </c>
      <c r="H650" s="166"/>
      <c r="I650" s="114" t="s">
        <v>705</v>
      </c>
      <c r="J650" s="114" t="str">
        <f>VLOOKUP(I650,Presupuesto!$B$11:$C$565,2,0)</f>
        <v>OTROS SERVICIOS TECNICOS Y PROFESIONALES</v>
      </c>
      <c r="K650" s="98" t="str">
        <f t="shared" si="19"/>
        <v>Posgrado</v>
      </c>
      <c r="L650" s="98" t="s">
        <v>394</v>
      </c>
    </row>
    <row r="651" spans="3:12">
      <c r="C651" s="171" t="s">
        <v>58</v>
      </c>
      <c r="D651" s="163"/>
      <c r="E651" s="154">
        <v>0</v>
      </c>
      <c r="F651" s="100">
        <v>0</v>
      </c>
      <c r="G651" s="97">
        <f>F651</f>
        <v>0</v>
      </c>
      <c r="H651" s="164"/>
      <c r="I651" s="101" t="s">
        <v>705</v>
      </c>
      <c r="J651" s="101" t="str">
        <f>VLOOKUP(I651,Presupuesto!$B$11:$C$565,2,0)</f>
        <v>OTROS SERVICIOS TECNICOS Y PROFESIONALES</v>
      </c>
      <c r="K651" s="98" t="str">
        <f t="shared" si="19"/>
        <v>Posgrado</v>
      </c>
      <c r="L651" s="98" t="s">
        <v>394</v>
      </c>
    </row>
    <row r="652" spans="3:12" ht="15.75" thickBot="1">
      <c r="C652" s="172" t="s">
        <v>59</v>
      </c>
      <c r="D652" s="163"/>
      <c r="E652" s="154">
        <v>0</v>
      </c>
      <c r="F652" s="100">
        <v>0</v>
      </c>
      <c r="G652" s="97">
        <f>F652</f>
        <v>0</v>
      </c>
      <c r="H652" s="164"/>
      <c r="I652" s="101" t="s">
        <v>705</v>
      </c>
      <c r="J652" s="101" t="str">
        <f>VLOOKUP(I652,Presupuesto!$B$11:$C$565,2,0)</f>
        <v>OTROS SERVICIOS TECNICOS Y PROFESIONALES</v>
      </c>
      <c r="K652" s="98" t="str">
        <f t="shared" si="19"/>
        <v>Posgrado</v>
      </c>
      <c r="L652" s="98" t="s">
        <v>394</v>
      </c>
    </row>
    <row r="653" spans="3:12" ht="15.75" thickBot="1">
      <c r="C653" s="140" t="s">
        <v>61</v>
      </c>
      <c r="D653" s="199"/>
      <c r="E653" s="152">
        <v>12</v>
      </c>
      <c r="F653" s="118">
        <v>30000</v>
      </c>
      <c r="G653" s="113">
        <f>D653*E653*F653</f>
        <v>0</v>
      </c>
      <c r="H653" s="166"/>
      <c r="I653" s="114" t="s">
        <v>496</v>
      </c>
      <c r="J653" s="114" t="str">
        <f>VLOOKUP(I653,Presupuesto!$B$11:$C$565,2,0)</f>
        <v>SUELDOS Y SALARIOS PERMANENTES</v>
      </c>
      <c r="K653" s="98" t="str">
        <f t="shared" si="19"/>
        <v>Posgrado</v>
      </c>
      <c r="L653" s="98" t="s">
        <v>394</v>
      </c>
    </row>
    <row r="654" spans="3:12">
      <c r="C654" s="171" t="s">
        <v>58</v>
      </c>
      <c r="D654" s="169"/>
      <c r="E654" s="131">
        <v>0</v>
      </c>
      <c r="F654" s="119">
        <f>IF(E653=0,"",(G653/E653)/12*E653)</f>
        <v>0</v>
      </c>
      <c r="G654" s="120">
        <f>F654</f>
        <v>0</v>
      </c>
      <c r="H654" s="164"/>
      <c r="I654" s="101" t="s">
        <v>516</v>
      </c>
      <c r="J654" s="101" t="str">
        <f>VLOOKUP(I654,Presupuesto!$B$11:$C$565,2,0)</f>
        <v>AGUINALDO Y DECIMO CUARTO MES</v>
      </c>
      <c r="K654" s="98" t="str">
        <f t="shared" si="19"/>
        <v>Posgrado</v>
      </c>
      <c r="L654" s="98" t="s">
        <v>394</v>
      </c>
    </row>
    <row r="655" spans="3:12" ht="15.75" thickBot="1">
      <c r="C655" s="173" t="s">
        <v>59</v>
      </c>
      <c r="D655" s="162"/>
      <c r="E655" s="132">
        <v>0</v>
      </c>
      <c r="F655" s="105">
        <f>IF(E653&lt;6,"",((E653-6)/12)*(G653/E653))</f>
        <v>0</v>
      </c>
      <c r="G655" s="105">
        <f>F655</f>
        <v>0</v>
      </c>
      <c r="H655" s="162"/>
      <c r="I655" s="106" t="s">
        <v>519</v>
      </c>
      <c r="J655" s="124" t="str">
        <f>VLOOKUP(I655,Presupuesto!$B$11:$C$565,2,0)</f>
        <v>DECIMOCUARTO MES</v>
      </c>
      <c r="K655" s="106" t="str">
        <f t="shared" si="19"/>
        <v>Posgrado</v>
      </c>
      <c r="L655" s="124" t="s">
        <v>394</v>
      </c>
    </row>
    <row r="657" spans="3:12" ht="15.75" thickBot="1"/>
    <row r="658" spans="3:12" ht="15.75" thickBot="1">
      <c r="C658" s="69" t="s">
        <v>43</v>
      </c>
      <c r="D658" s="30">
        <f>SUM(G665:G715)</f>
        <v>0</v>
      </c>
      <c r="E658" s="93"/>
      <c r="F658" s="93"/>
      <c r="G658" s="93"/>
      <c r="H658" s="76"/>
      <c r="I658" s="76"/>
      <c r="J658" s="76"/>
    </row>
    <row r="659" spans="3:12">
      <c r="D659" s="31"/>
      <c r="E659" s="93"/>
      <c r="F659" s="93"/>
      <c r="G659" s="93"/>
      <c r="H659" s="76"/>
      <c r="I659" s="76"/>
      <c r="J659" s="76"/>
    </row>
    <row r="660" spans="3:12">
      <c r="D660" s="31"/>
      <c r="E660" s="93"/>
      <c r="F660" s="93"/>
      <c r="G660" s="93"/>
      <c r="H660" s="76"/>
      <c r="I660" s="76"/>
      <c r="J660" s="76"/>
    </row>
    <row r="661" spans="3:12" ht="15.75">
      <c r="C661" s="202" t="s">
        <v>392</v>
      </c>
      <c r="D661" s="361"/>
      <c r="E661" s="93"/>
      <c r="F661" s="93"/>
      <c r="G661" s="93"/>
      <c r="H661" s="76"/>
      <c r="I661" s="76"/>
      <c r="J661" s="76"/>
      <c r="K661" s="153"/>
    </row>
    <row r="662" spans="3:12" ht="18.75">
      <c r="C662" s="210" t="e">
        <f>IFERROR(VLOOKUP(D661,'1. Desarrollo e Innov. Curricu.'!$E:$F,2,FALSE),IFERROR(VLOOKUP(D661,'2. Investigación Científica'!$E:$F,2,FALSE),IFERROR(VLOOKUP(D661,'3. Vinculación Univ. Sociedad'!$E:$F,2,FALSE),IFERROR(VLOOKUP(D661,'4. Docencia y Profesorado Univ.'!$E:$F,2,FALSE),IFERROR(VLOOKUP(D661,'5. Estudiantes y Graduados'!$E:$F,2,FALSE),IFERROR(VLOOKUP(D661,'11. Gestion Administrativa'!$E:$F,2,FALSE),IFERROR(VLOOKUP(D661,'13. Gestión Académica'!$E:$F,2,FALSE),IFERROR(VLOOKUP(D661,'8. Asegura. de la Calid. y M'!$E:$F,2,FALSE),IFERROR(VLOOKUP(D661,'6. Gestión del Conocimiento'!$E:$F,2,FALSE),IFERROR(VLOOKUP(D661,'15. Gobernabilidad y Proceso...'!$E:$F,2,FALSE),IFERROR(VLOOKUP(D661,'12. Gestión del Talento Humano'!$E:$F,2,FALSE),IFERROR(VLOOKUP(D661,'14. Internacional... de la E.S.'!$E:$F,2,FALSE),IFERROR(VLOOKUP(D661,'10. Posgrado'!$E:$F,2,FALSE),IFERROR(VLOOKUP(D661,'17. Gestión TIC'!$E:$F,2,FALSE),IFERROR(VLOOKUP(D661,'16. Desa. del Sistema Educ.Sup.'!$E:$F,2,FALSE),IFERROR(VLOOKUP(D661,'9. Cultura de Inno. Insti...'!$E:$F,2,FALSE),VLOOKUP(D661,'7. Lo Esencial de la Reforma U.'!$E:$F,2,0)))))))))))))))))</f>
        <v>#N/A</v>
      </c>
      <c r="D662" s="31"/>
      <c r="E662" s="93"/>
      <c r="F662" s="93"/>
      <c r="G662" s="93"/>
      <c r="H662" s="76"/>
      <c r="I662" s="76"/>
      <c r="J662" s="76"/>
      <c r="K662" s="153"/>
    </row>
    <row r="663" spans="3:12" ht="15.75" thickBot="1">
      <c r="C663" s="177"/>
      <c r="D663" s="31"/>
      <c r="E663" s="93"/>
      <c r="F663" s="93"/>
      <c r="G663" s="93"/>
      <c r="H663" s="76"/>
      <c r="I663" s="76"/>
      <c r="J663" s="76"/>
      <c r="K663" s="153"/>
    </row>
    <row r="664" spans="3:12" ht="30.75" thickBot="1">
      <c r="C664" s="134" t="s">
        <v>44</v>
      </c>
      <c r="D664" s="138" t="s">
        <v>55</v>
      </c>
      <c r="E664" s="170" t="s">
        <v>56</v>
      </c>
      <c r="F664" s="138" t="s">
        <v>57</v>
      </c>
      <c r="G664" s="135" t="s">
        <v>27</v>
      </c>
      <c r="H664" s="133" t="s">
        <v>131</v>
      </c>
      <c r="I664" s="136" t="s">
        <v>46</v>
      </c>
      <c r="J664" s="136" t="s">
        <v>132</v>
      </c>
      <c r="K664" s="136" t="s">
        <v>410</v>
      </c>
      <c r="L664" s="136" t="s">
        <v>411</v>
      </c>
    </row>
    <row r="665" spans="3:12" ht="15.75" thickBot="1">
      <c r="C665" s="137" t="s">
        <v>482</v>
      </c>
      <c r="D665" s="199"/>
      <c r="E665" s="152">
        <v>12</v>
      </c>
      <c r="F665" s="301">
        <f>HLOOKUP($C665,$BZ$2:$CM$3,2,0)</f>
        <v>43674.39</v>
      </c>
      <c r="G665" s="113">
        <f>D665*E665*F665</f>
        <v>0</v>
      </c>
      <c r="H665" s="166"/>
      <c r="I665" s="114" t="s">
        <v>496</v>
      </c>
      <c r="J665" s="114" t="str">
        <f>VLOOKUP(I665,Presupuesto!$B$11:$C$565,2,0)</f>
        <v>SUELDOS Y SALARIOS PERMANENTES</v>
      </c>
      <c r="K665" s="218" t="s">
        <v>1441</v>
      </c>
      <c r="L665" s="98" t="s">
        <v>394</v>
      </c>
    </row>
    <row r="666" spans="3:12">
      <c r="C666" s="171" t="s">
        <v>58</v>
      </c>
      <c r="D666" s="163"/>
      <c r="E666" s="154">
        <v>0</v>
      </c>
      <c r="F666" s="100">
        <f>IF(E665=0,"",(G665/E665)/12*E665)</f>
        <v>0</v>
      </c>
      <c r="G666" s="97">
        <f>F666</f>
        <v>0</v>
      </c>
      <c r="H666" s="164"/>
      <c r="I666" s="116" t="s">
        <v>516</v>
      </c>
      <c r="J666" s="116" t="str">
        <f>VLOOKUP(I666,Presupuesto!$B$11:$C$565,2,0)</f>
        <v>AGUINALDO Y DECIMO CUARTO MES</v>
      </c>
      <c r="K666" s="98" t="str">
        <f t="shared" ref="K666:K697" si="20">$K$665</f>
        <v>Posgrado</v>
      </c>
      <c r="L666" s="98" t="s">
        <v>412</v>
      </c>
    </row>
    <row r="667" spans="3:12" ht="15.75" thickBot="1">
      <c r="C667" s="172" t="s">
        <v>59</v>
      </c>
      <c r="D667" s="163"/>
      <c r="E667" s="154">
        <v>0</v>
      </c>
      <c r="F667" s="117">
        <f>IF(E665&lt;6,"",((E665-6)/12)*(G665/E665))</f>
        <v>0</v>
      </c>
      <c r="G667" s="97">
        <f>F667</f>
        <v>0</v>
      </c>
      <c r="H667" s="164"/>
      <c r="I667" s="101" t="s">
        <v>519</v>
      </c>
      <c r="J667" s="101" t="str">
        <f>VLOOKUP(I667,Presupuesto!$B$11:$C$565,2,0)</f>
        <v>DECIMOCUARTO MES</v>
      </c>
      <c r="K667" s="98" t="str">
        <f t="shared" si="20"/>
        <v>Posgrado</v>
      </c>
      <c r="L667" s="98" t="s">
        <v>395</v>
      </c>
    </row>
    <row r="668" spans="3:12" ht="15.75" thickBot="1">
      <c r="C668" s="137" t="s">
        <v>483</v>
      </c>
      <c r="D668" s="199"/>
      <c r="E668" s="152">
        <v>12</v>
      </c>
      <c r="F668" s="301">
        <f>HLOOKUP($C668,$BZ$2:$CM$3,2,0)</f>
        <v>39703.99</v>
      </c>
      <c r="G668" s="113">
        <f>D668*E668*F668</f>
        <v>0</v>
      </c>
      <c r="H668" s="166"/>
      <c r="I668" s="114" t="s">
        <v>496</v>
      </c>
      <c r="J668" s="114" t="str">
        <f>VLOOKUP(I668,Presupuesto!$B$11:$C$565,2,0)</f>
        <v>SUELDOS Y SALARIOS PERMANENTES</v>
      </c>
      <c r="K668" s="98" t="str">
        <f t="shared" si="20"/>
        <v>Posgrado</v>
      </c>
      <c r="L668" s="98" t="s">
        <v>395</v>
      </c>
    </row>
    <row r="669" spans="3:12">
      <c r="C669" s="171" t="s">
        <v>58</v>
      </c>
      <c r="D669" s="163"/>
      <c r="E669" s="154">
        <v>0</v>
      </c>
      <c r="F669" s="100">
        <f>IF(E668=0,"",(G668/E668)/12*E668)</f>
        <v>0</v>
      </c>
      <c r="G669" s="97">
        <f>F669</f>
        <v>0</v>
      </c>
      <c r="H669" s="164"/>
      <c r="I669" s="116" t="s">
        <v>516</v>
      </c>
      <c r="J669" s="116" t="str">
        <f>VLOOKUP(I669,Presupuesto!$B$11:$C$565,2,0)</f>
        <v>AGUINALDO Y DECIMO CUARTO MES</v>
      </c>
      <c r="K669" s="98" t="str">
        <f t="shared" si="20"/>
        <v>Posgrado</v>
      </c>
      <c r="L669" s="98" t="s">
        <v>395</v>
      </c>
    </row>
    <row r="670" spans="3:12" ht="15.75" thickBot="1">
      <c r="C670" s="172" t="s">
        <v>59</v>
      </c>
      <c r="D670" s="163"/>
      <c r="E670" s="154">
        <v>0</v>
      </c>
      <c r="F670" s="117">
        <f>IF(E668&lt;6,"",((E668-6)/12)*(G668/E668))</f>
        <v>0</v>
      </c>
      <c r="G670" s="97">
        <f>F670</f>
        <v>0</v>
      </c>
      <c r="H670" s="164"/>
      <c r="I670" s="101" t="s">
        <v>519</v>
      </c>
      <c r="J670" s="101" t="str">
        <f>VLOOKUP(I670,Presupuesto!$B$11:$C$565,2,0)</f>
        <v>DECIMOCUARTO MES</v>
      </c>
      <c r="K670" s="98" t="str">
        <f t="shared" si="20"/>
        <v>Posgrado</v>
      </c>
      <c r="L670" s="98" t="s">
        <v>395</v>
      </c>
    </row>
    <row r="671" spans="3:12" ht="15.75" thickBot="1">
      <c r="C671" s="137" t="s">
        <v>484</v>
      </c>
      <c r="D671" s="199"/>
      <c r="E671" s="152">
        <v>12</v>
      </c>
      <c r="F671" s="301">
        <f>HLOOKUP($C671,$BZ$2:$CM$3,2,0)</f>
        <v>35733.589999999997</v>
      </c>
      <c r="G671" s="113">
        <f>D671*E671*F671</f>
        <v>0</v>
      </c>
      <c r="H671" s="166"/>
      <c r="I671" s="114" t="s">
        <v>496</v>
      </c>
      <c r="J671" s="114" t="str">
        <f>VLOOKUP(I671,Presupuesto!$B$11:$C$565,2,0)</f>
        <v>SUELDOS Y SALARIOS PERMANENTES</v>
      </c>
      <c r="K671" s="98" t="str">
        <f t="shared" si="20"/>
        <v>Posgrado</v>
      </c>
      <c r="L671" s="98" t="s">
        <v>395</v>
      </c>
    </row>
    <row r="672" spans="3:12">
      <c r="C672" s="171" t="s">
        <v>58</v>
      </c>
      <c r="D672" s="163"/>
      <c r="E672" s="154">
        <v>0</v>
      </c>
      <c r="F672" s="100">
        <f>IF(E671=0,"",(G671/E671)/12*E671)</f>
        <v>0</v>
      </c>
      <c r="G672" s="97">
        <f>F672</f>
        <v>0</v>
      </c>
      <c r="H672" s="164"/>
      <c r="I672" s="116" t="s">
        <v>516</v>
      </c>
      <c r="J672" s="116" t="str">
        <f>VLOOKUP(I672,Presupuesto!$B$11:$C$565,2,0)</f>
        <v>AGUINALDO Y DECIMO CUARTO MES</v>
      </c>
      <c r="K672" s="98" t="str">
        <f t="shared" si="20"/>
        <v>Posgrado</v>
      </c>
      <c r="L672" s="98" t="s">
        <v>395</v>
      </c>
    </row>
    <row r="673" spans="3:12" ht="15.75" thickBot="1">
      <c r="C673" s="172" t="s">
        <v>59</v>
      </c>
      <c r="D673" s="163"/>
      <c r="E673" s="154">
        <v>0</v>
      </c>
      <c r="F673" s="117">
        <f>IF(E671&lt;6,"",((E671-6)/12)*(G671/E671))</f>
        <v>0</v>
      </c>
      <c r="G673" s="97">
        <f>F673</f>
        <v>0</v>
      </c>
      <c r="H673" s="164"/>
      <c r="I673" s="101" t="s">
        <v>519</v>
      </c>
      <c r="J673" s="101" t="str">
        <f>VLOOKUP(I673,Presupuesto!$B$11:$C$565,2,0)</f>
        <v>DECIMOCUARTO MES</v>
      </c>
      <c r="K673" s="98" t="str">
        <f t="shared" si="20"/>
        <v>Posgrado</v>
      </c>
      <c r="L673" s="98" t="s">
        <v>395</v>
      </c>
    </row>
    <row r="674" spans="3:12" ht="15.75" thickBot="1">
      <c r="C674" s="137" t="s">
        <v>485</v>
      </c>
      <c r="D674" s="199"/>
      <c r="E674" s="152">
        <v>12</v>
      </c>
      <c r="F674" s="301">
        <f>HLOOKUP($C674,$BZ$2:$CM$3,2,0)</f>
        <v>31763.19</v>
      </c>
      <c r="G674" s="113">
        <f>D674*E674*F674</f>
        <v>0</v>
      </c>
      <c r="H674" s="166"/>
      <c r="I674" s="114" t="s">
        <v>496</v>
      </c>
      <c r="J674" s="114" t="str">
        <f>VLOOKUP(I674,Presupuesto!$B$11:$C$565,2,0)</f>
        <v>SUELDOS Y SALARIOS PERMANENTES</v>
      </c>
      <c r="K674" s="98" t="str">
        <f t="shared" si="20"/>
        <v>Posgrado</v>
      </c>
      <c r="L674" s="98" t="s">
        <v>395</v>
      </c>
    </row>
    <row r="675" spans="3:12">
      <c r="C675" s="171" t="s">
        <v>58</v>
      </c>
      <c r="D675" s="163"/>
      <c r="E675" s="154">
        <v>0</v>
      </c>
      <c r="F675" s="100">
        <f>IF(E674=0,"",(G674/E674)/12*E674)</f>
        <v>0</v>
      </c>
      <c r="G675" s="97">
        <f>F675</f>
        <v>0</v>
      </c>
      <c r="H675" s="164"/>
      <c r="I675" s="116" t="s">
        <v>516</v>
      </c>
      <c r="J675" s="116" t="str">
        <f>VLOOKUP(I675,Presupuesto!$B$11:$C$565,2,0)</f>
        <v>AGUINALDO Y DECIMO CUARTO MES</v>
      </c>
      <c r="K675" s="98" t="str">
        <f t="shared" si="20"/>
        <v>Posgrado</v>
      </c>
      <c r="L675" s="98" t="s">
        <v>395</v>
      </c>
    </row>
    <row r="676" spans="3:12" ht="15.75" thickBot="1">
      <c r="C676" s="172" t="s">
        <v>59</v>
      </c>
      <c r="D676" s="163"/>
      <c r="E676" s="154">
        <v>0</v>
      </c>
      <c r="F676" s="117">
        <f>IF(E674&lt;6,"",((E674-6)/12)*(G674/E674))</f>
        <v>0</v>
      </c>
      <c r="G676" s="97">
        <f>F676</f>
        <v>0</v>
      </c>
      <c r="H676" s="164"/>
      <c r="I676" s="101" t="s">
        <v>519</v>
      </c>
      <c r="J676" s="101" t="str">
        <f>VLOOKUP(I676,Presupuesto!$B$11:$C$565,2,0)</f>
        <v>DECIMOCUARTO MES</v>
      </c>
      <c r="K676" s="98" t="str">
        <f t="shared" si="20"/>
        <v>Posgrado</v>
      </c>
      <c r="L676" s="98" t="s">
        <v>395</v>
      </c>
    </row>
    <row r="677" spans="3:12" ht="15.75" thickBot="1">
      <c r="C677" s="137" t="s">
        <v>486</v>
      </c>
      <c r="D677" s="199"/>
      <c r="E677" s="152">
        <v>12</v>
      </c>
      <c r="F677" s="301">
        <f>HLOOKUP($C677,$BZ$2:$CM$3,2,0)</f>
        <v>29777.99</v>
      </c>
      <c r="G677" s="113">
        <f>D677*E677*F677</f>
        <v>0</v>
      </c>
      <c r="H677" s="166"/>
      <c r="I677" s="114" t="s">
        <v>496</v>
      </c>
      <c r="J677" s="114" t="str">
        <f>VLOOKUP(I677,Presupuesto!$B$11:$C$565,2,0)</f>
        <v>SUELDOS Y SALARIOS PERMANENTES</v>
      </c>
      <c r="K677" s="98" t="str">
        <f t="shared" si="20"/>
        <v>Posgrado</v>
      </c>
      <c r="L677" s="98" t="s">
        <v>395</v>
      </c>
    </row>
    <row r="678" spans="3:12">
      <c r="C678" s="171" t="s">
        <v>58</v>
      </c>
      <c r="D678" s="163"/>
      <c r="E678" s="154">
        <v>0</v>
      </c>
      <c r="F678" s="100">
        <f>IF(E677=0,"",(G677/E677)/12*E677)</f>
        <v>0</v>
      </c>
      <c r="G678" s="97">
        <f>F678</f>
        <v>0</v>
      </c>
      <c r="H678" s="164"/>
      <c r="I678" s="116" t="s">
        <v>516</v>
      </c>
      <c r="J678" s="116" t="str">
        <f>VLOOKUP(I678,Presupuesto!$B$11:$C$565,2,0)</f>
        <v>AGUINALDO Y DECIMO CUARTO MES</v>
      </c>
      <c r="K678" s="98" t="str">
        <f t="shared" si="20"/>
        <v>Posgrado</v>
      </c>
      <c r="L678" s="98" t="s">
        <v>395</v>
      </c>
    </row>
    <row r="679" spans="3:12" ht="15.75" thickBot="1">
      <c r="C679" s="172" t="s">
        <v>59</v>
      </c>
      <c r="D679" s="163"/>
      <c r="E679" s="154">
        <v>0</v>
      </c>
      <c r="F679" s="117">
        <f>IF(E677&lt;6,"",((E677-6)/12)*(G677/E677))</f>
        <v>0</v>
      </c>
      <c r="G679" s="97">
        <f>F679</f>
        <v>0</v>
      </c>
      <c r="H679" s="164"/>
      <c r="I679" s="101" t="s">
        <v>519</v>
      </c>
      <c r="J679" s="101" t="str">
        <f>VLOOKUP(I679,Presupuesto!$B$11:$C$565,2,0)</f>
        <v>DECIMOCUARTO MES</v>
      </c>
      <c r="K679" s="98" t="str">
        <f t="shared" si="20"/>
        <v>Posgrado</v>
      </c>
      <c r="L679" s="98" t="s">
        <v>395</v>
      </c>
    </row>
    <row r="680" spans="3:12" ht="15.75" thickBot="1">
      <c r="C680" s="137" t="s">
        <v>487</v>
      </c>
      <c r="D680" s="199"/>
      <c r="E680" s="152">
        <v>12</v>
      </c>
      <c r="F680" s="301">
        <f>HLOOKUP($C680,$BZ$2:$CM$3,2,0)</f>
        <v>27792.79</v>
      </c>
      <c r="G680" s="113">
        <f>D680*E680*F680</f>
        <v>0</v>
      </c>
      <c r="H680" s="166"/>
      <c r="I680" s="114" t="s">
        <v>496</v>
      </c>
      <c r="J680" s="114" t="str">
        <f>VLOOKUP(I680,Presupuesto!$B$11:$C$565,2,0)</f>
        <v>SUELDOS Y SALARIOS PERMANENTES</v>
      </c>
      <c r="K680" s="98" t="str">
        <f t="shared" si="20"/>
        <v>Posgrado</v>
      </c>
      <c r="L680" s="98" t="s">
        <v>395</v>
      </c>
    </row>
    <row r="681" spans="3:12">
      <c r="C681" s="171" t="s">
        <v>58</v>
      </c>
      <c r="D681" s="163"/>
      <c r="E681" s="154">
        <v>0</v>
      </c>
      <c r="F681" s="100">
        <f>IF(E680=0,"",(G680/E680)/12*E680)</f>
        <v>0</v>
      </c>
      <c r="G681" s="97">
        <f>F681</f>
        <v>0</v>
      </c>
      <c r="H681" s="164"/>
      <c r="I681" s="116" t="s">
        <v>516</v>
      </c>
      <c r="J681" s="116" t="str">
        <f>VLOOKUP(I681,Presupuesto!$B$11:$C$565,2,0)</f>
        <v>AGUINALDO Y DECIMO CUARTO MES</v>
      </c>
      <c r="K681" s="98" t="str">
        <f t="shared" si="20"/>
        <v>Posgrado</v>
      </c>
      <c r="L681" s="98" t="s">
        <v>395</v>
      </c>
    </row>
    <row r="682" spans="3:12" ht="15.75" thickBot="1">
      <c r="C682" s="172" t="s">
        <v>59</v>
      </c>
      <c r="D682" s="163"/>
      <c r="E682" s="154">
        <v>0</v>
      </c>
      <c r="F682" s="117">
        <f>IF(E680&lt;6,"",((E680-6)/12)*(G680/E680))</f>
        <v>0</v>
      </c>
      <c r="G682" s="97">
        <f>F682</f>
        <v>0</v>
      </c>
      <c r="H682" s="164"/>
      <c r="I682" s="101" t="s">
        <v>519</v>
      </c>
      <c r="J682" s="101" t="str">
        <f>VLOOKUP(I682,Presupuesto!$B$11:$C$565,2,0)</f>
        <v>DECIMOCUARTO MES</v>
      </c>
      <c r="K682" s="98" t="str">
        <f t="shared" si="20"/>
        <v>Posgrado</v>
      </c>
      <c r="L682" s="98" t="s">
        <v>395</v>
      </c>
    </row>
    <row r="683" spans="3:12" ht="15.75" thickBot="1">
      <c r="C683" s="137" t="s">
        <v>488</v>
      </c>
      <c r="D683" s="199"/>
      <c r="E683" s="152">
        <v>12</v>
      </c>
      <c r="F683" s="301">
        <f>HLOOKUP($C683,$BZ$2:$CM$3,2,0)</f>
        <v>18859.39</v>
      </c>
      <c r="G683" s="113">
        <f>D683*E683*F683</f>
        <v>0</v>
      </c>
      <c r="H683" s="166"/>
      <c r="I683" s="114" t="s">
        <v>496</v>
      </c>
      <c r="J683" s="114" t="str">
        <f>VLOOKUP(I683,Presupuesto!$B$11:$C$565,2,0)</f>
        <v>SUELDOS Y SALARIOS PERMANENTES</v>
      </c>
      <c r="K683" s="98" t="str">
        <f t="shared" si="20"/>
        <v>Posgrado</v>
      </c>
      <c r="L683" s="98" t="s">
        <v>395</v>
      </c>
    </row>
    <row r="684" spans="3:12">
      <c r="C684" s="171" t="s">
        <v>58</v>
      </c>
      <c r="D684" s="163"/>
      <c r="E684" s="154">
        <v>0</v>
      </c>
      <c r="F684" s="100">
        <f>IF(E683=0,"",(G683/E683)/12*E683)</f>
        <v>0</v>
      </c>
      <c r="G684" s="97">
        <f>F684</f>
        <v>0</v>
      </c>
      <c r="H684" s="164"/>
      <c r="I684" s="116" t="s">
        <v>516</v>
      </c>
      <c r="J684" s="116" t="str">
        <f>VLOOKUP(I684,Presupuesto!$B$11:$C$565,2,0)</f>
        <v>AGUINALDO Y DECIMO CUARTO MES</v>
      </c>
      <c r="K684" s="98" t="str">
        <f t="shared" si="20"/>
        <v>Posgrado</v>
      </c>
      <c r="L684" s="98" t="s">
        <v>395</v>
      </c>
    </row>
    <row r="685" spans="3:12" ht="15.75" thickBot="1">
      <c r="C685" s="172" t="s">
        <v>59</v>
      </c>
      <c r="D685" s="163"/>
      <c r="E685" s="154">
        <v>0</v>
      </c>
      <c r="F685" s="117">
        <f>IF(E683&lt;6,"",((E683-6)/12)*(G683/E683))</f>
        <v>0</v>
      </c>
      <c r="G685" s="97">
        <f>F685</f>
        <v>0</v>
      </c>
      <c r="H685" s="164"/>
      <c r="I685" s="101" t="s">
        <v>519</v>
      </c>
      <c r="J685" s="101" t="str">
        <f>VLOOKUP(I685,Presupuesto!$B$11:$C$565,2,0)</f>
        <v>DECIMOCUARTO MES</v>
      </c>
      <c r="K685" s="98" t="str">
        <f t="shared" si="20"/>
        <v>Posgrado</v>
      </c>
      <c r="L685" s="98" t="s">
        <v>395</v>
      </c>
    </row>
    <row r="686" spans="3:12" ht="15.75" thickBot="1">
      <c r="C686" s="137" t="s">
        <v>489</v>
      </c>
      <c r="D686" s="199"/>
      <c r="E686" s="152">
        <v>12</v>
      </c>
      <c r="F686" s="301">
        <f>HLOOKUP($C686,$BZ$2:$CM$3,2,0)</f>
        <v>17866.8</v>
      </c>
      <c r="G686" s="113">
        <f>D686*E686*F686</f>
        <v>0</v>
      </c>
      <c r="H686" s="166"/>
      <c r="I686" s="114" t="s">
        <v>496</v>
      </c>
      <c r="J686" s="114" t="str">
        <f>VLOOKUP(I686,Presupuesto!$B$11:$C$565,2,0)</f>
        <v>SUELDOS Y SALARIOS PERMANENTES</v>
      </c>
      <c r="K686" s="98" t="str">
        <f t="shared" si="20"/>
        <v>Posgrado</v>
      </c>
      <c r="L686" s="98" t="s">
        <v>395</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si="20"/>
        <v>Posgrado</v>
      </c>
      <c r="L687" s="98" t="s">
        <v>395</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0"/>
        <v>Posgrado</v>
      </c>
      <c r="L688" s="98" t="s">
        <v>395</v>
      </c>
    </row>
    <row r="689" spans="3:12" ht="15.75" thickBot="1">
      <c r="C689" s="137" t="s">
        <v>490</v>
      </c>
      <c r="D689" s="199"/>
      <c r="E689" s="152">
        <v>12</v>
      </c>
      <c r="F689" s="301">
        <f>HLOOKUP($C689,$BZ$2:$CM$3,2,0)</f>
        <v>13896.4</v>
      </c>
      <c r="G689" s="113">
        <f>D689*E689*F689</f>
        <v>0</v>
      </c>
      <c r="H689" s="166"/>
      <c r="I689" s="114" t="s">
        <v>496</v>
      </c>
      <c r="J689" s="114" t="str">
        <f>VLOOKUP(I689,Presupuesto!$B$11:$C$565,2,0)</f>
        <v>SUELDOS Y SALARIOS PERMANENTES</v>
      </c>
      <c r="K689" s="98" t="str">
        <f t="shared" si="20"/>
        <v>Posgrado</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0"/>
        <v>Posgrado</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0"/>
        <v>Posgrado</v>
      </c>
      <c r="L691" s="98" t="s">
        <v>395</v>
      </c>
    </row>
    <row r="692" spans="3:12" ht="15.75" thickBot="1">
      <c r="C692" s="137" t="s">
        <v>491</v>
      </c>
      <c r="D692" s="199"/>
      <c r="E692" s="152">
        <v>12</v>
      </c>
      <c r="F692" s="301">
        <f>HLOOKUP($C692,$BZ$2:$CM$3,2,0)</f>
        <v>15004.09</v>
      </c>
      <c r="G692" s="113">
        <f>D692*E692*F692</f>
        <v>0</v>
      </c>
      <c r="H692" s="166"/>
      <c r="I692" s="114" t="s">
        <v>496</v>
      </c>
      <c r="J692" s="114" t="str">
        <f>VLOOKUP(I692,Presupuesto!$B$11:$C$565,2,0)</f>
        <v>SUELDOS Y SALARIOS PERMANENTES</v>
      </c>
      <c r="K692" s="98" t="str">
        <f t="shared" si="20"/>
        <v>Posgrado</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0"/>
        <v>Posgrado</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0"/>
        <v>Posgrado</v>
      </c>
      <c r="L694" s="98" t="s">
        <v>395</v>
      </c>
    </row>
    <row r="695" spans="3:12" ht="15.75" thickBot="1">
      <c r="C695" s="137" t="s">
        <v>492</v>
      </c>
      <c r="D695" s="199"/>
      <c r="E695" s="152">
        <v>12</v>
      </c>
      <c r="F695" s="301">
        <f>HLOOKUP($C695,$BZ$2:$CM$3,2,0)</f>
        <v>13238.9</v>
      </c>
      <c r="G695" s="113">
        <f>D695*E695*F695</f>
        <v>0</v>
      </c>
      <c r="H695" s="166"/>
      <c r="I695" s="114" t="s">
        <v>496</v>
      </c>
      <c r="J695" s="114" t="str">
        <f>VLOOKUP(I695,Presupuesto!$B$11:$C$565,2,0)</f>
        <v>SUELDOS Y SALARIOS PERMANENTES</v>
      </c>
      <c r="K695" s="98" t="str">
        <f t="shared" si="20"/>
        <v>Posgrado</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0"/>
        <v>Posgrado</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0"/>
        <v>Posgrado</v>
      </c>
      <c r="L697" s="98" t="s">
        <v>395</v>
      </c>
    </row>
    <row r="698" spans="3:12" ht="15.75" thickBot="1">
      <c r="C698" s="137" t="s">
        <v>493</v>
      </c>
      <c r="D698" s="199"/>
      <c r="E698" s="152">
        <v>12</v>
      </c>
      <c r="F698" s="301">
        <f>HLOOKUP($C698,$BZ$2:$CM$3,2,0)</f>
        <v>12356.31</v>
      </c>
      <c r="G698" s="113">
        <f>D698*E698*F698</f>
        <v>0</v>
      </c>
      <c r="H698" s="166"/>
      <c r="I698" s="114" t="s">
        <v>496</v>
      </c>
      <c r="J698" s="114" t="str">
        <f>VLOOKUP(I698,Presupuesto!$B$11:$C$565,2,0)</f>
        <v>SUELDOS Y SALARIOS PERMANENTES</v>
      </c>
      <c r="K698" s="98" t="str">
        <f t="shared" ref="K698:K715" si="21">$K$665</f>
        <v>Posgrado</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1"/>
        <v>Posgrado</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1"/>
        <v>Posgrado</v>
      </c>
      <c r="L700" s="98" t="s">
        <v>395</v>
      </c>
    </row>
    <row r="701" spans="3:12" ht="15.75" thickBot="1">
      <c r="C701" s="137" t="s">
        <v>494</v>
      </c>
      <c r="D701" s="199"/>
      <c r="E701" s="152">
        <v>12</v>
      </c>
      <c r="F701" s="301">
        <f>HLOOKUP($C701,$BZ$2:$CM$3,2,0)</f>
        <v>463.22</v>
      </c>
      <c r="G701" s="113">
        <f>D701*E701*F701</f>
        <v>0</v>
      </c>
      <c r="H701" s="166"/>
      <c r="I701" s="114" t="s">
        <v>496</v>
      </c>
      <c r="J701" s="114" t="str">
        <f>VLOOKUP(I701,Presupuesto!$B$11:$C$565,2,0)</f>
        <v>SUELDOS Y SALARIOS PERMANENTES</v>
      </c>
      <c r="K701" s="98" t="str">
        <f t="shared" si="21"/>
        <v>Posgrado</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1"/>
        <v>Posgrado</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1"/>
        <v>Posgrado</v>
      </c>
      <c r="L703" s="98" t="s">
        <v>395</v>
      </c>
    </row>
    <row r="704" spans="3:12" ht="15.75" thickBot="1">
      <c r="C704" s="137" t="s">
        <v>495</v>
      </c>
      <c r="D704" s="199"/>
      <c r="E704" s="152">
        <v>12</v>
      </c>
      <c r="F704" s="301">
        <f>HLOOKUP($C704,$BZ$2:$CM$3,2,0)</f>
        <v>2007.3</v>
      </c>
      <c r="G704" s="113">
        <f>D704*E704*F704</f>
        <v>0</v>
      </c>
      <c r="H704" s="166"/>
      <c r="I704" s="114" t="s">
        <v>496</v>
      </c>
      <c r="J704" s="114" t="str">
        <f>VLOOKUP(I704,Presupuesto!$B$11:$C$565,2,0)</f>
        <v>SUELDOS Y SALARIOS PERMANENTES</v>
      </c>
      <c r="K704" s="98" t="str">
        <f t="shared" si="21"/>
        <v>Posgrado</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1"/>
        <v>Posgrado</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1"/>
        <v>Posgrado</v>
      </c>
      <c r="L706" s="98" t="s">
        <v>395</v>
      </c>
    </row>
    <row r="707" spans="3:12" ht="15.75" thickBot="1">
      <c r="C707" s="140" t="s">
        <v>83</v>
      </c>
      <c r="D707" s="199"/>
      <c r="E707" s="152">
        <v>12</v>
      </c>
      <c r="F707" s="139">
        <v>30000</v>
      </c>
      <c r="G707" s="113">
        <f>D707*E707*F707</f>
        <v>0</v>
      </c>
      <c r="H707" s="166"/>
      <c r="I707" s="114" t="s">
        <v>564</v>
      </c>
      <c r="J707" s="114" t="str">
        <f>VLOOKUP(I707,Presupuesto!$B$11:$C$565,2,0)</f>
        <v>CONTRATOS ESPECIALES</v>
      </c>
      <c r="K707" s="98" t="str">
        <f t="shared" si="21"/>
        <v>Posgrado</v>
      </c>
      <c r="L707" s="98" t="s">
        <v>395</v>
      </c>
    </row>
    <row r="708" spans="3:12">
      <c r="C708" s="171" t="s">
        <v>58</v>
      </c>
      <c r="D708" s="163"/>
      <c r="E708" s="154">
        <v>0</v>
      </c>
      <c r="F708" s="117">
        <f>IF(E707=0,"",(G707/E707)/12*E707)</f>
        <v>0</v>
      </c>
      <c r="G708" s="97">
        <f>F708</f>
        <v>0</v>
      </c>
      <c r="H708" s="164"/>
      <c r="I708" s="101" t="s">
        <v>564</v>
      </c>
      <c r="J708" s="101" t="str">
        <f>VLOOKUP(I708,Presupuesto!$B$11:$C$565,2,0)</f>
        <v>CONTRATOS ESPECIALES</v>
      </c>
      <c r="K708" s="98" t="str">
        <f t="shared" si="21"/>
        <v>Posgrado</v>
      </c>
      <c r="L708" s="98" t="s">
        <v>394</v>
      </c>
    </row>
    <row r="709" spans="3:12" ht="15.75" thickBot="1">
      <c r="C709" s="172" t="s">
        <v>59</v>
      </c>
      <c r="D709" s="163"/>
      <c r="E709" s="154">
        <v>0</v>
      </c>
      <c r="F709" s="100">
        <f>IF(E707&lt;6,"",((E707-6)/12)*(G707/E707))</f>
        <v>0</v>
      </c>
      <c r="G709" s="97">
        <f>F709</f>
        <v>0</v>
      </c>
      <c r="H709" s="164"/>
      <c r="I709" s="101" t="s">
        <v>564</v>
      </c>
      <c r="J709" s="101" t="str">
        <f>VLOOKUP(I709,Presupuesto!$B$11:$C$565,2,0)</f>
        <v>CONTRATOS ESPECIALES</v>
      </c>
      <c r="K709" s="98" t="str">
        <f t="shared" si="21"/>
        <v>Posgrado</v>
      </c>
      <c r="L709" s="98" t="s">
        <v>399</v>
      </c>
    </row>
    <row r="710" spans="3:12" ht="15.75" thickBot="1">
      <c r="C710" s="140" t="s">
        <v>60</v>
      </c>
      <c r="D710" s="199"/>
      <c r="E710" s="152">
        <v>12</v>
      </c>
      <c r="F710" s="118">
        <v>30000</v>
      </c>
      <c r="G710" s="113">
        <f>D710*E710*F710</f>
        <v>0</v>
      </c>
      <c r="H710" s="166"/>
      <c r="I710" s="114" t="s">
        <v>705</v>
      </c>
      <c r="J710" s="114" t="str">
        <f>VLOOKUP(I710,Presupuesto!$B$11:$C$565,2,0)</f>
        <v>OTROS SERVICIOS TECNICOS Y PROFESIONALES</v>
      </c>
      <c r="K710" s="98" t="str">
        <f t="shared" si="21"/>
        <v>Posgrado</v>
      </c>
      <c r="L710" s="98" t="s">
        <v>394</v>
      </c>
    </row>
    <row r="711" spans="3:12">
      <c r="C711" s="171" t="s">
        <v>58</v>
      </c>
      <c r="D711" s="163"/>
      <c r="E711" s="154">
        <v>0</v>
      </c>
      <c r="F711" s="100">
        <v>0</v>
      </c>
      <c r="G711" s="97">
        <f>F711</f>
        <v>0</v>
      </c>
      <c r="H711" s="164"/>
      <c r="I711" s="101" t="s">
        <v>705</v>
      </c>
      <c r="J711" s="101" t="str">
        <f>VLOOKUP(I711,Presupuesto!$B$11:$C$565,2,0)</f>
        <v>OTROS SERVICIOS TECNICOS Y PROFESIONALES</v>
      </c>
      <c r="K711" s="98" t="str">
        <f t="shared" si="21"/>
        <v>Posgrado</v>
      </c>
      <c r="L711" s="98" t="s">
        <v>394</v>
      </c>
    </row>
    <row r="712" spans="3:12" ht="15.75" thickBot="1">
      <c r="C712" s="172" t="s">
        <v>59</v>
      </c>
      <c r="D712" s="163"/>
      <c r="E712" s="154">
        <v>0</v>
      </c>
      <c r="F712" s="100">
        <v>0</v>
      </c>
      <c r="G712" s="97">
        <f>F712</f>
        <v>0</v>
      </c>
      <c r="H712" s="164"/>
      <c r="I712" s="101" t="s">
        <v>705</v>
      </c>
      <c r="J712" s="101" t="str">
        <f>VLOOKUP(I712,Presupuesto!$B$11:$C$565,2,0)</f>
        <v>OTROS SERVICIOS TECNICOS Y PROFESIONALES</v>
      </c>
      <c r="K712" s="98" t="str">
        <f t="shared" si="21"/>
        <v>Posgrado</v>
      </c>
      <c r="L712" s="98" t="s">
        <v>394</v>
      </c>
    </row>
    <row r="713" spans="3:12" ht="15.75" thickBot="1">
      <c r="C713" s="140" t="s">
        <v>61</v>
      </c>
      <c r="D713" s="199"/>
      <c r="E713" s="152">
        <v>12</v>
      </c>
      <c r="F713" s="118">
        <v>30000</v>
      </c>
      <c r="G713" s="113">
        <f>D713*E713*F713</f>
        <v>0</v>
      </c>
      <c r="H713" s="166"/>
      <c r="I713" s="114" t="s">
        <v>496</v>
      </c>
      <c r="J713" s="114" t="str">
        <f>VLOOKUP(I713,Presupuesto!$B$11:$C$565,2,0)</f>
        <v>SUELDOS Y SALARIOS PERMANENTES</v>
      </c>
      <c r="K713" s="98" t="str">
        <f t="shared" si="21"/>
        <v>Posgrado</v>
      </c>
      <c r="L713" s="98" t="s">
        <v>394</v>
      </c>
    </row>
    <row r="714" spans="3:12">
      <c r="C714" s="171" t="s">
        <v>58</v>
      </c>
      <c r="D714" s="169"/>
      <c r="E714" s="131">
        <v>0</v>
      </c>
      <c r="F714" s="119">
        <f>IF(E713=0,"",(G713/E713)/12*E713)</f>
        <v>0</v>
      </c>
      <c r="G714" s="120">
        <f>F714</f>
        <v>0</v>
      </c>
      <c r="H714" s="164"/>
      <c r="I714" s="101" t="s">
        <v>516</v>
      </c>
      <c r="J714" s="101" t="str">
        <f>VLOOKUP(I714,Presupuesto!$B$11:$C$565,2,0)</f>
        <v>AGUINALDO Y DECIMO CUARTO MES</v>
      </c>
      <c r="K714" s="98" t="str">
        <f t="shared" si="21"/>
        <v>Posgrado</v>
      </c>
      <c r="L714" s="98" t="s">
        <v>394</v>
      </c>
    </row>
    <row r="715" spans="3:12" ht="15.75" thickBot="1">
      <c r="C715" s="173" t="s">
        <v>59</v>
      </c>
      <c r="D715" s="162"/>
      <c r="E715" s="132">
        <v>0</v>
      </c>
      <c r="F715" s="105">
        <f>IF(E713&lt;6,"",((E713-6)/12)*(G713/E713))</f>
        <v>0</v>
      </c>
      <c r="G715" s="105">
        <f>F715</f>
        <v>0</v>
      </c>
      <c r="H715" s="162"/>
      <c r="I715" s="106" t="s">
        <v>519</v>
      </c>
      <c r="J715" s="124" t="str">
        <f>VLOOKUP(I715,Presupuesto!$B$11:$C$565,2,0)</f>
        <v>DECIMOCUARTO MES</v>
      </c>
      <c r="K715" s="106" t="str">
        <f t="shared" si="21"/>
        <v>Posgrado</v>
      </c>
      <c r="L715" s="124" t="s">
        <v>394</v>
      </c>
    </row>
    <row r="717" spans="3:12" ht="15.75" thickBot="1"/>
    <row r="718" spans="3:12" ht="15.75" thickBot="1">
      <c r="C718" s="69" t="s">
        <v>43</v>
      </c>
      <c r="D718" s="30">
        <f>SUM(G725:G775)</f>
        <v>0</v>
      </c>
      <c r="E718" s="93"/>
      <c r="F718" s="93"/>
      <c r="G718" s="93"/>
      <c r="H718" s="76"/>
      <c r="I718" s="76"/>
      <c r="J718" s="76"/>
    </row>
    <row r="719" spans="3:12">
      <c r="D719" s="31"/>
      <c r="E719" s="93"/>
      <c r="F719" s="93"/>
      <c r="G719" s="93"/>
      <c r="H719" s="76"/>
      <c r="I719" s="76"/>
      <c r="J719" s="76"/>
    </row>
    <row r="720" spans="3:12">
      <c r="D720" s="31"/>
      <c r="E720" s="93"/>
      <c r="F720" s="93"/>
      <c r="G720" s="93"/>
      <c r="H720" s="76"/>
      <c r="I720" s="76"/>
      <c r="J720" s="76"/>
    </row>
    <row r="721" spans="3:12" ht="15.75">
      <c r="C721" s="202" t="s">
        <v>392</v>
      </c>
      <c r="D721" s="361"/>
      <c r="E721" s="93"/>
      <c r="F721" s="93"/>
      <c r="G721" s="93"/>
      <c r="H721" s="76"/>
      <c r="I721" s="76"/>
      <c r="J721" s="76"/>
    </row>
    <row r="722" spans="3:12" ht="18.75">
      <c r="C722" s="210" t="e">
        <f>IFERROR(VLOOKUP(D721,'1. Desarrollo e Innov. Curricu.'!$E:$F,2,FALSE),IFERROR(VLOOKUP(D721,'2. Investigación Científica'!$E:$F,2,FALSE),IFERROR(VLOOKUP(D721,'3. Vinculación Univ. Sociedad'!$E:$F,2,FALSE),IFERROR(VLOOKUP(D721,'4. Docencia y Profesorado Univ.'!$E:$F,2,FALSE),IFERROR(VLOOKUP(D721,'5. Estudiantes y Graduados'!$E:$F,2,FALSE),IFERROR(VLOOKUP(D721,'11. Gestion Administrativa'!$E:$F,2,FALSE),IFERROR(VLOOKUP(D721,'13. Gestión Académica'!$E:$F,2,FALSE),IFERROR(VLOOKUP(D721,'8. Asegura. de la Calid. y M'!$E:$F,2,FALSE),IFERROR(VLOOKUP(D721,'6. Gestión del Conocimiento'!$E:$F,2,FALSE),IFERROR(VLOOKUP(D721,'15. Gobernabilidad y Proceso...'!$E:$F,2,FALSE),IFERROR(VLOOKUP(D721,'12. Gestión del Talento Humano'!$E:$F,2,FALSE),IFERROR(VLOOKUP(D721,'14. Internacional... de la E.S.'!$E:$F,2,FALSE),IFERROR(VLOOKUP(D721,'10. Posgrado'!$E:$F,2,FALSE),IFERROR(VLOOKUP(D721,'17. Gestión TIC'!$E:$F,2,FALSE),IFERROR(VLOOKUP(D721,'16. Desa. del Sistema Educ.Sup.'!$E:$F,2,FALSE),IFERROR(VLOOKUP(D721,'9. Cultura de Inno. Insti...'!$E:$F,2,FALSE),VLOOKUP(D721,'7. Lo Esencial de la Reforma U.'!$E:$F,2,0)))))))))))))))))</f>
        <v>#N/A</v>
      </c>
      <c r="D722" s="31"/>
      <c r="E722" s="93"/>
      <c r="F722" s="93"/>
      <c r="G722" s="93"/>
      <c r="H722" s="76"/>
      <c r="I722" s="76"/>
      <c r="J722" s="76"/>
      <c r="K722" s="153"/>
    </row>
    <row r="723" spans="3:12" ht="15.75" thickBot="1">
      <c r="C723" s="177"/>
      <c r="D723" s="31"/>
      <c r="E723" s="93"/>
      <c r="F723" s="93"/>
      <c r="G723" s="93"/>
      <c r="H723" s="76"/>
      <c r="I723" s="76"/>
      <c r="J723" s="76"/>
      <c r="K723" s="153"/>
    </row>
    <row r="724" spans="3:12" ht="30.75" thickBot="1">
      <c r="C724" s="134" t="s">
        <v>44</v>
      </c>
      <c r="D724" s="138" t="s">
        <v>55</v>
      </c>
      <c r="E724" s="170" t="s">
        <v>56</v>
      </c>
      <c r="F724" s="138" t="s">
        <v>57</v>
      </c>
      <c r="G724" s="135" t="s">
        <v>27</v>
      </c>
      <c r="H724" s="133" t="s">
        <v>131</v>
      </c>
      <c r="I724" s="136" t="s">
        <v>46</v>
      </c>
      <c r="J724" s="136" t="s">
        <v>132</v>
      </c>
      <c r="K724" s="136" t="s">
        <v>410</v>
      </c>
      <c r="L724" s="136" t="s">
        <v>411</v>
      </c>
    </row>
    <row r="725" spans="3:12" ht="15.75" thickBot="1">
      <c r="C725" s="137" t="s">
        <v>482</v>
      </c>
      <c r="D725" s="199"/>
      <c r="E725" s="152">
        <v>12</v>
      </c>
      <c r="F725" s="301">
        <f>HLOOKUP($C725,$BZ$2:$CM$3,2,0)</f>
        <v>43674.39</v>
      </c>
      <c r="G725" s="113">
        <f>D725*E725*F725</f>
        <v>0</v>
      </c>
      <c r="H725" s="166"/>
      <c r="I725" s="114" t="s">
        <v>496</v>
      </c>
      <c r="J725" s="114" t="str">
        <f>VLOOKUP(I725,Presupuesto!$B$11:$C$565,2,0)</f>
        <v>SUELDOS Y SALARIOS PERMANENTES</v>
      </c>
      <c r="K725" s="218" t="s">
        <v>1441</v>
      </c>
      <c r="L725" s="98" t="s">
        <v>394</v>
      </c>
    </row>
    <row r="726" spans="3:12">
      <c r="C726" s="171" t="s">
        <v>58</v>
      </c>
      <c r="D726" s="163"/>
      <c r="E726" s="154">
        <v>0</v>
      </c>
      <c r="F726" s="100">
        <f>IF(E725=0,"",(G725/E725)/12*E725)</f>
        <v>0</v>
      </c>
      <c r="G726" s="97">
        <f>F726</f>
        <v>0</v>
      </c>
      <c r="H726" s="164"/>
      <c r="I726" s="116" t="s">
        <v>516</v>
      </c>
      <c r="J726" s="116" t="str">
        <f>VLOOKUP(I726,Presupuesto!$B$11:$C$565,2,0)</f>
        <v>AGUINALDO Y DECIMO CUARTO MES</v>
      </c>
      <c r="K726" s="98" t="str">
        <f t="shared" ref="K726:K757" si="22">$K$725</f>
        <v>Posgrado</v>
      </c>
      <c r="L726" s="98" t="s">
        <v>412</v>
      </c>
    </row>
    <row r="727" spans="3:12" ht="15.75" thickBot="1">
      <c r="C727" s="172" t="s">
        <v>59</v>
      </c>
      <c r="D727" s="163"/>
      <c r="E727" s="154">
        <v>0</v>
      </c>
      <c r="F727" s="117">
        <f>IF(E725&lt;6,"",((E725-6)/12)*(G725/E725))</f>
        <v>0</v>
      </c>
      <c r="G727" s="97">
        <f>F727</f>
        <v>0</v>
      </c>
      <c r="H727" s="164"/>
      <c r="I727" s="101" t="s">
        <v>519</v>
      </c>
      <c r="J727" s="101" t="str">
        <f>VLOOKUP(I727,Presupuesto!$B$11:$C$565,2,0)</f>
        <v>DECIMOCUARTO MES</v>
      </c>
      <c r="K727" s="98" t="str">
        <f t="shared" si="22"/>
        <v>Posgrado</v>
      </c>
      <c r="L727" s="98" t="s">
        <v>395</v>
      </c>
    </row>
    <row r="728" spans="3:12" ht="15.75" thickBot="1">
      <c r="C728" s="137" t="s">
        <v>483</v>
      </c>
      <c r="D728" s="199"/>
      <c r="E728" s="152">
        <v>12</v>
      </c>
      <c r="F728" s="301">
        <f>HLOOKUP($C728,$BZ$2:$CM$3,2,0)</f>
        <v>39703.99</v>
      </c>
      <c r="G728" s="113">
        <f>D728*E728*F728</f>
        <v>0</v>
      </c>
      <c r="H728" s="166"/>
      <c r="I728" s="114" t="s">
        <v>496</v>
      </c>
      <c r="J728" s="114" t="str">
        <f>VLOOKUP(I728,Presupuesto!$B$11:$C$565,2,0)</f>
        <v>SUELDOS Y SALARIOS PERMANENTES</v>
      </c>
      <c r="K728" s="98" t="str">
        <f t="shared" si="22"/>
        <v>Posgrado</v>
      </c>
      <c r="L728" s="98" t="s">
        <v>395</v>
      </c>
    </row>
    <row r="729" spans="3:12">
      <c r="C729" s="171" t="s">
        <v>58</v>
      </c>
      <c r="D729" s="163"/>
      <c r="E729" s="154">
        <v>0</v>
      </c>
      <c r="F729" s="100">
        <f>IF(E728=0,"",(G728/E728)/12*E728)</f>
        <v>0</v>
      </c>
      <c r="G729" s="97">
        <f>F729</f>
        <v>0</v>
      </c>
      <c r="H729" s="164"/>
      <c r="I729" s="116" t="s">
        <v>516</v>
      </c>
      <c r="J729" s="116" t="str">
        <f>VLOOKUP(I729,Presupuesto!$B$11:$C$565,2,0)</f>
        <v>AGUINALDO Y DECIMO CUARTO MES</v>
      </c>
      <c r="K729" s="98" t="str">
        <f t="shared" si="22"/>
        <v>Posgrado</v>
      </c>
      <c r="L729" s="98" t="s">
        <v>395</v>
      </c>
    </row>
    <row r="730" spans="3:12" ht="15.75" thickBot="1">
      <c r="C730" s="172" t="s">
        <v>59</v>
      </c>
      <c r="D730" s="163"/>
      <c r="E730" s="154">
        <v>0</v>
      </c>
      <c r="F730" s="117">
        <f>IF(E728&lt;6,"",((E728-6)/12)*(G728/E728))</f>
        <v>0</v>
      </c>
      <c r="G730" s="97">
        <f>F730</f>
        <v>0</v>
      </c>
      <c r="H730" s="164"/>
      <c r="I730" s="101" t="s">
        <v>519</v>
      </c>
      <c r="J730" s="101" t="str">
        <f>VLOOKUP(I730,Presupuesto!$B$11:$C$565,2,0)</f>
        <v>DECIMOCUARTO MES</v>
      </c>
      <c r="K730" s="98" t="str">
        <f t="shared" si="22"/>
        <v>Posgrado</v>
      </c>
      <c r="L730" s="98" t="s">
        <v>395</v>
      </c>
    </row>
    <row r="731" spans="3:12" ht="15.75" thickBot="1">
      <c r="C731" s="137" t="s">
        <v>484</v>
      </c>
      <c r="D731" s="199"/>
      <c r="E731" s="152">
        <v>12</v>
      </c>
      <c r="F731" s="301">
        <f>HLOOKUP($C731,$BZ$2:$CM$3,2,0)</f>
        <v>35733.589999999997</v>
      </c>
      <c r="G731" s="113">
        <f>D731*E731*F731</f>
        <v>0</v>
      </c>
      <c r="H731" s="166"/>
      <c r="I731" s="114" t="s">
        <v>496</v>
      </c>
      <c r="J731" s="114" t="str">
        <f>VLOOKUP(I731,Presupuesto!$B$11:$C$565,2,0)</f>
        <v>SUELDOS Y SALARIOS PERMANENTES</v>
      </c>
      <c r="K731" s="98" t="str">
        <f t="shared" si="22"/>
        <v>Posgrado</v>
      </c>
      <c r="L731" s="98" t="s">
        <v>395</v>
      </c>
    </row>
    <row r="732" spans="3:12">
      <c r="C732" s="171" t="s">
        <v>58</v>
      </c>
      <c r="D732" s="163"/>
      <c r="E732" s="154">
        <v>0</v>
      </c>
      <c r="F732" s="100">
        <f>IF(E731=0,"",(G731/E731)/12*E731)</f>
        <v>0</v>
      </c>
      <c r="G732" s="97">
        <f>F732</f>
        <v>0</v>
      </c>
      <c r="H732" s="164"/>
      <c r="I732" s="116" t="s">
        <v>516</v>
      </c>
      <c r="J732" s="116" t="str">
        <f>VLOOKUP(I732,Presupuesto!$B$11:$C$565,2,0)</f>
        <v>AGUINALDO Y DECIMO CUARTO MES</v>
      </c>
      <c r="K732" s="98" t="str">
        <f t="shared" si="22"/>
        <v>Posgrado</v>
      </c>
      <c r="L732" s="98" t="s">
        <v>395</v>
      </c>
    </row>
    <row r="733" spans="3:12" ht="15.75" thickBot="1">
      <c r="C733" s="172" t="s">
        <v>59</v>
      </c>
      <c r="D733" s="163"/>
      <c r="E733" s="154">
        <v>0</v>
      </c>
      <c r="F733" s="117">
        <f>IF(E731&lt;6,"",((E731-6)/12)*(G731/E731))</f>
        <v>0</v>
      </c>
      <c r="G733" s="97">
        <f>F733</f>
        <v>0</v>
      </c>
      <c r="H733" s="164"/>
      <c r="I733" s="101" t="s">
        <v>519</v>
      </c>
      <c r="J733" s="101" t="str">
        <f>VLOOKUP(I733,Presupuesto!$B$11:$C$565,2,0)</f>
        <v>DECIMOCUARTO MES</v>
      </c>
      <c r="K733" s="98" t="str">
        <f t="shared" si="22"/>
        <v>Posgrado</v>
      </c>
      <c r="L733" s="98" t="s">
        <v>395</v>
      </c>
    </row>
    <row r="734" spans="3:12" ht="15.75" thickBot="1">
      <c r="C734" s="137" t="s">
        <v>485</v>
      </c>
      <c r="D734" s="199"/>
      <c r="E734" s="152">
        <v>12</v>
      </c>
      <c r="F734" s="301">
        <f>HLOOKUP($C734,$BZ$2:$CM$3,2,0)</f>
        <v>31763.19</v>
      </c>
      <c r="G734" s="113">
        <f>D734*E734*F734</f>
        <v>0</v>
      </c>
      <c r="H734" s="166"/>
      <c r="I734" s="114" t="s">
        <v>496</v>
      </c>
      <c r="J734" s="114" t="str">
        <f>VLOOKUP(I734,Presupuesto!$B$11:$C$565,2,0)</f>
        <v>SUELDOS Y SALARIOS PERMANENTES</v>
      </c>
      <c r="K734" s="98" t="str">
        <f t="shared" si="22"/>
        <v>Posgrado</v>
      </c>
      <c r="L734" s="98" t="s">
        <v>395</v>
      </c>
    </row>
    <row r="735" spans="3:12">
      <c r="C735" s="171" t="s">
        <v>58</v>
      </c>
      <c r="D735" s="163"/>
      <c r="E735" s="154">
        <v>0</v>
      </c>
      <c r="F735" s="100">
        <f>IF(E734=0,"",(G734/E734)/12*E734)</f>
        <v>0</v>
      </c>
      <c r="G735" s="97">
        <f>F735</f>
        <v>0</v>
      </c>
      <c r="H735" s="164"/>
      <c r="I735" s="116" t="s">
        <v>516</v>
      </c>
      <c r="J735" s="116" t="str">
        <f>VLOOKUP(I735,Presupuesto!$B$11:$C$565,2,0)</f>
        <v>AGUINALDO Y DECIMO CUARTO MES</v>
      </c>
      <c r="K735" s="98" t="str">
        <f t="shared" si="22"/>
        <v>Posgrado</v>
      </c>
      <c r="L735" s="98" t="s">
        <v>395</v>
      </c>
    </row>
    <row r="736" spans="3:12" ht="15.75" thickBot="1">
      <c r="C736" s="172" t="s">
        <v>59</v>
      </c>
      <c r="D736" s="163"/>
      <c r="E736" s="154">
        <v>0</v>
      </c>
      <c r="F736" s="117">
        <f>IF(E734&lt;6,"",((E734-6)/12)*(G734/E734))</f>
        <v>0</v>
      </c>
      <c r="G736" s="97">
        <f>F736</f>
        <v>0</v>
      </c>
      <c r="H736" s="164"/>
      <c r="I736" s="101" t="s">
        <v>519</v>
      </c>
      <c r="J736" s="101" t="str">
        <f>VLOOKUP(I736,Presupuesto!$B$11:$C$565,2,0)</f>
        <v>DECIMOCUARTO MES</v>
      </c>
      <c r="K736" s="98" t="str">
        <f t="shared" si="22"/>
        <v>Posgrado</v>
      </c>
      <c r="L736" s="98" t="s">
        <v>395</v>
      </c>
    </row>
    <row r="737" spans="3:12" ht="15.75" thickBot="1">
      <c r="C737" s="137" t="s">
        <v>486</v>
      </c>
      <c r="D737" s="199"/>
      <c r="E737" s="152">
        <v>12</v>
      </c>
      <c r="F737" s="301">
        <f>HLOOKUP($C737,$BZ$2:$CM$3,2,0)</f>
        <v>29777.99</v>
      </c>
      <c r="G737" s="113">
        <f>D737*E737*F737</f>
        <v>0</v>
      </c>
      <c r="H737" s="166"/>
      <c r="I737" s="114" t="s">
        <v>496</v>
      </c>
      <c r="J737" s="114" t="str">
        <f>VLOOKUP(I737,Presupuesto!$B$11:$C$565,2,0)</f>
        <v>SUELDOS Y SALARIOS PERMANENTES</v>
      </c>
      <c r="K737" s="98" t="str">
        <f t="shared" si="22"/>
        <v>Posgrado</v>
      </c>
      <c r="L737" s="98" t="s">
        <v>395</v>
      </c>
    </row>
    <row r="738" spans="3:12">
      <c r="C738" s="171" t="s">
        <v>58</v>
      </c>
      <c r="D738" s="163"/>
      <c r="E738" s="154">
        <v>0</v>
      </c>
      <c r="F738" s="100">
        <f>IF(E737=0,"",(G737/E737)/12*E737)</f>
        <v>0</v>
      </c>
      <c r="G738" s="97">
        <f>F738</f>
        <v>0</v>
      </c>
      <c r="H738" s="164"/>
      <c r="I738" s="116" t="s">
        <v>516</v>
      </c>
      <c r="J738" s="116" t="str">
        <f>VLOOKUP(I738,Presupuesto!$B$11:$C$565,2,0)</f>
        <v>AGUINALDO Y DECIMO CUARTO MES</v>
      </c>
      <c r="K738" s="98" t="str">
        <f t="shared" si="22"/>
        <v>Posgrado</v>
      </c>
      <c r="L738" s="98" t="s">
        <v>395</v>
      </c>
    </row>
    <row r="739" spans="3:12" ht="15.75" thickBot="1">
      <c r="C739" s="172" t="s">
        <v>59</v>
      </c>
      <c r="D739" s="163"/>
      <c r="E739" s="154">
        <v>0</v>
      </c>
      <c r="F739" s="117">
        <f>IF(E737&lt;6,"",((E737-6)/12)*(G737/E737))</f>
        <v>0</v>
      </c>
      <c r="G739" s="97">
        <f>F739</f>
        <v>0</v>
      </c>
      <c r="H739" s="164"/>
      <c r="I739" s="101" t="s">
        <v>519</v>
      </c>
      <c r="J739" s="101" t="str">
        <f>VLOOKUP(I739,Presupuesto!$B$11:$C$565,2,0)</f>
        <v>DECIMOCUARTO MES</v>
      </c>
      <c r="K739" s="98" t="str">
        <f t="shared" si="22"/>
        <v>Posgrado</v>
      </c>
      <c r="L739" s="98" t="s">
        <v>395</v>
      </c>
    </row>
    <row r="740" spans="3:12" ht="15.75" thickBot="1">
      <c r="C740" s="137" t="s">
        <v>487</v>
      </c>
      <c r="D740" s="199"/>
      <c r="E740" s="152">
        <v>12</v>
      </c>
      <c r="F740" s="301">
        <f>HLOOKUP($C740,$BZ$2:$CM$3,2,0)</f>
        <v>27792.79</v>
      </c>
      <c r="G740" s="113">
        <f>D740*E740*F740</f>
        <v>0</v>
      </c>
      <c r="H740" s="166"/>
      <c r="I740" s="114" t="s">
        <v>496</v>
      </c>
      <c r="J740" s="114" t="str">
        <f>VLOOKUP(I740,Presupuesto!$B$11:$C$565,2,0)</f>
        <v>SUELDOS Y SALARIOS PERMANENTES</v>
      </c>
      <c r="K740" s="98" t="str">
        <f t="shared" si="22"/>
        <v>Posgrado</v>
      </c>
      <c r="L740" s="98" t="s">
        <v>395</v>
      </c>
    </row>
    <row r="741" spans="3:12">
      <c r="C741" s="171" t="s">
        <v>58</v>
      </c>
      <c r="D741" s="163"/>
      <c r="E741" s="154">
        <v>0</v>
      </c>
      <c r="F741" s="100">
        <f>IF(E740=0,"",(G740/E740)/12*E740)</f>
        <v>0</v>
      </c>
      <c r="G741" s="97">
        <f>F741</f>
        <v>0</v>
      </c>
      <c r="H741" s="164"/>
      <c r="I741" s="116" t="s">
        <v>516</v>
      </c>
      <c r="J741" s="116" t="str">
        <f>VLOOKUP(I741,Presupuesto!$B$11:$C$565,2,0)</f>
        <v>AGUINALDO Y DECIMO CUARTO MES</v>
      </c>
      <c r="K741" s="98" t="str">
        <f t="shared" si="22"/>
        <v>Posgrado</v>
      </c>
      <c r="L741" s="98" t="s">
        <v>395</v>
      </c>
    </row>
    <row r="742" spans="3:12" ht="15.75" thickBot="1">
      <c r="C742" s="172" t="s">
        <v>59</v>
      </c>
      <c r="D742" s="163"/>
      <c r="E742" s="154">
        <v>0</v>
      </c>
      <c r="F742" s="117">
        <f>IF(E740&lt;6,"",((E740-6)/12)*(G740/E740))</f>
        <v>0</v>
      </c>
      <c r="G742" s="97">
        <f>F742</f>
        <v>0</v>
      </c>
      <c r="H742" s="164"/>
      <c r="I742" s="101" t="s">
        <v>519</v>
      </c>
      <c r="J742" s="101" t="str">
        <f>VLOOKUP(I742,Presupuesto!$B$11:$C$565,2,0)</f>
        <v>DECIMOCUARTO MES</v>
      </c>
      <c r="K742" s="98" t="str">
        <f t="shared" si="22"/>
        <v>Posgrado</v>
      </c>
      <c r="L742" s="98" t="s">
        <v>395</v>
      </c>
    </row>
    <row r="743" spans="3:12" ht="15.75" thickBot="1">
      <c r="C743" s="137" t="s">
        <v>488</v>
      </c>
      <c r="D743" s="199"/>
      <c r="E743" s="152">
        <v>12</v>
      </c>
      <c r="F743" s="301">
        <f>HLOOKUP($C743,$BZ$2:$CM$3,2,0)</f>
        <v>18859.39</v>
      </c>
      <c r="G743" s="113">
        <f>D743*E743*F743</f>
        <v>0</v>
      </c>
      <c r="H743" s="166"/>
      <c r="I743" s="114" t="s">
        <v>496</v>
      </c>
      <c r="J743" s="114" t="str">
        <f>VLOOKUP(I743,Presupuesto!$B$11:$C$565,2,0)</f>
        <v>SUELDOS Y SALARIOS PERMANENTES</v>
      </c>
      <c r="K743" s="98" t="str">
        <f t="shared" si="22"/>
        <v>Posgrado</v>
      </c>
      <c r="L743" s="98" t="s">
        <v>395</v>
      </c>
    </row>
    <row r="744" spans="3:12">
      <c r="C744" s="171" t="s">
        <v>58</v>
      </c>
      <c r="D744" s="163"/>
      <c r="E744" s="154">
        <v>0</v>
      </c>
      <c r="F744" s="100">
        <f>IF(E743=0,"",(G743/E743)/12*E743)</f>
        <v>0</v>
      </c>
      <c r="G744" s="97">
        <f>F744</f>
        <v>0</v>
      </c>
      <c r="H744" s="164"/>
      <c r="I744" s="116" t="s">
        <v>516</v>
      </c>
      <c r="J744" s="116" t="str">
        <f>VLOOKUP(I744,Presupuesto!$B$11:$C$565,2,0)</f>
        <v>AGUINALDO Y DECIMO CUARTO MES</v>
      </c>
      <c r="K744" s="98" t="str">
        <f t="shared" si="22"/>
        <v>Posgrado</v>
      </c>
      <c r="L744" s="98" t="s">
        <v>395</v>
      </c>
    </row>
    <row r="745" spans="3:12" ht="15.75" thickBot="1">
      <c r="C745" s="172" t="s">
        <v>59</v>
      </c>
      <c r="D745" s="163"/>
      <c r="E745" s="154">
        <v>0</v>
      </c>
      <c r="F745" s="117">
        <f>IF(E743&lt;6,"",((E743-6)/12)*(G743/E743))</f>
        <v>0</v>
      </c>
      <c r="G745" s="97">
        <f>F745</f>
        <v>0</v>
      </c>
      <c r="H745" s="164"/>
      <c r="I745" s="101" t="s">
        <v>519</v>
      </c>
      <c r="J745" s="101" t="str">
        <f>VLOOKUP(I745,Presupuesto!$B$11:$C$565,2,0)</f>
        <v>DECIMOCUARTO MES</v>
      </c>
      <c r="K745" s="98" t="str">
        <f t="shared" si="22"/>
        <v>Posgrado</v>
      </c>
      <c r="L745" s="98" t="s">
        <v>395</v>
      </c>
    </row>
    <row r="746" spans="3:12" ht="15.75" thickBot="1">
      <c r="C746" s="137" t="s">
        <v>489</v>
      </c>
      <c r="D746" s="199"/>
      <c r="E746" s="152">
        <v>12</v>
      </c>
      <c r="F746" s="301">
        <f>HLOOKUP($C746,$BZ$2:$CM$3,2,0)</f>
        <v>17866.8</v>
      </c>
      <c r="G746" s="113">
        <f>D746*E746*F746</f>
        <v>0</v>
      </c>
      <c r="H746" s="166"/>
      <c r="I746" s="114" t="s">
        <v>496</v>
      </c>
      <c r="J746" s="114" t="str">
        <f>VLOOKUP(I746,Presupuesto!$B$11:$C$565,2,0)</f>
        <v>SUELDOS Y SALARIOS PERMANENTES</v>
      </c>
      <c r="K746" s="98" t="str">
        <f t="shared" si="22"/>
        <v>Posgrado</v>
      </c>
      <c r="L746" s="98" t="s">
        <v>395</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si="22"/>
        <v>Posgrado</v>
      </c>
      <c r="L747" s="98" t="s">
        <v>395</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2"/>
        <v>Posgrado</v>
      </c>
      <c r="L748" s="98" t="s">
        <v>395</v>
      </c>
    </row>
    <row r="749" spans="3:12" ht="15.75" thickBot="1">
      <c r="C749" s="137" t="s">
        <v>490</v>
      </c>
      <c r="D749" s="199"/>
      <c r="E749" s="152">
        <v>12</v>
      </c>
      <c r="F749" s="301">
        <f>HLOOKUP($C749,$BZ$2:$CM$3,2,0)</f>
        <v>13896.4</v>
      </c>
      <c r="G749" s="113">
        <f>D749*E749*F749</f>
        <v>0</v>
      </c>
      <c r="H749" s="166"/>
      <c r="I749" s="114" t="s">
        <v>496</v>
      </c>
      <c r="J749" s="114" t="str">
        <f>VLOOKUP(I749,Presupuesto!$B$11:$C$565,2,0)</f>
        <v>SUELDOS Y SALARIOS PERMANENTES</v>
      </c>
      <c r="K749" s="98" t="str">
        <f t="shared" si="22"/>
        <v>Posgrado</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2"/>
        <v>Posgrado</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2"/>
        <v>Posgrado</v>
      </c>
      <c r="L751" s="98" t="s">
        <v>395</v>
      </c>
    </row>
    <row r="752" spans="3:12" ht="15.75" thickBot="1">
      <c r="C752" s="137" t="s">
        <v>491</v>
      </c>
      <c r="D752" s="199"/>
      <c r="E752" s="152">
        <v>12</v>
      </c>
      <c r="F752" s="301">
        <f>HLOOKUP($C752,$BZ$2:$CM$3,2,0)</f>
        <v>15004.09</v>
      </c>
      <c r="G752" s="113">
        <f>D752*E752*F752</f>
        <v>0</v>
      </c>
      <c r="H752" s="166"/>
      <c r="I752" s="114" t="s">
        <v>496</v>
      </c>
      <c r="J752" s="114" t="str">
        <f>VLOOKUP(I752,Presupuesto!$B$11:$C$565,2,0)</f>
        <v>SUELDOS Y SALARIOS PERMANENTES</v>
      </c>
      <c r="K752" s="98" t="str">
        <f t="shared" si="22"/>
        <v>Posgrado</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2"/>
        <v>Posgrado</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2"/>
        <v>Posgrado</v>
      </c>
      <c r="L754" s="98" t="s">
        <v>395</v>
      </c>
    </row>
    <row r="755" spans="3:12" ht="15.75" thickBot="1">
      <c r="C755" s="137" t="s">
        <v>492</v>
      </c>
      <c r="D755" s="199"/>
      <c r="E755" s="152">
        <v>12</v>
      </c>
      <c r="F755" s="301">
        <f>HLOOKUP($C755,$BZ$2:$CM$3,2,0)</f>
        <v>13238.9</v>
      </c>
      <c r="G755" s="113">
        <f>D755*E755*F755</f>
        <v>0</v>
      </c>
      <c r="H755" s="166"/>
      <c r="I755" s="114" t="s">
        <v>496</v>
      </c>
      <c r="J755" s="114" t="str">
        <f>VLOOKUP(I755,Presupuesto!$B$11:$C$565,2,0)</f>
        <v>SUELDOS Y SALARIOS PERMANENTES</v>
      </c>
      <c r="K755" s="98" t="str">
        <f t="shared" si="22"/>
        <v>Posgrado</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2"/>
        <v>Posgrado</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2"/>
        <v>Posgrado</v>
      </c>
      <c r="L757" s="98" t="s">
        <v>395</v>
      </c>
    </row>
    <row r="758" spans="3:12" ht="15.75" thickBot="1">
      <c r="C758" s="137" t="s">
        <v>493</v>
      </c>
      <c r="D758" s="199"/>
      <c r="E758" s="152">
        <v>12</v>
      </c>
      <c r="F758" s="301">
        <f>HLOOKUP($C758,$BZ$2:$CM$3,2,0)</f>
        <v>12356.31</v>
      </c>
      <c r="G758" s="113">
        <f>D758*E758*F758</f>
        <v>0</v>
      </c>
      <c r="H758" s="166"/>
      <c r="I758" s="114" t="s">
        <v>496</v>
      </c>
      <c r="J758" s="114" t="str">
        <f>VLOOKUP(I758,Presupuesto!$B$11:$C$565,2,0)</f>
        <v>SUELDOS Y SALARIOS PERMANENTES</v>
      </c>
      <c r="K758" s="98" t="str">
        <f t="shared" ref="K758:K775" si="23">$K$725</f>
        <v>Posgrado</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3"/>
        <v>Posgrado</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3"/>
        <v>Posgrado</v>
      </c>
      <c r="L760" s="98" t="s">
        <v>395</v>
      </c>
    </row>
    <row r="761" spans="3:12" ht="15.75" thickBot="1">
      <c r="C761" s="137" t="s">
        <v>494</v>
      </c>
      <c r="D761" s="199"/>
      <c r="E761" s="152">
        <v>12</v>
      </c>
      <c r="F761" s="301">
        <f>HLOOKUP($C761,$BZ$2:$CM$3,2,0)</f>
        <v>463.22</v>
      </c>
      <c r="G761" s="113">
        <f>D761*E761*F761</f>
        <v>0</v>
      </c>
      <c r="H761" s="166"/>
      <c r="I761" s="114" t="s">
        <v>496</v>
      </c>
      <c r="J761" s="114" t="str">
        <f>VLOOKUP(I761,Presupuesto!$B$11:$C$565,2,0)</f>
        <v>SUELDOS Y SALARIOS PERMANENTES</v>
      </c>
      <c r="K761" s="98" t="str">
        <f t="shared" si="23"/>
        <v>Posgrado</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3"/>
        <v>Posgrado</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3"/>
        <v>Posgrado</v>
      </c>
      <c r="L763" s="98" t="s">
        <v>395</v>
      </c>
    </row>
    <row r="764" spans="3:12" ht="15.75" thickBot="1">
      <c r="C764" s="137" t="s">
        <v>495</v>
      </c>
      <c r="D764" s="199"/>
      <c r="E764" s="152">
        <v>12</v>
      </c>
      <c r="F764" s="301">
        <f>HLOOKUP($C764,$BZ$2:$CM$3,2,0)</f>
        <v>2007.3</v>
      </c>
      <c r="G764" s="113">
        <f>D764*E764*F764</f>
        <v>0</v>
      </c>
      <c r="H764" s="166"/>
      <c r="I764" s="114" t="s">
        <v>496</v>
      </c>
      <c r="J764" s="114" t="str">
        <f>VLOOKUP(I764,Presupuesto!$B$11:$C$565,2,0)</f>
        <v>SUELDOS Y SALARIOS PERMANENTES</v>
      </c>
      <c r="K764" s="98" t="str">
        <f t="shared" si="23"/>
        <v>Posgrado</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3"/>
        <v>Posgrado</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3"/>
        <v>Posgrado</v>
      </c>
      <c r="L766" s="98" t="s">
        <v>395</v>
      </c>
    </row>
    <row r="767" spans="3:12" ht="15.75" thickBot="1">
      <c r="C767" s="140" t="s">
        <v>83</v>
      </c>
      <c r="D767" s="199"/>
      <c r="E767" s="152">
        <v>12</v>
      </c>
      <c r="F767" s="139">
        <v>30000</v>
      </c>
      <c r="G767" s="113">
        <f>D767*E767*F767</f>
        <v>0</v>
      </c>
      <c r="H767" s="166"/>
      <c r="I767" s="114" t="s">
        <v>564</v>
      </c>
      <c r="J767" s="114" t="str">
        <f>VLOOKUP(I767,Presupuesto!$B$11:$C$565,2,0)</f>
        <v>CONTRATOS ESPECIALES</v>
      </c>
      <c r="K767" s="98" t="str">
        <f t="shared" si="23"/>
        <v>Posgrado</v>
      </c>
      <c r="L767" s="98" t="s">
        <v>395</v>
      </c>
    </row>
    <row r="768" spans="3:12">
      <c r="C768" s="171" t="s">
        <v>58</v>
      </c>
      <c r="D768" s="163"/>
      <c r="E768" s="154">
        <v>0</v>
      </c>
      <c r="F768" s="117">
        <f>IF(E767=0,"",(G767/E767)/12*E767)</f>
        <v>0</v>
      </c>
      <c r="G768" s="97">
        <f>F768</f>
        <v>0</v>
      </c>
      <c r="H768" s="164"/>
      <c r="I768" s="101" t="s">
        <v>564</v>
      </c>
      <c r="J768" s="101" t="str">
        <f>VLOOKUP(I768,Presupuesto!$B$11:$C$565,2,0)</f>
        <v>CONTRATOS ESPECIALES</v>
      </c>
      <c r="K768" s="98" t="str">
        <f t="shared" si="23"/>
        <v>Posgrado</v>
      </c>
      <c r="L768" s="98" t="s">
        <v>394</v>
      </c>
    </row>
    <row r="769" spans="3:12" ht="15.75" thickBot="1">
      <c r="C769" s="172" t="s">
        <v>59</v>
      </c>
      <c r="D769" s="163"/>
      <c r="E769" s="154">
        <v>0</v>
      </c>
      <c r="F769" s="100">
        <f>IF(E767&lt;6,"",((E767-6)/12)*(G767/E767))</f>
        <v>0</v>
      </c>
      <c r="G769" s="97">
        <f>F769</f>
        <v>0</v>
      </c>
      <c r="H769" s="164"/>
      <c r="I769" s="101" t="s">
        <v>564</v>
      </c>
      <c r="J769" s="101" t="str">
        <f>VLOOKUP(I769,Presupuesto!$B$11:$C$565,2,0)</f>
        <v>CONTRATOS ESPECIALES</v>
      </c>
      <c r="K769" s="98" t="str">
        <f t="shared" si="23"/>
        <v>Posgrado</v>
      </c>
      <c r="L769" s="98" t="s">
        <v>399</v>
      </c>
    </row>
    <row r="770" spans="3:12" ht="15.75" thickBot="1">
      <c r="C770" s="140" t="s">
        <v>60</v>
      </c>
      <c r="D770" s="199"/>
      <c r="E770" s="152">
        <v>12</v>
      </c>
      <c r="F770" s="118">
        <v>30000</v>
      </c>
      <c r="G770" s="113">
        <f>D770*E770*F770</f>
        <v>0</v>
      </c>
      <c r="H770" s="166"/>
      <c r="I770" s="114" t="s">
        <v>705</v>
      </c>
      <c r="J770" s="114" t="str">
        <f>VLOOKUP(I770,Presupuesto!$B$11:$C$565,2,0)</f>
        <v>OTROS SERVICIOS TECNICOS Y PROFESIONALES</v>
      </c>
      <c r="K770" s="98" t="str">
        <f t="shared" si="23"/>
        <v>Posgrado</v>
      </c>
      <c r="L770" s="98" t="s">
        <v>394</v>
      </c>
    </row>
    <row r="771" spans="3:12">
      <c r="C771" s="171" t="s">
        <v>58</v>
      </c>
      <c r="D771" s="163"/>
      <c r="E771" s="154">
        <v>0</v>
      </c>
      <c r="F771" s="100">
        <v>0</v>
      </c>
      <c r="G771" s="97">
        <f>F771</f>
        <v>0</v>
      </c>
      <c r="H771" s="164"/>
      <c r="I771" s="101" t="s">
        <v>705</v>
      </c>
      <c r="J771" s="101" t="str">
        <f>VLOOKUP(I771,Presupuesto!$B$11:$C$565,2,0)</f>
        <v>OTROS SERVICIOS TECNICOS Y PROFESIONALES</v>
      </c>
      <c r="K771" s="98" t="str">
        <f t="shared" si="23"/>
        <v>Posgrado</v>
      </c>
      <c r="L771" s="98" t="s">
        <v>394</v>
      </c>
    </row>
    <row r="772" spans="3:12" ht="15.75" thickBot="1">
      <c r="C772" s="172" t="s">
        <v>59</v>
      </c>
      <c r="D772" s="163"/>
      <c r="E772" s="154">
        <v>0</v>
      </c>
      <c r="F772" s="100">
        <v>0</v>
      </c>
      <c r="G772" s="97">
        <f>F772</f>
        <v>0</v>
      </c>
      <c r="H772" s="164"/>
      <c r="I772" s="101" t="s">
        <v>705</v>
      </c>
      <c r="J772" s="101" t="str">
        <f>VLOOKUP(I772,Presupuesto!$B$11:$C$565,2,0)</f>
        <v>OTROS SERVICIOS TECNICOS Y PROFESIONALES</v>
      </c>
      <c r="K772" s="98" t="str">
        <f t="shared" si="23"/>
        <v>Posgrado</v>
      </c>
      <c r="L772" s="98" t="s">
        <v>394</v>
      </c>
    </row>
    <row r="773" spans="3:12" ht="15.75" thickBot="1">
      <c r="C773" s="140" t="s">
        <v>61</v>
      </c>
      <c r="D773" s="199"/>
      <c r="E773" s="152">
        <v>12</v>
      </c>
      <c r="F773" s="118">
        <v>30000</v>
      </c>
      <c r="G773" s="113">
        <f>D773*E773*F773</f>
        <v>0</v>
      </c>
      <c r="H773" s="166"/>
      <c r="I773" s="114" t="s">
        <v>496</v>
      </c>
      <c r="J773" s="114" t="str">
        <f>VLOOKUP(I773,Presupuesto!$B$11:$C$565,2,0)</f>
        <v>SUELDOS Y SALARIOS PERMANENTES</v>
      </c>
      <c r="K773" s="98" t="str">
        <f t="shared" si="23"/>
        <v>Posgrado</v>
      </c>
      <c r="L773" s="98" t="s">
        <v>394</v>
      </c>
    </row>
    <row r="774" spans="3:12">
      <c r="C774" s="171" t="s">
        <v>58</v>
      </c>
      <c r="D774" s="169"/>
      <c r="E774" s="131">
        <v>0</v>
      </c>
      <c r="F774" s="119">
        <f>IF(E773=0,"",(G773/E773)/12*E773)</f>
        <v>0</v>
      </c>
      <c r="G774" s="120">
        <f>F774</f>
        <v>0</v>
      </c>
      <c r="H774" s="164"/>
      <c r="I774" s="101" t="s">
        <v>516</v>
      </c>
      <c r="J774" s="101" t="str">
        <f>VLOOKUP(I774,Presupuesto!$B$11:$C$565,2,0)</f>
        <v>AGUINALDO Y DECIMO CUARTO MES</v>
      </c>
      <c r="K774" s="98" t="str">
        <f t="shared" si="23"/>
        <v>Posgrado</v>
      </c>
      <c r="L774" s="98" t="s">
        <v>394</v>
      </c>
    </row>
    <row r="775" spans="3:12" ht="15.75" thickBot="1">
      <c r="C775" s="173" t="s">
        <v>59</v>
      </c>
      <c r="D775" s="162"/>
      <c r="E775" s="132">
        <v>0</v>
      </c>
      <c r="F775" s="105">
        <f>IF(E773&lt;6,"",((E773-6)/12)*(G773/E773))</f>
        <v>0</v>
      </c>
      <c r="G775" s="105">
        <f>F775</f>
        <v>0</v>
      </c>
      <c r="H775" s="162"/>
      <c r="I775" s="106" t="s">
        <v>519</v>
      </c>
      <c r="J775" s="124" t="str">
        <f>VLOOKUP(I775,Presupuesto!$B$11:$C$565,2,0)</f>
        <v>DECIMOCUARTO MES</v>
      </c>
      <c r="K775" s="106" t="str">
        <f t="shared" si="23"/>
        <v>Posgrado</v>
      </c>
      <c r="L775" s="124" t="s">
        <v>394</v>
      </c>
    </row>
    <row r="777" spans="3:12" ht="15.75" thickBot="1"/>
    <row r="778" spans="3:12" ht="15.75" thickBot="1">
      <c r="C778" s="69" t="s">
        <v>43</v>
      </c>
      <c r="D778" s="30">
        <f>SUM(G785:G835)</f>
        <v>0</v>
      </c>
      <c r="E778" s="93"/>
      <c r="F778" s="93"/>
      <c r="G778" s="93"/>
      <c r="H778" s="76"/>
      <c r="I778" s="76"/>
      <c r="J778" s="76"/>
    </row>
    <row r="779" spans="3:12">
      <c r="D779" s="31"/>
      <c r="E779" s="93"/>
      <c r="F779" s="93"/>
      <c r="G779" s="93"/>
      <c r="H779" s="76"/>
      <c r="I779" s="76"/>
      <c r="J779" s="76"/>
    </row>
    <row r="780" spans="3:12">
      <c r="D780" s="31"/>
      <c r="E780" s="93"/>
      <c r="F780" s="93"/>
      <c r="G780" s="93"/>
      <c r="H780" s="76"/>
      <c r="I780" s="76"/>
      <c r="J780" s="76"/>
    </row>
    <row r="781" spans="3:12" ht="15.75">
      <c r="C781" s="202" t="s">
        <v>392</v>
      </c>
      <c r="D781" s="361"/>
      <c r="E781" s="93"/>
      <c r="F781" s="93"/>
      <c r="G781" s="93"/>
      <c r="H781" s="76"/>
      <c r="I781" s="76"/>
      <c r="J781" s="76"/>
    </row>
    <row r="782" spans="3:12" ht="18.75">
      <c r="C782" s="210" t="e">
        <f>IFERROR(VLOOKUP(D781,'1. Desarrollo e Innov. Curricu.'!$E:$F,2,FALSE),IFERROR(VLOOKUP(D781,'2. Investigación Científica'!$E:$F,2,FALSE),IFERROR(VLOOKUP(D781,'3. Vinculación Univ. Sociedad'!$E:$F,2,FALSE),IFERROR(VLOOKUP(D781,'4. Docencia y Profesorado Univ.'!$E:$F,2,FALSE),IFERROR(VLOOKUP(D781,'5. Estudiantes y Graduados'!$E:$F,2,FALSE),IFERROR(VLOOKUP(D781,'11. Gestion Administrativa'!$E:$F,2,FALSE),IFERROR(VLOOKUP(D781,'13. Gestión Académica'!$E:$F,2,FALSE),IFERROR(VLOOKUP(D781,'8. Asegura. de la Calid. y M'!$E:$F,2,FALSE),IFERROR(VLOOKUP(D781,'6. Gestión del Conocimiento'!$E:$F,2,FALSE),IFERROR(VLOOKUP(D781,'15. Gobernabilidad y Proceso...'!$E:$F,2,FALSE),IFERROR(VLOOKUP(D781,'12. Gestión del Talento Humano'!$E:$F,2,FALSE),IFERROR(VLOOKUP(D781,'14. Internacional... de la E.S.'!$E:$F,2,FALSE),IFERROR(VLOOKUP(D781,'10. Posgrado'!$E:$F,2,FALSE),IFERROR(VLOOKUP(D781,'17. Gestión TIC'!$E:$F,2,FALSE),IFERROR(VLOOKUP(D781,'16. Desa. del Sistema Educ.Sup.'!$E:$F,2,FALSE),IFERROR(VLOOKUP(D781,'9. Cultura de Inno. Insti...'!$E:$F,2,FALSE),VLOOKUP(D781,'7. Lo Esencial de la Reforma U.'!$E:$F,2,0)))))))))))))))))</f>
        <v>#N/A</v>
      </c>
      <c r="D782" s="31"/>
      <c r="E782" s="93"/>
      <c r="F782" s="93"/>
      <c r="G782" s="93"/>
      <c r="H782" s="76"/>
      <c r="I782" s="76"/>
      <c r="J782" s="76"/>
    </row>
    <row r="783" spans="3:12" ht="15.75" thickBot="1">
      <c r="C783" s="177"/>
      <c r="D783" s="31"/>
      <c r="E783" s="93"/>
      <c r="F783" s="93"/>
      <c r="G783" s="93"/>
      <c r="H783" s="76"/>
      <c r="I783" s="76"/>
      <c r="J783" s="76"/>
      <c r="K783" s="153"/>
    </row>
    <row r="784" spans="3:12" ht="30.75" thickBot="1">
      <c r="C784" s="134" t="s">
        <v>44</v>
      </c>
      <c r="D784" s="138" t="s">
        <v>55</v>
      </c>
      <c r="E784" s="170" t="s">
        <v>56</v>
      </c>
      <c r="F784" s="138" t="s">
        <v>57</v>
      </c>
      <c r="G784" s="135" t="s">
        <v>27</v>
      </c>
      <c r="H784" s="133" t="s">
        <v>131</v>
      </c>
      <c r="I784" s="136" t="s">
        <v>46</v>
      </c>
      <c r="J784" s="136" t="s">
        <v>132</v>
      </c>
      <c r="K784" s="136" t="s">
        <v>410</v>
      </c>
      <c r="L784" s="136" t="s">
        <v>411</v>
      </c>
    </row>
    <row r="785" spans="3:12" ht="15.75" thickBot="1">
      <c r="C785" s="137" t="s">
        <v>482</v>
      </c>
      <c r="D785" s="199"/>
      <c r="E785" s="152">
        <v>12</v>
      </c>
      <c r="F785" s="301">
        <f>HLOOKUP($C785,$BZ$2:$CM$3,2,0)</f>
        <v>43674.39</v>
      </c>
      <c r="G785" s="113">
        <f>D785*E785*F785</f>
        <v>0</v>
      </c>
      <c r="H785" s="166"/>
      <c r="I785" s="114" t="s">
        <v>496</v>
      </c>
      <c r="J785" s="114" t="str">
        <f>VLOOKUP(I785,Presupuesto!$B$11:$C$565,2,0)</f>
        <v>SUELDOS Y SALARIOS PERMANENTES</v>
      </c>
      <c r="K785" s="218" t="s">
        <v>1456</v>
      </c>
      <c r="L785" s="98" t="s">
        <v>394</v>
      </c>
    </row>
    <row r="786" spans="3:12">
      <c r="C786" s="171" t="s">
        <v>58</v>
      </c>
      <c r="D786" s="163"/>
      <c r="E786" s="154">
        <v>0</v>
      </c>
      <c r="F786" s="100">
        <f>IF(E785=0,"",(G785/E785)/12*E785)</f>
        <v>0</v>
      </c>
      <c r="G786" s="97">
        <f>F786</f>
        <v>0</v>
      </c>
      <c r="H786" s="164"/>
      <c r="I786" s="116" t="s">
        <v>516</v>
      </c>
      <c r="J786" s="116" t="str">
        <f>VLOOKUP(I786,Presupuesto!$B$11:$C$565,2,0)</f>
        <v>AGUINALDO Y DECIMO CUARTO MES</v>
      </c>
      <c r="K786" s="98" t="str">
        <f t="shared" ref="K786:K817" si="24">$K$785</f>
        <v>Desarrollo del Sistema de Educación Superior</v>
      </c>
      <c r="L786" s="98" t="s">
        <v>412</v>
      </c>
    </row>
    <row r="787" spans="3:12" ht="15.75" thickBot="1">
      <c r="C787" s="172" t="s">
        <v>59</v>
      </c>
      <c r="D787" s="163"/>
      <c r="E787" s="154">
        <v>0</v>
      </c>
      <c r="F787" s="117">
        <f>IF(E785&lt;6,"",((E785-6)/12)*(G785/E785))</f>
        <v>0</v>
      </c>
      <c r="G787" s="97">
        <f>F787</f>
        <v>0</v>
      </c>
      <c r="H787" s="164"/>
      <c r="I787" s="101" t="s">
        <v>519</v>
      </c>
      <c r="J787" s="101" t="str">
        <f>VLOOKUP(I787,Presupuesto!$B$11:$C$565,2,0)</f>
        <v>DECIMOCUARTO MES</v>
      </c>
      <c r="K787" s="98" t="str">
        <f t="shared" si="24"/>
        <v>Desarrollo del Sistema de Educación Superior</v>
      </c>
      <c r="L787" s="98" t="s">
        <v>395</v>
      </c>
    </row>
    <row r="788" spans="3:12" ht="15.75" thickBot="1">
      <c r="C788" s="137" t="s">
        <v>483</v>
      </c>
      <c r="D788" s="199"/>
      <c r="E788" s="152">
        <v>12</v>
      </c>
      <c r="F788" s="301">
        <f>HLOOKUP($C788,$BZ$2:$CM$3,2,0)</f>
        <v>39703.99</v>
      </c>
      <c r="G788" s="113">
        <f>D788*E788*F788</f>
        <v>0</v>
      </c>
      <c r="H788" s="166"/>
      <c r="I788" s="114" t="s">
        <v>496</v>
      </c>
      <c r="J788" s="114" t="str">
        <f>VLOOKUP(I788,Presupuesto!$B$11:$C$565,2,0)</f>
        <v>SUELDOS Y SALARIOS PERMANENTES</v>
      </c>
      <c r="K788" s="98" t="str">
        <f t="shared" si="24"/>
        <v>Desarrollo del Sistema de Educación Superior</v>
      </c>
      <c r="L788" s="98" t="s">
        <v>395</v>
      </c>
    </row>
    <row r="789" spans="3:12">
      <c r="C789" s="171" t="s">
        <v>58</v>
      </c>
      <c r="D789" s="163"/>
      <c r="E789" s="154">
        <v>0</v>
      </c>
      <c r="F789" s="100">
        <f>IF(E788=0,"",(G788/E788)/12*E788)</f>
        <v>0</v>
      </c>
      <c r="G789" s="97">
        <f>F789</f>
        <v>0</v>
      </c>
      <c r="H789" s="164"/>
      <c r="I789" s="116" t="s">
        <v>516</v>
      </c>
      <c r="J789" s="116" t="str">
        <f>VLOOKUP(I789,Presupuesto!$B$11:$C$565,2,0)</f>
        <v>AGUINALDO Y DECIMO CUARTO MES</v>
      </c>
      <c r="K789" s="98" t="str">
        <f t="shared" si="24"/>
        <v>Desarrollo del Sistema de Educación Superior</v>
      </c>
      <c r="L789" s="98" t="s">
        <v>395</v>
      </c>
    </row>
    <row r="790" spans="3:12" ht="15.75" thickBot="1">
      <c r="C790" s="172" t="s">
        <v>59</v>
      </c>
      <c r="D790" s="163"/>
      <c r="E790" s="154">
        <v>0</v>
      </c>
      <c r="F790" s="117">
        <f>IF(E788&lt;6,"",((E788-6)/12)*(G788/E788))</f>
        <v>0</v>
      </c>
      <c r="G790" s="97">
        <f>F790</f>
        <v>0</v>
      </c>
      <c r="H790" s="164"/>
      <c r="I790" s="101" t="s">
        <v>519</v>
      </c>
      <c r="J790" s="101" t="str">
        <f>VLOOKUP(I790,Presupuesto!$B$11:$C$565,2,0)</f>
        <v>DECIMOCUARTO MES</v>
      </c>
      <c r="K790" s="98" t="str">
        <f t="shared" si="24"/>
        <v>Desarrollo del Sistema de Educación Superior</v>
      </c>
      <c r="L790" s="98" t="s">
        <v>395</v>
      </c>
    </row>
    <row r="791" spans="3:12" ht="15.75" thickBot="1">
      <c r="C791" s="137" t="s">
        <v>484</v>
      </c>
      <c r="D791" s="199"/>
      <c r="E791" s="152">
        <v>12</v>
      </c>
      <c r="F791" s="301">
        <f>HLOOKUP($C791,$BZ$2:$CM$3,2,0)</f>
        <v>35733.589999999997</v>
      </c>
      <c r="G791" s="113">
        <f>D791*E791*F791</f>
        <v>0</v>
      </c>
      <c r="H791" s="166"/>
      <c r="I791" s="114" t="s">
        <v>496</v>
      </c>
      <c r="J791" s="114" t="str">
        <f>VLOOKUP(I791,Presupuesto!$B$11:$C$565,2,0)</f>
        <v>SUELDOS Y SALARIOS PERMANENTES</v>
      </c>
      <c r="K791" s="98" t="str">
        <f t="shared" si="24"/>
        <v>Desarrollo del Sistema de Educación Superior</v>
      </c>
      <c r="L791" s="98" t="s">
        <v>395</v>
      </c>
    </row>
    <row r="792" spans="3:12">
      <c r="C792" s="171" t="s">
        <v>58</v>
      </c>
      <c r="D792" s="163"/>
      <c r="E792" s="154">
        <v>0</v>
      </c>
      <c r="F792" s="100">
        <f>IF(E791=0,"",(G791/E791)/12*E791)</f>
        <v>0</v>
      </c>
      <c r="G792" s="97">
        <f>F792</f>
        <v>0</v>
      </c>
      <c r="H792" s="164"/>
      <c r="I792" s="116" t="s">
        <v>516</v>
      </c>
      <c r="J792" s="116" t="str">
        <f>VLOOKUP(I792,Presupuesto!$B$11:$C$565,2,0)</f>
        <v>AGUINALDO Y DECIMO CUARTO MES</v>
      </c>
      <c r="K792" s="98" t="str">
        <f t="shared" si="24"/>
        <v>Desarrollo del Sistema de Educación Superior</v>
      </c>
      <c r="L792" s="98" t="s">
        <v>395</v>
      </c>
    </row>
    <row r="793" spans="3:12" ht="15.75" thickBot="1">
      <c r="C793" s="172" t="s">
        <v>59</v>
      </c>
      <c r="D793" s="163"/>
      <c r="E793" s="154">
        <v>0</v>
      </c>
      <c r="F793" s="117">
        <f>IF(E791&lt;6,"",((E791-6)/12)*(G791/E791))</f>
        <v>0</v>
      </c>
      <c r="G793" s="97">
        <f>F793</f>
        <v>0</v>
      </c>
      <c r="H793" s="164"/>
      <c r="I793" s="101" t="s">
        <v>519</v>
      </c>
      <c r="J793" s="101" t="str">
        <f>VLOOKUP(I793,Presupuesto!$B$11:$C$565,2,0)</f>
        <v>DECIMOCUARTO MES</v>
      </c>
      <c r="K793" s="98" t="str">
        <f t="shared" si="24"/>
        <v>Desarrollo del Sistema de Educación Superior</v>
      </c>
      <c r="L793" s="98" t="s">
        <v>395</v>
      </c>
    </row>
    <row r="794" spans="3:12" ht="15.75" thickBot="1">
      <c r="C794" s="137" t="s">
        <v>485</v>
      </c>
      <c r="D794" s="199"/>
      <c r="E794" s="152">
        <v>12</v>
      </c>
      <c r="F794" s="301">
        <f>HLOOKUP($C794,$BZ$2:$CM$3,2,0)</f>
        <v>31763.19</v>
      </c>
      <c r="G794" s="113">
        <f>D794*E794*F794</f>
        <v>0</v>
      </c>
      <c r="H794" s="166"/>
      <c r="I794" s="114" t="s">
        <v>496</v>
      </c>
      <c r="J794" s="114" t="str">
        <f>VLOOKUP(I794,Presupuesto!$B$11:$C$565,2,0)</f>
        <v>SUELDOS Y SALARIOS PERMANENTES</v>
      </c>
      <c r="K794" s="98" t="str">
        <f t="shared" si="24"/>
        <v>Desarrollo del Sistema de Educación Superior</v>
      </c>
      <c r="L794" s="98" t="s">
        <v>395</v>
      </c>
    </row>
    <row r="795" spans="3:12">
      <c r="C795" s="171" t="s">
        <v>58</v>
      </c>
      <c r="D795" s="163"/>
      <c r="E795" s="154">
        <v>0</v>
      </c>
      <c r="F795" s="100">
        <f>IF(E794=0,"",(G794/E794)/12*E794)</f>
        <v>0</v>
      </c>
      <c r="G795" s="97">
        <f>F795</f>
        <v>0</v>
      </c>
      <c r="H795" s="164"/>
      <c r="I795" s="116" t="s">
        <v>516</v>
      </c>
      <c r="J795" s="116" t="str">
        <f>VLOOKUP(I795,Presupuesto!$B$11:$C$565,2,0)</f>
        <v>AGUINALDO Y DECIMO CUARTO MES</v>
      </c>
      <c r="K795" s="98" t="str">
        <f t="shared" si="24"/>
        <v>Desarrollo del Sistema de Educación Superior</v>
      </c>
      <c r="L795" s="98" t="s">
        <v>395</v>
      </c>
    </row>
    <row r="796" spans="3:12" ht="15.75" thickBot="1">
      <c r="C796" s="172" t="s">
        <v>59</v>
      </c>
      <c r="D796" s="163"/>
      <c r="E796" s="154">
        <v>0</v>
      </c>
      <c r="F796" s="117">
        <f>IF(E794&lt;6,"",((E794-6)/12)*(G794/E794))</f>
        <v>0</v>
      </c>
      <c r="G796" s="97">
        <f>F796</f>
        <v>0</v>
      </c>
      <c r="H796" s="164"/>
      <c r="I796" s="101" t="s">
        <v>519</v>
      </c>
      <c r="J796" s="101" t="str">
        <f>VLOOKUP(I796,Presupuesto!$B$11:$C$565,2,0)</f>
        <v>DECIMOCUARTO MES</v>
      </c>
      <c r="K796" s="98" t="str">
        <f t="shared" si="24"/>
        <v>Desarrollo del Sistema de Educación Superior</v>
      </c>
      <c r="L796" s="98" t="s">
        <v>395</v>
      </c>
    </row>
    <row r="797" spans="3:12" ht="15.75" thickBot="1">
      <c r="C797" s="137" t="s">
        <v>486</v>
      </c>
      <c r="D797" s="199"/>
      <c r="E797" s="152">
        <v>12</v>
      </c>
      <c r="F797" s="301">
        <f>HLOOKUP($C797,$BZ$2:$CM$3,2,0)</f>
        <v>29777.99</v>
      </c>
      <c r="G797" s="113">
        <f>D797*E797*F797</f>
        <v>0</v>
      </c>
      <c r="H797" s="166"/>
      <c r="I797" s="114" t="s">
        <v>496</v>
      </c>
      <c r="J797" s="114" t="str">
        <f>VLOOKUP(I797,Presupuesto!$B$11:$C$565,2,0)</f>
        <v>SUELDOS Y SALARIOS PERMANENTES</v>
      </c>
      <c r="K797" s="98" t="str">
        <f t="shared" si="24"/>
        <v>Desarrollo del Sistema de Educación Superior</v>
      </c>
      <c r="L797" s="98" t="s">
        <v>395</v>
      </c>
    </row>
    <row r="798" spans="3:12">
      <c r="C798" s="171" t="s">
        <v>58</v>
      </c>
      <c r="D798" s="163"/>
      <c r="E798" s="154">
        <v>0</v>
      </c>
      <c r="F798" s="100">
        <f>IF(E797=0,"",(G797/E797)/12*E797)</f>
        <v>0</v>
      </c>
      <c r="G798" s="97">
        <f>F798</f>
        <v>0</v>
      </c>
      <c r="H798" s="164"/>
      <c r="I798" s="116" t="s">
        <v>516</v>
      </c>
      <c r="J798" s="116" t="str">
        <f>VLOOKUP(I798,Presupuesto!$B$11:$C$565,2,0)</f>
        <v>AGUINALDO Y DECIMO CUARTO MES</v>
      </c>
      <c r="K798" s="98" t="str">
        <f t="shared" si="24"/>
        <v>Desarrollo del Sistema de Educación Superior</v>
      </c>
      <c r="L798" s="98" t="s">
        <v>395</v>
      </c>
    </row>
    <row r="799" spans="3:12" ht="15.75" thickBot="1">
      <c r="C799" s="172" t="s">
        <v>59</v>
      </c>
      <c r="D799" s="163"/>
      <c r="E799" s="154">
        <v>0</v>
      </c>
      <c r="F799" s="117">
        <f>IF(E797&lt;6,"",((E797-6)/12)*(G797/E797))</f>
        <v>0</v>
      </c>
      <c r="G799" s="97">
        <f>F799</f>
        <v>0</v>
      </c>
      <c r="H799" s="164"/>
      <c r="I799" s="101" t="s">
        <v>519</v>
      </c>
      <c r="J799" s="101" t="str">
        <f>VLOOKUP(I799,Presupuesto!$B$11:$C$565,2,0)</f>
        <v>DECIMOCUARTO MES</v>
      </c>
      <c r="K799" s="98" t="str">
        <f t="shared" si="24"/>
        <v>Desarrollo del Sistema de Educación Superior</v>
      </c>
      <c r="L799" s="98" t="s">
        <v>395</v>
      </c>
    </row>
    <row r="800" spans="3:12" ht="15.75" thickBot="1">
      <c r="C800" s="137" t="s">
        <v>487</v>
      </c>
      <c r="D800" s="199"/>
      <c r="E800" s="152">
        <v>12</v>
      </c>
      <c r="F800" s="301">
        <f>HLOOKUP($C800,$BZ$2:$CM$3,2,0)</f>
        <v>27792.79</v>
      </c>
      <c r="G800" s="113">
        <f>D800*E800*F800</f>
        <v>0</v>
      </c>
      <c r="H800" s="166"/>
      <c r="I800" s="114" t="s">
        <v>496</v>
      </c>
      <c r="J800" s="114" t="str">
        <f>VLOOKUP(I800,Presupuesto!$B$11:$C$565,2,0)</f>
        <v>SUELDOS Y SALARIOS PERMANENTES</v>
      </c>
      <c r="K800" s="98" t="str">
        <f t="shared" si="24"/>
        <v>Desarrollo del Sistema de Educación Superior</v>
      </c>
      <c r="L800" s="98" t="s">
        <v>395</v>
      </c>
    </row>
    <row r="801" spans="3:12">
      <c r="C801" s="171" t="s">
        <v>58</v>
      </c>
      <c r="D801" s="163"/>
      <c r="E801" s="154">
        <v>0</v>
      </c>
      <c r="F801" s="100">
        <f>IF(E800=0,"",(G800/E800)/12*E800)</f>
        <v>0</v>
      </c>
      <c r="G801" s="97">
        <f>F801</f>
        <v>0</v>
      </c>
      <c r="H801" s="164"/>
      <c r="I801" s="116" t="s">
        <v>516</v>
      </c>
      <c r="J801" s="116" t="str">
        <f>VLOOKUP(I801,Presupuesto!$B$11:$C$565,2,0)</f>
        <v>AGUINALDO Y DECIMO CUARTO MES</v>
      </c>
      <c r="K801" s="98" t="str">
        <f t="shared" si="24"/>
        <v>Desarrollo del Sistema de Educación Superior</v>
      </c>
      <c r="L801" s="98" t="s">
        <v>395</v>
      </c>
    </row>
    <row r="802" spans="3:12" ht="15.75" thickBot="1">
      <c r="C802" s="172" t="s">
        <v>59</v>
      </c>
      <c r="D802" s="163"/>
      <c r="E802" s="154">
        <v>0</v>
      </c>
      <c r="F802" s="117">
        <f>IF(E800&lt;6,"",((E800-6)/12)*(G800/E800))</f>
        <v>0</v>
      </c>
      <c r="G802" s="97">
        <f>F802</f>
        <v>0</v>
      </c>
      <c r="H802" s="164"/>
      <c r="I802" s="101" t="s">
        <v>519</v>
      </c>
      <c r="J802" s="101" t="str">
        <f>VLOOKUP(I802,Presupuesto!$B$11:$C$565,2,0)</f>
        <v>DECIMOCUARTO MES</v>
      </c>
      <c r="K802" s="98" t="str">
        <f t="shared" si="24"/>
        <v>Desarrollo del Sistema de Educación Superior</v>
      </c>
      <c r="L802" s="98" t="s">
        <v>395</v>
      </c>
    </row>
    <row r="803" spans="3:12" ht="15.75" thickBot="1">
      <c r="C803" s="137" t="s">
        <v>488</v>
      </c>
      <c r="D803" s="199"/>
      <c r="E803" s="152">
        <v>12</v>
      </c>
      <c r="F803" s="301">
        <f>HLOOKUP($C803,$BZ$2:$CM$3,2,0)</f>
        <v>18859.39</v>
      </c>
      <c r="G803" s="113">
        <f>D803*E803*F803</f>
        <v>0</v>
      </c>
      <c r="H803" s="166"/>
      <c r="I803" s="114" t="s">
        <v>496</v>
      </c>
      <c r="J803" s="114" t="str">
        <f>VLOOKUP(I803,Presupuesto!$B$11:$C$565,2,0)</f>
        <v>SUELDOS Y SALARIOS PERMANENTES</v>
      </c>
      <c r="K803" s="98" t="str">
        <f t="shared" si="24"/>
        <v>Desarrollo del Sistema de Educación Superior</v>
      </c>
      <c r="L803" s="98" t="s">
        <v>395</v>
      </c>
    </row>
    <row r="804" spans="3:12">
      <c r="C804" s="171" t="s">
        <v>58</v>
      </c>
      <c r="D804" s="163"/>
      <c r="E804" s="154">
        <v>0</v>
      </c>
      <c r="F804" s="100">
        <f>IF(E803=0,"",(G803/E803)/12*E803)</f>
        <v>0</v>
      </c>
      <c r="G804" s="97">
        <f>F804</f>
        <v>0</v>
      </c>
      <c r="H804" s="164"/>
      <c r="I804" s="116" t="s">
        <v>516</v>
      </c>
      <c r="J804" s="116" t="str">
        <f>VLOOKUP(I804,Presupuesto!$B$11:$C$565,2,0)</f>
        <v>AGUINALDO Y DECIMO CUARTO MES</v>
      </c>
      <c r="K804" s="98" t="str">
        <f t="shared" si="24"/>
        <v>Desarrollo del Sistema de Educación Superior</v>
      </c>
      <c r="L804" s="98" t="s">
        <v>395</v>
      </c>
    </row>
    <row r="805" spans="3:12" ht="15.75" thickBot="1">
      <c r="C805" s="172" t="s">
        <v>59</v>
      </c>
      <c r="D805" s="163"/>
      <c r="E805" s="154">
        <v>0</v>
      </c>
      <c r="F805" s="117">
        <f>IF(E803&lt;6,"",((E803-6)/12)*(G803/E803))</f>
        <v>0</v>
      </c>
      <c r="G805" s="97">
        <f>F805</f>
        <v>0</v>
      </c>
      <c r="H805" s="164"/>
      <c r="I805" s="101" t="s">
        <v>519</v>
      </c>
      <c r="J805" s="101" t="str">
        <f>VLOOKUP(I805,Presupuesto!$B$11:$C$565,2,0)</f>
        <v>DECIMOCUARTO MES</v>
      </c>
      <c r="K805" s="98" t="str">
        <f t="shared" si="24"/>
        <v>Desarrollo del Sistema de Educación Superior</v>
      </c>
      <c r="L805" s="98" t="s">
        <v>395</v>
      </c>
    </row>
    <row r="806" spans="3:12" ht="15.75" thickBot="1">
      <c r="C806" s="137" t="s">
        <v>489</v>
      </c>
      <c r="D806" s="199"/>
      <c r="E806" s="152">
        <v>12</v>
      </c>
      <c r="F806" s="301">
        <f>HLOOKUP($C806,$BZ$2:$CM$3,2,0)</f>
        <v>17866.8</v>
      </c>
      <c r="G806" s="113">
        <f>D806*E806*F806</f>
        <v>0</v>
      </c>
      <c r="H806" s="166"/>
      <c r="I806" s="114" t="s">
        <v>496</v>
      </c>
      <c r="J806" s="114" t="str">
        <f>VLOOKUP(I806,Presupuesto!$B$11:$C$565,2,0)</f>
        <v>SUELDOS Y SALARIOS PERMANENTES</v>
      </c>
      <c r="K806" s="98" t="str">
        <f t="shared" si="24"/>
        <v>Desarrollo del Sistema de Educación Superior</v>
      </c>
      <c r="L806" s="98" t="s">
        <v>395</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si="24"/>
        <v>Desarrollo del Sistema de Educación Superior</v>
      </c>
      <c r="L807" s="98" t="s">
        <v>395</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4"/>
        <v>Desarrollo del Sistema de Educación Superior</v>
      </c>
      <c r="L808" s="98" t="s">
        <v>395</v>
      </c>
    </row>
    <row r="809" spans="3:12" ht="15.75" thickBot="1">
      <c r="C809" s="137" t="s">
        <v>490</v>
      </c>
      <c r="D809" s="199"/>
      <c r="E809" s="152">
        <v>12</v>
      </c>
      <c r="F809" s="301">
        <f>HLOOKUP($C809,$BZ$2:$CM$3,2,0)</f>
        <v>13896.4</v>
      </c>
      <c r="G809" s="113">
        <f>D809*E809*F809</f>
        <v>0</v>
      </c>
      <c r="H809" s="166"/>
      <c r="I809" s="114" t="s">
        <v>496</v>
      </c>
      <c r="J809" s="114" t="str">
        <f>VLOOKUP(I809,Presupuesto!$B$11:$C$565,2,0)</f>
        <v>SUELDOS Y SALARIOS PERMANENTES</v>
      </c>
      <c r="K809" s="98" t="str">
        <f t="shared" si="24"/>
        <v>Desarrollo del Sistema de Educación Superior</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4"/>
        <v>Desarrollo del Sistema de Educación Superior</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4"/>
        <v>Desarrollo del Sistema de Educación Superior</v>
      </c>
      <c r="L811" s="98" t="s">
        <v>395</v>
      </c>
    </row>
    <row r="812" spans="3:12" ht="15.75" thickBot="1">
      <c r="C812" s="137" t="s">
        <v>491</v>
      </c>
      <c r="D812" s="199"/>
      <c r="E812" s="152">
        <v>12</v>
      </c>
      <c r="F812" s="301">
        <f>HLOOKUP($C812,$BZ$2:$CM$3,2,0)</f>
        <v>15004.09</v>
      </c>
      <c r="G812" s="113">
        <f>D812*E812*F812</f>
        <v>0</v>
      </c>
      <c r="H812" s="166"/>
      <c r="I812" s="114" t="s">
        <v>496</v>
      </c>
      <c r="J812" s="114" t="str">
        <f>VLOOKUP(I812,Presupuesto!$B$11:$C$565,2,0)</f>
        <v>SUELDOS Y SALARIOS PERMANENTES</v>
      </c>
      <c r="K812" s="98" t="str">
        <f t="shared" si="24"/>
        <v>Desarrollo del Sistema de Educación Superior</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4"/>
        <v>Desarrollo del Sistema de Educación Superior</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4"/>
        <v>Desarrollo del Sistema de Educación Superior</v>
      </c>
      <c r="L814" s="98" t="s">
        <v>395</v>
      </c>
    </row>
    <row r="815" spans="3:12" ht="15.75" thickBot="1">
      <c r="C815" s="137" t="s">
        <v>492</v>
      </c>
      <c r="D815" s="199"/>
      <c r="E815" s="152">
        <v>12</v>
      </c>
      <c r="F815" s="301">
        <f>HLOOKUP($C815,$BZ$2:$CM$3,2,0)</f>
        <v>13238.9</v>
      </c>
      <c r="G815" s="113">
        <f>D815*E815*F815</f>
        <v>0</v>
      </c>
      <c r="H815" s="166"/>
      <c r="I815" s="114" t="s">
        <v>496</v>
      </c>
      <c r="J815" s="114" t="str">
        <f>VLOOKUP(I815,Presupuesto!$B$11:$C$565,2,0)</f>
        <v>SUELDOS Y SALARIOS PERMANENTES</v>
      </c>
      <c r="K815" s="98" t="str">
        <f t="shared" si="24"/>
        <v>Desarrollo del Sistema de Educación Superior</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4"/>
        <v>Desarrollo del Sistema de Educación Superior</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4"/>
        <v>Desarrollo del Sistema de Educación Superior</v>
      </c>
      <c r="L817" s="98" t="s">
        <v>395</v>
      </c>
    </row>
    <row r="818" spans="3:12" ht="15.75" thickBot="1">
      <c r="C818" s="137" t="s">
        <v>493</v>
      </c>
      <c r="D818" s="199"/>
      <c r="E818" s="152">
        <v>12</v>
      </c>
      <c r="F818" s="301">
        <f>HLOOKUP($C818,$BZ$2:$CM$3,2,0)</f>
        <v>12356.31</v>
      </c>
      <c r="G818" s="113">
        <f>D818*E818*F818</f>
        <v>0</v>
      </c>
      <c r="H818" s="166"/>
      <c r="I818" s="114" t="s">
        <v>496</v>
      </c>
      <c r="J818" s="114" t="str">
        <f>VLOOKUP(I818,Presupuesto!$B$11:$C$565,2,0)</f>
        <v>SUELDOS Y SALARIOS PERMANENTES</v>
      </c>
      <c r="K818" s="98" t="str">
        <f t="shared" ref="K818:K835" si="25">$K$785</f>
        <v>Desarrollo del Sistema de Educación Superior</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5"/>
        <v>Desarrollo del Sistema de Educación Superior</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5"/>
        <v>Desarrollo del Sistema de Educación Superior</v>
      </c>
      <c r="L820" s="98" t="s">
        <v>395</v>
      </c>
    </row>
    <row r="821" spans="3:12" ht="15.75" thickBot="1">
      <c r="C821" s="137" t="s">
        <v>494</v>
      </c>
      <c r="D821" s="199"/>
      <c r="E821" s="152">
        <v>12</v>
      </c>
      <c r="F821" s="301">
        <f>HLOOKUP($C821,$BZ$2:$CM$3,2,0)</f>
        <v>463.22</v>
      </c>
      <c r="G821" s="113">
        <f>D821*E821*F821</f>
        <v>0</v>
      </c>
      <c r="H821" s="166"/>
      <c r="I821" s="114" t="s">
        <v>496</v>
      </c>
      <c r="J821" s="114" t="str">
        <f>VLOOKUP(I821,Presupuesto!$B$11:$C$565,2,0)</f>
        <v>SUELDOS Y SALARIOS PERMANENTES</v>
      </c>
      <c r="K821" s="98" t="str">
        <f t="shared" si="25"/>
        <v>Desarrollo del Sistema de Educación Superior</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5"/>
        <v>Desarrollo del Sistema de Educación Superior</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5"/>
        <v>Desarrollo del Sistema de Educación Superior</v>
      </c>
      <c r="L823" s="98" t="s">
        <v>395</v>
      </c>
    </row>
    <row r="824" spans="3:12" ht="15.75" thickBot="1">
      <c r="C824" s="137" t="s">
        <v>495</v>
      </c>
      <c r="D824" s="199"/>
      <c r="E824" s="152">
        <v>12</v>
      </c>
      <c r="F824" s="301">
        <f>HLOOKUP($C824,$BZ$2:$CM$3,2,0)</f>
        <v>2007.3</v>
      </c>
      <c r="G824" s="113">
        <f>D824*E824*F824</f>
        <v>0</v>
      </c>
      <c r="H824" s="166"/>
      <c r="I824" s="114" t="s">
        <v>496</v>
      </c>
      <c r="J824" s="114" t="str">
        <f>VLOOKUP(I824,Presupuesto!$B$11:$C$565,2,0)</f>
        <v>SUELDOS Y SALARIOS PERMANENTES</v>
      </c>
      <c r="K824" s="98" t="str">
        <f t="shared" si="25"/>
        <v>Desarrollo del Sistema de Educación Superior</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5"/>
        <v>Desarrollo del Sistema de Educación Superior</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5"/>
        <v>Desarrollo del Sistema de Educación Superior</v>
      </c>
      <c r="L826" s="98" t="s">
        <v>395</v>
      </c>
    </row>
    <row r="827" spans="3:12" ht="15.75" thickBot="1">
      <c r="C827" s="140" t="s">
        <v>83</v>
      </c>
      <c r="D827" s="199"/>
      <c r="E827" s="152">
        <v>12</v>
      </c>
      <c r="F827" s="139">
        <v>30000</v>
      </c>
      <c r="G827" s="113">
        <f>D827*E827*F827</f>
        <v>0</v>
      </c>
      <c r="H827" s="166"/>
      <c r="I827" s="114" t="s">
        <v>564</v>
      </c>
      <c r="J827" s="114" t="str">
        <f>VLOOKUP(I827,Presupuesto!$B$11:$C$565,2,0)</f>
        <v>CONTRATOS ESPECIALES</v>
      </c>
      <c r="K827" s="98" t="str">
        <f t="shared" si="25"/>
        <v>Desarrollo del Sistema de Educación Superior</v>
      </c>
      <c r="L827" s="98" t="s">
        <v>395</v>
      </c>
    </row>
    <row r="828" spans="3:12">
      <c r="C828" s="171" t="s">
        <v>58</v>
      </c>
      <c r="D828" s="163"/>
      <c r="E828" s="154">
        <v>0</v>
      </c>
      <c r="F828" s="117">
        <f>IF(E827=0,"",(G827/E827)/12*E827)</f>
        <v>0</v>
      </c>
      <c r="G828" s="97">
        <f>F828</f>
        <v>0</v>
      </c>
      <c r="H828" s="164"/>
      <c r="I828" s="101" t="s">
        <v>564</v>
      </c>
      <c r="J828" s="101" t="str">
        <f>VLOOKUP(I828,Presupuesto!$B$11:$C$565,2,0)</f>
        <v>CONTRATOS ESPECIALES</v>
      </c>
      <c r="K828" s="98" t="str">
        <f t="shared" si="25"/>
        <v>Desarrollo del Sistema de Educación Superior</v>
      </c>
      <c r="L828" s="98" t="s">
        <v>394</v>
      </c>
    </row>
    <row r="829" spans="3:12" ht="15.75" thickBot="1">
      <c r="C829" s="172" t="s">
        <v>59</v>
      </c>
      <c r="D829" s="163"/>
      <c r="E829" s="154">
        <v>0</v>
      </c>
      <c r="F829" s="100">
        <f>IF(E827&lt;6,"",((E827-6)/12)*(G827/E827))</f>
        <v>0</v>
      </c>
      <c r="G829" s="97">
        <f>F829</f>
        <v>0</v>
      </c>
      <c r="H829" s="164"/>
      <c r="I829" s="101" t="s">
        <v>564</v>
      </c>
      <c r="J829" s="101" t="str">
        <f>VLOOKUP(I829,Presupuesto!$B$11:$C$565,2,0)</f>
        <v>CONTRATOS ESPECIALES</v>
      </c>
      <c r="K829" s="98" t="str">
        <f t="shared" si="25"/>
        <v>Desarrollo del Sistema de Educación Superior</v>
      </c>
      <c r="L829" s="98" t="s">
        <v>399</v>
      </c>
    </row>
    <row r="830" spans="3:12" ht="15.75" thickBot="1">
      <c r="C830" s="140" t="s">
        <v>60</v>
      </c>
      <c r="D830" s="199"/>
      <c r="E830" s="152">
        <v>12</v>
      </c>
      <c r="F830" s="118">
        <v>30000</v>
      </c>
      <c r="G830" s="113">
        <f>D830*E830*F830</f>
        <v>0</v>
      </c>
      <c r="H830" s="166"/>
      <c r="I830" s="114" t="s">
        <v>705</v>
      </c>
      <c r="J830" s="114" t="str">
        <f>VLOOKUP(I830,Presupuesto!$B$11:$C$565,2,0)</f>
        <v>OTROS SERVICIOS TECNICOS Y PROFESIONALES</v>
      </c>
      <c r="K830" s="98" t="str">
        <f t="shared" si="25"/>
        <v>Desarrollo del Sistema de Educación Superior</v>
      </c>
      <c r="L830" s="98" t="s">
        <v>394</v>
      </c>
    </row>
    <row r="831" spans="3:12">
      <c r="C831" s="171" t="s">
        <v>58</v>
      </c>
      <c r="D831" s="163"/>
      <c r="E831" s="154">
        <v>0</v>
      </c>
      <c r="F831" s="100">
        <v>0</v>
      </c>
      <c r="G831" s="97">
        <f>F831</f>
        <v>0</v>
      </c>
      <c r="H831" s="164"/>
      <c r="I831" s="101" t="s">
        <v>705</v>
      </c>
      <c r="J831" s="101" t="str">
        <f>VLOOKUP(I831,Presupuesto!$B$11:$C$565,2,0)</f>
        <v>OTROS SERVICIOS TECNICOS Y PROFESIONALES</v>
      </c>
      <c r="K831" s="98" t="str">
        <f t="shared" si="25"/>
        <v>Desarrollo del Sistema de Educación Superior</v>
      </c>
      <c r="L831" s="98" t="s">
        <v>394</v>
      </c>
    </row>
    <row r="832" spans="3:12" ht="15.75" thickBot="1">
      <c r="C832" s="172" t="s">
        <v>59</v>
      </c>
      <c r="D832" s="163"/>
      <c r="E832" s="154">
        <v>0</v>
      </c>
      <c r="F832" s="100">
        <v>0</v>
      </c>
      <c r="G832" s="97">
        <f>F832</f>
        <v>0</v>
      </c>
      <c r="H832" s="164"/>
      <c r="I832" s="101" t="s">
        <v>705</v>
      </c>
      <c r="J832" s="101" t="str">
        <f>VLOOKUP(I832,Presupuesto!$B$11:$C$565,2,0)</f>
        <v>OTROS SERVICIOS TECNICOS Y PROFESIONALES</v>
      </c>
      <c r="K832" s="98" t="str">
        <f t="shared" si="25"/>
        <v>Desarrollo del Sistema de Educación Superior</v>
      </c>
      <c r="L832" s="98" t="s">
        <v>394</v>
      </c>
    </row>
    <row r="833" spans="3:12" ht="15.75" thickBot="1">
      <c r="C833" s="140" t="s">
        <v>61</v>
      </c>
      <c r="D833" s="199"/>
      <c r="E833" s="152">
        <v>12</v>
      </c>
      <c r="F833" s="118">
        <v>30000</v>
      </c>
      <c r="G833" s="113">
        <f>D833*E833*F833</f>
        <v>0</v>
      </c>
      <c r="H833" s="166"/>
      <c r="I833" s="114" t="s">
        <v>496</v>
      </c>
      <c r="J833" s="114" t="str">
        <f>VLOOKUP(I833,Presupuesto!$B$11:$C$565,2,0)</f>
        <v>SUELDOS Y SALARIOS PERMANENTES</v>
      </c>
      <c r="K833" s="98" t="str">
        <f t="shared" si="25"/>
        <v>Desarrollo del Sistema de Educación Superior</v>
      </c>
      <c r="L833" s="98" t="s">
        <v>394</v>
      </c>
    </row>
    <row r="834" spans="3:12">
      <c r="C834" s="171" t="s">
        <v>58</v>
      </c>
      <c r="D834" s="169"/>
      <c r="E834" s="131">
        <v>0</v>
      </c>
      <c r="F834" s="119">
        <f>IF(E833=0,"",(G833/E833)/12*E833)</f>
        <v>0</v>
      </c>
      <c r="G834" s="120">
        <f>F834</f>
        <v>0</v>
      </c>
      <c r="H834" s="164"/>
      <c r="I834" s="101" t="s">
        <v>516</v>
      </c>
      <c r="J834" s="101" t="str">
        <f>VLOOKUP(I834,Presupuesto!$B$11:$C$565,2,0)</f>
        <v>AGUINALDO Y DECIMO CUARTO MES</v>
      </c>
      <c r="K834" s="98" t="str">
        <f t="shared" si="25"/>
        <v>Desarrollo del Sistema de Educación Superior</v>
      </c>
      <c r="L834" s="98" t="s">
        <v>394</v>
      </c>
    </row>
    <row r="835" spans="3:12" ht="15.75" thickBot="1">
      <c r="C835" s="173" t="s">
        <v>59</v>
      </c>
      <c r="D835" s="162"/>
      <c r="E835" s="132">
        <v>0</v>
      </c>
      <c r="F835" s="105">
        <f>IF(E833&lt;6,"",((E833-6)/12)*(G833/E833))</f>
        <v>0</v>
      </c>
      <c r="G835" s="105">
        <f>F835</f>
        <v>0</v>
      </c>
      <c r="H835" s="162"/>
      <c r="I835" s="106" t="s">
        <v>519</v>
      </c>
      <c r="J835" s="124" t="str">
        <f>VLOOKUP(I835,Presupuesto!$B$11:$C$565,2,0)</f>
        <v>DECIMOCUARTO MES</v>
      </c>
      <c r="K835" s="106" t="str">
        <f t="shared" si="25"/>
        <v>Desarrollo del Sistema de Educación Superior</v>
      </c>
      <c r="L835" s="124" t="s">
        <v>394</v>
      </c>
    </row>
  </sheetData>
  <conditionalFormatting sqref="E824">
    <cfRule type="cellIs" dxfId="17" priority="1" operator="greaterThan">
      <formula>12</formula>
    </cfRule>
  </conditionalFormatting>
  <conditionalFormatting sqref="E32">
    <cfRule type="cellIs" dxfId="16" priority="15" operator="greaterThan">
      <formula>12</formula>
    </cfRule>
  </conditionalFormatting>
  <conditionalFormatting sqref="E50">
    <cfRule type="cellIs" dxfId="15" priority="14" operator="greaterThan">
      <formula>12</formula>
    </cfRule>
  </conditionalFormatting>
  <conditionalFormatting sqref="E104">
    <cfRule type="cellIs" dxfId="14" priority="13" operator="greaterThan">
      <formula>12</formula>
    </cfRule>
  </conditionalFormatting>
  <conditionalFormatting sqref="E164">
    <cfRule type="cellIs" dxfId="13" priority="12" operator="greaterThan">
      <formula>12</formula>
    </cfRule>
  </conditionalFormatting>
  <conditionalFormatting sqref="E224">
    <cfRule type="cellIs" dxfId="12" priority="11" operator="greaterThan">
      <formula>12</formula>
    </cfRule>
  </conditionalFormatting>
  <conditionalFormatting sqref="E284">
    <cfRule type="cellIs" dxfId="11" priority="10" operator="greaterThan">
      <formula>12</formula>
    </cfRule>
  </conditionalFormatting>
  <conditionalFormatting sqref="E344">
    <cfRule type="cellIs" dxfId="10" priority="9" operator="greaterThan">
      <formula>12</formula>
    </cfRule>
  </conditionalFormatting>
  <conditionalFormatting sqref="E404">
    <cfRule type="cellIs" dxfId="9" priority="8" operator="greaterThan">
      <formula>12</formula>
    </cfRule>
  </conditionalFormatting>
  <conditionalFormatting sqref="E464">
    <cfRule type="cellIs" dxfId="8" priority="7" operator="greaterThan">
      <formula>12</formula>
    </cfRule>
  </conditionalFormatting>
  <conditionalFormatting sqref="E524">
    <cfRule type="cellIs" dxfId="7" priority="6" operator="greaterThan">
      <formula>12</formula>
    </cfRule>
  </conditionalFormatting>
  <conditionalFormatting sqref="E584">
    <cfRule type="cellIs" dxfId="6" priority="5" operator="greaterThan">
      <formula>12</formula>
    </cfRule>
  </conditionalFormatting>
  <conditionalFormatting sqref="E644">
    <cfRule type="cellIs" dxfId="5" priority="4" operator="greaterThan">
      <formula>12</formula>
    </cfRule>
  </conditionalFormatting>
  <conditionalFormatting sqref="E704">
    <cfRule type="cellIs" dxfId="4" priority="3" operator="greaterThan">
      <formula>12</formula>
    </cfRule>
  </conditionalFormatting>
  <conditionalFormatting sqref="E764">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65:H115 H125:H175 H185:H235 H245:H295 H305:H355 H365:H415 H425:H475 H485:H535 H545:H595 H605:H655 H665:H715 H725:H775 H785:H835 H17:H19 H29:H34 H44:H55">
      <formula1>$R$2:$S$2</formula1>
    </dataValidation>
    <dataValidation type="list" allowBlank="1" showInputMessage="1" showErrorMessage="1" errorTitle="¡Ingreso Inválido!" error="Seleccione una opción de la lista" promptTitle="Mes Requerido" prompt="Seleccione el mes en el que requiere el recurso." sqref="L65:L115 L125:L175 L185:L235 L245:L295 L305:L355 L365:L415 L425:L475 L485:L535 L545:L595 L605:L655 L665:L715 L725:L775 L785:L835 L17:L19 L29:L34 L44:L55">
      <formula1>$U$2:$AF$2</formula1>
    </dataValidation>
    <dataValidation type="list" allowBlank="1" showInputMessage="1" showErrorMessage="1" sqref="C17 C29 C32 C44 C47 C50 C65 C68 C71 C74 C77 C80 C83 C86 C89 C92 C95 C98 C101 C104 C125 C128 C131 C134 C137 C140 C143 C146 C149 C152 C155 C158 C161 C164 C185 C188 C191 C194 C197 C200 C203 C206 C209 C212 C215 C218 C221 C224 C245 C248 C251 C254 C257 C260 C263 C266 C269 C272 C275 C278 C281 C284 C305 C308 C311 C314 C317 C320 C323 C326 C329 C332 C335 C338 C341 C344 C365 C368 C371 C374 C377 C380 C383 C386 C389 C392 C395 C398 C401 C404 C425 C428 C431 C434 C437 C440 C443 C446 C449 C452 C455 C458 C461 C464 C485 C488 C491 C494 C497 C500 C503 C506 C509 C512 C515 C518 C521 C524 C545 C548 C551 C554 C557 C560 C563 C566 C569 C572 C575 C578 C581 C584 C605 C608 C611 C614 C617 C620 C623 C626 C629 C632 C635 C638 C641 C644 C665 C668 C671 C674 C677 C680 C683 C686 C689 C692 C695 C698 C701 C704 C725 C728 C731 C734 C737 C740 C743 C746 C749 C752 C755 C758 C761 C764 C785 C788 C791 C794 C797 C800 C803 C806 C809 C812 C815 C818 C821 C824">
      <formula1>$BZ$2:$CM$2</formula1>
    </dataValidation>
    <dataValidation type="list" allowBlank="1" showInputMessage="1" showErrorMessage="1" errorTitle="¡Ingreso Inválido!" error="Verifique el valor ingresado." sqref="I65:I115 I125:I175 I185:I235 I245:I295 I305:I355 I365:I415 I425:I475 I485:I535 I545:I595 I605:I655 I665:I715 I725:I775 I785:I835 I17:I19 I29:I34 I44:I55">
      <formula1>$A$1:$UI$1</formula1>
    </dataValidation>
    <dataValidation type="list" allowBlank="1" showInputMessage="1" showErrorMessage="1" errorTitle="¡Ingreso Inválido!" error="Seleccione una opción de la lista." promptTitle="Dimensión Estratégica" prompt="Seleccione una opción de la lista." sqref="K66:K115 K126:K175 K186:K235 K246:K295 K306:K355 K366:K415 K426:K475 K486:K535 K546:K595 K606:K655 K666:K715 K726:K775 K786:K835 K17:K19 K29:K34 K44:K55">
      <formula1>$A$2:$P$2</formula1>
    </dataValidation>
    <dataValidation type="list" allowBlank="1" showInputMessage="1" showErrorMessage="1" errorTitle="¡Ingreso Inválido!" error="Seleccione una opción de la lista." promptTitle="Dimensión Estratégica" prompt="Seleccione una opción de la lista." sqref="K65 K125 K185 K245 K305 K365 K425 K485 K545 K605 K665 K725 K785">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192"/>
  <sheetViews>
    <sheetView showGridLines="0" topLeftCell="A4" zoomScale="70" zoomScaleNormal="70" workbookViewId="0">
      <selection activeCell="J4" sqref="J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52.85546875" style="86"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1456</v>
      </c>
      <c r="Q2" s="122" t="s">
        <v>1494</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52.5">
      <c r="C5" s="87" t="s">
        <v>384</v>
      </c>
      <c r="D5" s="453">
        <f>SUMIF($C:$C,$C$10,D:D)</f>
        <v>601800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SUM(F17:F21)</f>
        <v>108000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t="s">
        <v>1541</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Gestión de equipamiento para el espacio físico de Ciencias Económicas y el aula audiovisual</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v>10</v>
      </c>
      <c r="E17" s="96">
        <v>2800</v>
      </c>
      <c r="F17" s="97">
        <f>D17*E17</f>
        <v>28000</v>
      </c>
      <c r="G17" s="161" t="s">
        <v>1486</v>
      </c>
      <c r="H17" s="98" t="s">
        <v>985</v>
      </c>
      <c r="I17" s="98" t="str">
        <f>VLOOKUP(H17,Presupuesto!$B$11:$C$565,2,0)</f>
        <v>MUEBLES VARIOS DE OFICINA</v>
      </c>
      <c r="J17" s="218" t="s">
        <v>1364</v>
      </c>
      <c r="K17" s="98" t="s">
        <v>404</v>
      </c>
    </row>
    <row r="18" spans="2:11" ht="32.25" customHeight="1">
      <c r="B18" s="93"/>
      <c r="C18" s="99" t="s">
        <v>64</v>
      </c>
      <c r="D18" s="151">
        <v>10</v>
      </c>
      <c r="E18" s="100">
        <v>2400</v>
      </c>
      <c r="F18" s="97">
        <f>D18*E18</f>
        <v>24000</v>
      </c>
      <c r="G18" s="161" t="s">
        <v>1486</v>
      </c>
      <c r="H18" s="101" t="s">
        <v>985</v>
      </c>
      <c r="I18" s="98" t="str">
        <f>VLOOKUP(H18,Presupuesto!$B$11:$C$565,2,0)</f>
        <v>MUEBLES VARIOS DE OFICINA</v>
      </c>
      <c r="J18" s="98" t="str">
        <f t="shared" ref="J18:J21" si="0">$J$17</f>
        <v>Gestión Administrativa y  financiera en apoyo al Desarrollo Académico</v>
      </c>
      <c r="K18" s="98" t="s">
        <v>412</v>
      </c>
    </row>
    <row r="19" spans="2:11">
      <c r="B19" s="93"/>
      <c r="C19" s="99" t="s">
        <v>67</v>
      </c>
      <c r="D19" s="151">
        <v>10</v>
      </c>
      <c r="E19" s="100">
        <v>3000</v>
      </c>
      <c r="F19" s="97">
        <f t="shared" ref="F19:F21" si="1">D19*E19</f>
        <v>30000</v>
      </c>
      <c r="G19" s="161" t="s">
        <v>1486</v>
      </c>
      <c r="H19" s="101" t="s">
        <v>985</v>
      </c>
      <c r="I19" s="98" t="str">
        <f>VLOOKUP(H19,Presupuesto!$B$11:$C$565,2,0)</f>
        <v>MUEBLES VARIOS DE OFICINA</v>
      </c>
      <c r="J19" s="98" t="str">
        <f t="shared" si="0"/>
        <v>Gestión Administrativa y  financiera en apoyo al Desarrollo Académico</v>
      </c>
      <c r="K19" s="98" t="s">
        <v>395</v>
      </c>
    </row>
    <row r="20" spans="2:11">
      <c r="B20" s="93"/>
      <c r="C20" s="99" t="s">
        <v>68</v>
      </c>
      <c r="D20" s="151">
        <v>1</v>
      </c>
      <c r="E20" s="100">
        <v>10000</v>
      </c>
      <c r="F20" s="97">
        <f t="shared" si="1"/>
        <v>10000</v>
      </c>
      <c r="G20" s="161" t="s">
        <v>1486</v>
      </c>
      <c r="H20" s="101" t="s">
        <v>985</v>
      </c>
      <c r="I20" s="98" t="str">
        <f>VLOOKUP(H20,Presupuesto!$B$11:$C$565,2,0)</f>
        <v>MUEBLES VARIOS DE OFICINA</v>
      </c>
      <c r="J20" s="98" t="str">
        <f t="shared" si="0"/>
        <v>Gestión Administrativa y  financiera en apoyo al Desarrollo Académico</v>
      </c>
      <c r="K20" s="98" t="s">
        <v>395</v>
      </c>
    </row>
    <row r="21" spans="2:11">
      <c r="B21" s="93"/>
      <c r="C21" s="99" t="s">
        <v>69</v>
      </c>
      <c r="D21" s="151">
        <v>2</v>
      </c>
      <c r="E21" s="100">
        <v>8000</v>
      </c>
      <c r="F21" s="97">
        <f t="shared" si="1"/>
        <v>16000</v>
      </c>
      <c r="G21" s="161" t="s">
        <v>1486</v>
      </c>
      <c r="H21" s="101" t="s">
        <v>988</v>
      </c>
      <c r="I21" s="98" t="str">
        <f>VLOOKUP(H21,Presupuesto!$B$11:$C$565,2,0)</f>
        <v>EQUIPOS VARIOS DE OFICINA</v>
      </c>
      <c r="J21" s="98" t="str">
        <f t="shared" si="0"/>
        <v>Gestión Administrativa y  financiera en apoyo al Desarrollo Académico</v>
      </c>
      <c r="K21" s="98" t="s">
        <v>395</v>
      </c>
    </row>
    <row r="22" spans="2:11">
      <c r="B22" s="93"/>
    </row>
    <row r="23" spans="2:11" ht="15.75" thickBot="1">
      <c r="B23" s="93"/>
      <c r="C23" s="331"/>
      <c r="D23" s="332"/>
      <c r="E23" s="333"/>
      <c r="F23" s="333"/>
      <c r="G23" s="334"/>
      <c r="H23" s="333"/>
      <c r="I23" s="333"/>
      <c r="J23" s="155"/>
      <c r="K23" s="155"/>
    </row>
    <row r="24" spans="2:11" ht="15.75" thickBot="1">
      <c r="B24" s="93"/>
      <c r="C24" s="29" t="s">
        <v>43</v>
      </c>
      <c r="D24" s="30">
        <f>SUM(F31:F31)</f>
        <v>6000</v>
      </c>
      <c r="E24" s="177"/>
      <c r="F24" s="177"/>
      <c r="G24" s="79"/>
      <c r="H24" s="177"/>
      <c r="I24" s="177"/>
    </row>
    <row r="25" spans="2:11">
      <c r="C25" s="70"/>
      <c r="D25" s="31"/>
      <c r="E25" s="93"/>
      <c r="F25" s="93"/>
      <c r="G25" s="93"/>
      <c r="H25" s="76"/>
      <c r="I25" s="76"/>
      <c r="J25" s="76"/>
      <c r="K25" s="112"/>
    </row>
    <row r="26" spans="2:11">
      <c r="C26" s="70"/>
      <c r="D26" s="31"/>
      <c r="E26" s="93"/>
      <c r="F26" s="93"/>
      <c r="G26" s="93"/>
      <c r="H26" s="76"/>
      <c r="I26" s="76"/>
      <c r="J26" s="76"/>
      <c r="K26" s="112"/>
    </row>
    <row r="27" spans="2:11" ht="15.75">
      <c r="C27" s="202" t="s">
        <v>392</v>
      </c>
      <c r="D27" s="361" t="s">
        <v>1630</v>
      </c>
      <c r="E27" s="93"/>
      <c r="F27" s="93"/>
      <c r="G27" s="93"/>
      <c r="H27" s="76"/>
      <c r="I27" s="76"/>
      <c r="J27" s="76"/>
      <c r="K27" s="112"/>
    </row>
    <row r="28" spans="2:11" ht="18.75">
      <c r="C28" s="210" t="str">
        <f>IFERROR(VLOOKUP(D27,'1. Desarrollo e Innov. Curricu.'!$E:$F,2,FALSE),IFERROR(VLOOKUP(D27,'2. Investigación Científica'!$E:$F,2,FALSE),IFERROR(VLOOKUP(D27,'3. Vinculación Univ. Sociedad'!$E:$F,2,FALSE),IFERROR(VLOOKUP(D27,'4. Docencia y Profesorado Univ.'!$E:$F,2,FALSE),IFERROR(VLOOKUP(D27,'5. Estudiantes y Graduados'!$E:$F,2,FALSE),IFERROR(VLOOKUP(D27,'11. Gestion Administrativa'!$E:$F,2,FALSE),IFERROR(VLOOKUP(D27,'13. Gestión Académica'!$E:$F,2,FALSE),IFERROR(VLOOKUP(D27,'8. Asegura. de la Calid. y M'!$E:$F,2,FALSE),IFERROR(VLOOKUP(D27,'6. Gestión del Conocimiento'!$E:$F,2,FALSE),IFERROR(VLOOKUP(D27,'15. Gobernabilidad y Proceso...'!$E:$F,2,FALSE),IFERROR(VLOOKUP(D27,'12. Gestión del Talento Humano'!$E:$F,2,FALSE),IFERROR(VLOOKUP(D27,'14. Internacional... de la E.S.'!$E:$F,2,FALSE),IFERROR(VLOOKUP(D27,'10. Posgrado'!$E:$F,2,FALSE),IFERROR(VLOOKUP(D27,'17. Gestión TIC'!$E:$F,2,FALSE),IFERROR(VLOOKUP(D27,'16. Desa. del Sistema Educ.Sup.'!$E:$F,2,FALSE),IFERROR(VLOOKUP(D27,'9. Cultura de Inno. Insti...'!$E:$F,2,FALSE),VLOOKUP(D27,'7. Lo Esencial de la Reforma U.'!$E:$F,2,0)))))))))))))))))</f>
        <v>Gestionar la compra de dos escritorios para docentes de Informática</v>
      </c>
      <c r="D28" s="31"/>
      <c r="E28" s="93"/>
      <c r="F28" s="93"/>
      <c r="G28" s="93"/>
      <c r="H28" s="76"/>
      <c r="I28" s="76"/>
      <c r="J28" s="76"/>
      <c r="K28" s="112"/>
    </row>
    <row r="29" spans="2:11" ht="15.75" thickBot="1">
      <c r="C29" s="70"/>
      <c r="D29" s="31"/>
      <c r="E29" s="93"/>
      <c r="F29" s="93"/>
      <c r="G29" s="93"/>
      <c r="H29" s="76"/>
      <c r="I29" s="76"/>
      <c r="J29" s="76"/>
      <c r="K29" s="112"/>
    </row>
    <row r="30" spans="2:11" ht="30.75" thickBot="1">
      <c r="C30" s="126" t="s">
        <v>44</v>
      </c>
      <c r="D30" s="128" t="s">
        <v>55</v>
      </c>
      <c r="E30" s="128" t="s">
        <v>57</v>
      </c>
      <c r="F30" s="127" t="s">
        <v>27</v>
      </c>
      <c r="G30" s="133" t="s">
        <v>131</v>
      </c>
      <c r="H30" s="128" t="s">
        <v>46</v>
      </c>
      <c r="I30" s="128" t="s">
        <v>132</v>
      </c>
      <c r="J30" s="128" t="s">
        <v>410</v>
      </c>
      <c r="K30" s="128" t="s">
        <v>411</v>
      </c>
    </row>
    <row r="31" spans="2:11">
      <c r="C31" s="99" t="s">
        <v>67</v>
      </c>
      <c r="D31" s="151">
        <v>2</v>
      </c>
      <c r="E31" s="100">
        <v>3000</v>
      </c>
      <c r="F31" s="97">
        <f t="shared" ref="F31" si="2">D31*E31</f>
        <v>6000</v>
      </c>
      <c r="G31" s="161" t="s">
        <v>1486</v>
      </c>
      <c r="H31" s="101" t="s">
        <v>985</v>
      </c>
      <c r="I31" s="98" t="str">
        <f>VLOOKUP(H31,Presupuesto!$B$11:$C$565,2,0)</f>
        <v>MUEBLES VARIOS DE OFICINA</v>
      </c>
      <c r="J31" s="98" t="s">
        <v>1364</v>
      </c>
      <c r="K31" s="98" t="s">
        <v>395</v>
      </c>
    </row>
    <row r="33" spans="3:11" ht="15.75" thickBot="1"/>
    <row r="34" spans="3:11" ht="15.75" thickBot="1">
      <c r="C34" s="29" t="s">
        <v>43</v>
      </c>
      <c r="D34" s="30">
        <f>SUM(F41:F44)</f>
        <v>70000</v>
      </c>
      <c r="E34" s="177"/>
      <c r="F34" s="177"/>
      <c r="G34" s="79"/>
      <c r="H34" s="177"/>
      <c r="I34" s="177"/>
    </row>
    <row r="35" spans="3:11">
      <c r="C35" s="70"/>
      <c r="D35" s="31"/>
      <c r="E35" s="93"/>
      <c r="F35" s="93"/>
      <c r="G35" s="93"/>
      <c r="H35" s="76"/>
      <c r="I35" s="76"/>
      <c r="J35" s="76"/>
      <c r="K35" s="112"/>
    </row>
    <row r="36" spans="3:11">
      <c r="C36" s="70"/>
      <c r="D36" s="31"/>
      <c r="E36" s="93"/>
      <c r="F36" s="93"/>
      <c r="G36" s="93"/>
      <c r="H36" s="76"/>
      <c r="I36" s="76"/>
      <c r="J36" s="76"/>
      <c r="K36" s="112"/>
    </row>
    <row r="37" spans="3:11" ht="15.75">
      <c r="C37" s="202" t="s">
        <v>392</v>
      </c>
      <c r="D37" s="361" t="s">
        <v>1792</v>
      </c>
      <c r="E37" s="93"/>
      <c r="F37" s="93"/>
      <c r="G37" s="93"/>
      <c r="H37" s="76"/>
      <c r="I37" s="76"/>
      <c r="J37" s="76"/>
      <c r="K37" s="112"/>
    </row>
    <row r="38" spans="3:11" ht="18.75">
      <c r="C38" s="210"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 xml:space="preserve">Gestión para la adquisición  mobiliario para el departamento  de una impresora, archivo, 10 sillas ejecutivas, mesa de reuniones 10 personas, 10 sillas. </v>
      </c>
      <c r="D38" s="31"/>
      <c r="E38" s="93"/>
      <c r="F38" s="93"/>
      <c r="G38" s="93"/>
      <c r="H38" s="76"/>
      <c r="I38" s="76"/>
      <c r="J38" s="76"/>
      <c r="K38" s="112"/>
    </row>
    <row r="39" spans="3:11" ht="15.75" thickBot="1">
      <c r="C39" s="70"/>
      <c r="D39" s="31"/>
      <c r="E39" s="93"/>
      <c r="F39" s="93"/>
      <c r="G39" s="93"/>
      <c r="H39" s="76"/>
      <c r="I39" s="76"/>
      <c r="J39" s="76"/>
      <c r="K39" s="112"/>
    </row>
    <row r="40" spans="3:11" ht="30.75" thickBot="1">
      <c r="C40" s="126" t="s">
        <v>44</v>
      </c>
      <c r="D40" s="128" t="s">
        <v>55</v>
      </c>
      <c r="E40" s="128" t="s">
        <v>57</v>
      </c>
      <c r="F40" s="127" t="s">
        <v>27</v>
      </c>
      <c r="G40" s="133" t="s">
        <v>131</v>
      </c>
      <c r="H40" s="128" t="s">
        <v>46</v>
      </c>
      <c r="I40" s="128" t="s">
        <v>132</v>
      </c>
      <c r="J40" s="128" t="s">
        <v>410</v>
      </c>
      <c r="K40" s="128" t="s">
        <v>411</v>
      </c>
    </row>
    <row r="41" spans="3:11">
      <c r="C41" s="95" t="s">
        <v>63</v>
      </c>
      <c r="D41" s="158">
        <v>10</v>
      </c>
      <c r="E41" s="96">
        <v>2800</v>
      </c>
      <c r="F41" s="97">
        <f>D41*E41</f>
        <v>28000</v>
      </c>
      <c r="G41" s="161" t="s">
        <v>1486</v>
      </c>
      <c r="H41" s="98" t="s">
        <v>985</v>
      </c>
      <c r="I41" s="98" t="str">
        <f>VLOOKUP(H41,Presupuesto!$B$11:$C$565,2,0)</f>
        <v>MUEBLES VARIOS DE OFICINA</v>
      </c>
      <c r="J41" s="218" t="s">
        <v>1364</v>
      </c>
      <c r="K41" s="98" t="s">
        <v>398</v>
      </c>
    </row>
    <row r="42" spans="3:11">
      <c r="C42" s="99" t="s">
        <v>64</v>
      </c>
      <c r="D42" s="151">
        <v>10</v>
      </c>
      <c r="E42" s="100">
        <v>2400</v>
      </c>
      <c r="F42" s="97">
        <f>D42*E42</f>
        <v>24000</v>
      </c>
      <c r="G42" s="161" t="s">
        <v>1486</v>
      </c>
      <c r="H42" s="101" t="s">
        <v>985</v>
      </c>
      <c r="I42" s="98" t="str">
        <f>VLOOKUP(H42,Presupuesto!$B$11:$C$565,2,0)</f>
        <v>MUEBLES VARIOS DE OFICINA</v>
      </c>
      <c r="J42" s="98" t="str">
        <f>$J$41</f>
        <v>Gestión Administrativa y  financiera en apoyo al Desarrollo Académico</v>
      </c>
      <c r="K42" s="98" t="s">
        <v>398</v>
      </c>
    </row>
    <row r="43" spans="3:11">
      <c r="C43" s="99" t="s">
        <v>68</v>
      </c>
      <c r="D43" s="151">
        <v>1</v>
      </c>
      <c r="E43" s="100">
        <v>10000</v>
      </c>
      <c r="F43" s="97">
        <f t="shared" ref="F43:F44" si="3">D43*E43</f>
        <v>10000</v>
      </c>
      <c r="G43" s="161" t="s">
        <v>1486</v>
      </c>
      <c r="H43" s="101" t="s">
        <v>985</v>
      </c>
      <c r="I43" s="98" t="str">
        <f>VLOOKUP(H43,Presupuesto!$B$11:$C$565,2,0)</f>
        <v>MUEBLES VARIOS DE OFICINA</v>
      </c>
      <c r="J43" s="98" t="str">
        <f t="shared" ref="J43:J44" si="4">$J$17</f>
        <v>Gestión Administrativa y  financiera en apoyo al Desarrollo Académico</v>
      </c>
      <c r="K43" s="98" t="s">
        <v>398</v>
      </c>
    </row>
    <row r="44" spans="3:11">
      <c r="C44" s="99" t="s">
        <v>69</v>
      </c>
      <c r="D44" s="151">
        <v>1</v>
      </c>
      <c r="E44" s="100">
        <v>8000</v>
      </c>
      <c r="F44" s="97">
        <f t="shared" si="3"/>
        <v>8000</v>
      </c>
      <c r="G44" s="161" t="s">
        <v>1486</v>
      </c>
      <c r="H44" s="101" t="s">
        <v>988</v>
      </c>
      <c r="I44" s="98" t="str">
        <f>VLOOKUP(H44,Presupuesto!$B$11:$C$565,2,0)</f>
        <v>EQUIPOS VARIOS DE OFICINA</v>
      </c>
      <c r="J44" s="98" t="str">
        <f t="shared" si="4"/>
        <v>Gestión Administrativa y  financiera en apoyo al Desarrollo Académico</v>
      </c>
      <c r="K44" s="98" t="s">
        <v>398</v>
      </c>
    </row>
    <row r="46" spans="3:11" ht="15.75" thickBot="1">
      <c r="C46" s="331"/>
      <c r="D46" s="332"/>
      <c r="E46" s="333"/>
      <c r="F46" s="333"/>
      <c r="G46" s="334"/>
      <c r="H46" s="333"/>
      <c r="I46" s="333"/>
      <c r="J46" s="155"/>
      <c r="K46" s="155"/>
    </row>
    <row r="47" spans="3:11" ht="15.75" thickBot="1">
      <c r="C47" s="29" t="s">
        <v>43</v>
      </c>
      <c r="D47" s="30">
        <f>SUM(F54:F57)</f>
        <v>37800</v>
      </c>
      <c r="E47" s="177"/>
      <c r="F47" s="177"/>
      <c r="G47" s="79"/>
      <c r="H47" s="177"/>
      <c r="I47" s="177"/>
    </row>
    <row r="48" spans="3:11">
      <c r="C48" s="70"/>
      <c r="D48" s="31"/>
      <c r="E48" s="93"/>
      <c r="F48" s="93"/>
      <c r="G48" s="93"/>
      <c r="H48" s="76"/>
      <c r="I48" s="76"/>
      <c r="J48" s="76"/>
      <c r="K48" s="112"/>
    </row>
    <row r="49" spans="3:11">
      <c r="C49" s="70"/>
      <c r="D49" s="31"/>
      <c r="E49" s="93"/>
      <c r="F49" s="93"/>
      <c r="G49" s="93"/>
      <c r="H49" s="76"/>
      <c r="I49" s="76"/>
      <c r="J49" s="76"/>
      <c r="K49" s="112"/>
    </row>
    <row r="50" spans="3:11" ht="15.75">
      <c r="C50" s="202" t="s">
        <v>392</v>
      </c>
      <c r="D50" s="361" t="s">
        <v>1822</v>
      </c>
      <c r="E50" s="93"/>
      <c r="F50" s="93"/>
      <c r="G50" s="93"/>
      <c r="H50" s="76"/>
      <c r="I50" s="76"/>
      <c r="J50" s="76"/>
      <c r="K50" s="112"/>
    </row>
    <row r="51" spans="3:11" ht="18.75">
      <c r="C51" s="210" t="str">
        <f>IFERROR(VLOOKUP(D50,'1. Desarrollo e Innov. Curricu.'!$E:$F,2,FALSE),IFERROR(VLOOKUP(D50,'2. Investigación Científica'!$E:$F,2,FALSE),IFERROR(VLOOKUP(D50,'3. Vinculación Univ. Sociedad'!$E:$F,2,FALSE),IFERROR(VLOOKUP(D50,'4. Docencia y Profesorado Univ.'!$E:$F,2,FALSE),IFERROR(VLOOKUP(D50,'5. Estudiantes y Graduados'!$E:$F,2,FALSE),IFERROR(VLOOKUP(D50,'11. Gestion Administrativa'!$E:$F,2,FALSE),IFERROR(VLOOKUP(D50,'13. Gestión Académica'!$E:$F,2,FALSE),IFERROR(VLOOKUP(D50,'8. Asegura. de la Calid. y M'!$E:$F,2,FALSE),IFERROR(VLOOKUP(D50,'6. Gestión del Conocimiento'!$E:$F,2,FALSE),IFERROR(VLOOKUP(D50,'15. Gobernabilidad y Proceso...'!$E:$F,2,FALSE),IFERROR(VLOOKUP(D50,'12. Gestión del Talento Humano'!$E:$F,2,FALSE),IFERROR(VLOOKUP(D50,'14. Internacional... de la E.S.'!$E:$F,2,FALSE),IFERROR(VLOOKUP(D50,'10. Posgrado'!$E:$F,2,FALSE),IFERROR(VLOOKUP(D50,'17. Gestión TIC'!$E:$F,2,FALSE),IFERROR(VLOOKUP(D50,'16. Desa. del Sistema Educ.Sup.'!$E:$F,2,FALSE),IFERROR(VLOOKUP(D50,'9. Cultura de Inno. Insti...'!$E:$F,2,FALSE),VLOOKUP(D50,'7. Lo Esencial de la Reforma U.'!$E:$F,2,0)))))))))))))))))</f>
        <v xml:space="preserve">Gestión de equipamiento del departamento de Quimica, Ciencias </v>
      </c>
      <c r="D51" s="31"/>
      <c r="E51" s="93"/>
      <c r="F51" s="93"/>
      <c r="G51" s="93"/>
      <c r="H51" s="76"/>
      <c r="I51" s="76"/>
      <c r="J51" s="76"/>
      <c r="K51" s="112"/>
    </row>
    <row r="52" spans="3:11" ht="15.75" thickBot="1">
      <c r="C52" s="70"/>
      <c r="D52" s="31"/>
      <c r="E52" s="93"/>
      <c r="F52" s="93"/>
      <c r="G52" s="93"/>
      <c r="H52" s="76"/>
      <c r="I52" s="76"/>
      <c r="J52" s="76"/>
      <c r="K52" s="112"/>
    </row>
    <row r="53" spans="3:11" ht="30.75" thickBot="1">
      <c r="C53" s="126" t="s">
        <v>44</v>
      </c>
      <c r="D53" s="128" t="s">
        <v>55</v>
      </c>
      <c r="E53" s="128" t="s">
        <v>57</v>
      </c>
      <c r="F53" s="127" t="s">
        <v>27</v>
      </c>
      <c r="G53" s="133" t="s">
        <v>131</v>
      </c>
      <c r="H53" s="128" t="s">
        <v>46</v>
      </c>
      <c r="I53" s="128" t="s">
        <v>132</v>
      </c>
      <c r="J53" s="128" t="s">
        <v>410</v>
      </c>
      <c r="K53" s="128" t="s">
        <v>411</v>
      </c>
    </row>
    <row r="54" spans="3:11">
      <c r="C54" s="95" t="s">
        <v>63</v>
      </c>
      <c r="D54" s="158">
        <v>1</v>
      </c>
      <c r="E54" s="96">
        <v>2800</v>
      </c>
      <c r="F54" s="97">
        <f>D54*E54</f>
        <v>2800</v>
      </c>
      <c r="G54" s="161" t="s">
        <v>1486</v>
      </c>
      <c r="H54" s="98" t="s">
        <v>985</v>
      </c>
      <c r="I54" s="98" t="str">
        <f>VLOOKUP(H54,Presupuesto!$B$11:$C$565,2,0)</f>
        <v>MUEBLES VARIOS DE OFICINA</v>
      </c>
      <c r="J54" s="218" t="s">
        <v>1441</v>
      </c>
      <c r="K54" s="98" t="s">
        <v>404</v>
      </c>
    </row>
    <row r="55" spans="3:11">
      <c r="C55" s="99" t="s">
        <v>67</v>
      </c>
      <c r="D55" s="151">
        <v>1</v>
      </c>
      <c r="E55" s="100">
        <v>3000</v>
      </c>
      <c r="F55" s="97">
        <f t="shared" ref="F55:F57" si="5">D55*E55</f>
        <v>3000</v>
      </c>
      <c r="G55" s="161" t="s">
        <v>1486</v>
      </c>
      <c r="H55" s="101" t="s">
        <v>985</v>
      </c>
      <c r="I55" s="98" t="str">
        <f>VLOOKUP(H55,Presupuesto!$B$11:$C$565,2,0)</f>
        <v>MUEBLES VARIOS DE OFICINA</v>
      </c>
      <c r="J55" s="98" t="str">
        <f t="shared" ref="J55:J57" si="6">$J$54</f>
        <v>Posgrado</v>
      </c>
      <c r="K55" s="98" t="s">
        <v>395</v>
      </c>
    </row>
    <row r="56" spans="3:11">
      <c r="C56" s="99" t="s">
        <v>1878</v>
      </c>
      <c r="D56" s="151">
        <v>4</v>
      </c>
      <c r="E56" s="100">
        <v>4000</v>
      </c>
      <c r="F56" s="97">
        <f t="shared" si="5"/>
        <v>16000</v>
      </c>
      <c r="G56" s="161" t="s">
        <v>1486</v>
      </c>
      <c r="H56" s="101" t="s">
        <v>985</v>
      </c>
      <c r="I56" s="98" t="str">
        <f>VLOOKUP(H56,Presupuesto!$B$11:$C$565,2,0)</f>
        <v>MUEBLES VARIOS DE OFICINA</v>
      </c>
      <c r="J56" s="98" t="str">
        <f t="shared" si="6"/>
        <v>Posgrado</v>
      </c>
      <c r="K56" s="98" t="s">
        <v>395</v>
      </c>
    </row>
    <row r="57" spans="3:11">
      <c r="C57" s="99" t="s">
        <v>69</v>
      </c>
      <c r="D57" s="151">
        <v>2</v>
      </c>
      <c r="E57" s="100">
        <v>8000</v>
      </c>
      <c r="F57" s="97">
        <f t="shared" si="5"/>
        <v>16000</v>
      </c>
      <c r="G57" s="161" t="s">
        <v>1486</v>
      </c>
      <c r="H57" s="101" t="s">
        <v>988</v>
      </c>
      <c r="I57" s="98" t="str">
        <f>VLOOKUP(H57,Presupuesto!$B$11:$C$565,2,0)</f>
        <v>EQUIPOS VARIOS DE OFICINA</v>
      </c>
      <c r="J57" s="98" t="str">
        <f t="shared" si="6"/>
        <v>Posgrado</v>
      </c>
      <c r="K57" s="98" t="s">
        <v>395</v>
      </c>
    </row>
    <row r="59" spans="3:11" ht="15.75" thickBot="1"/>
    <row r="60" spans="3:11" ht="15.75" thickBot="1">
      <c r="C60" s="29" t="s">
        <v>43</v>
      </c>
      <c r="D60" s="30">
        <f>SUM(F67:F69)</f>
        <v>69400</v>
      </c>
      <c r="E60" s="177"/>
      <c r="F60" s="177"/>
      <c r="G60" s="79"/>
      <c r="H60" s="177"/>
      <c r="I60" s="177"/>
    </row>
    <row r="61" spans="3:11">
      <c r="C61" s="70"/>
      <c r="D61" s="31"/>
      <c r="E61" s="93"/>
      <c r="F61" s="93"/>
      <c r="G61" s="93"/>
      <c r="H61" s="76"/>
      <c r="I61" s="76"/>
      <c r="J61" s="76"/>
      <c r="K61" s="112"/>
    </row>
    <row r="62" spans="3:11">
      <c r="C62" s="70"/>
      <c r="D62" s="31"/>
      <c r="E62" s="93"/>
      <c r="F62" s="93"/>
      <c r="G62" s="93"/>
      <c r="H62" s="76"/>
      <c r="I62" s="76"/>
      <c r="J62" s="76"/>
      <c r="K62" s="112"/>
    </row>
    <row r="63" spans="3:11" ht="15.75">
      <c r="C63" s="202" t="s">
        <v>392</v>
      </c>
      <c r="D63" s="361" t="s">
        <v>2013</v>
      </c>
      <c r="E63" s="93"/>
      <c r="F63" s="93"/>
      <c r="G63" s="93"/>
      <c r="H63" s="76"/>
      <c r="I63" s="76"/>
      <c r="J63" s="76"/>
      <c r="K63" s="112"/>
    </row>
    <row r="64" spans="3:11" ht="18.75">
      <c r="C64" s="210" t="str">
        <f>IFERROR(VLOOKUP(D63,'1. Desarrollo e Innov. Curricu.'!$E:$F,2,FALSE),IFERROR(VLOOKUP(D63,'2. Investigación Científica'!$E:$F,2,FALSE),IFERROR(VLOOKUP(D63,'3. Vinculación Univ. Sociedad'!$E:$F,2,FALSE),IFERROR(VLOOKUP(D63,'4. Docencia y Profesorado Univ.'!$E:$F,2,FALSE),IFERROR(VLOOKUP(D63,'5. Estudiantes y Graduados'!$E:$F,2,FALSE),IFERROR(VLOOKUP(D63,'11. Gestion Administrativa'!$E:$F,2,FALSE),IFERROR(VLOOKUP(D63,'13. Gestión Académica'!$E:$F,2,FALSE),IFERROR(VLOOKUP(D63,'8. Asegura. de la Calid. y M'!$E:$F,2,FALSE),IFERROR(VLOOKUP(D63,'6. Gestión del Conocimiento'!$E:$F,2,FALSE),IFERROR(VLOOKUP(D63,'15. Gobernabilidad y Proceso...'!$E:$F,2,FALSE),IFERROR(VLOOKUP(D63,'12. Gestión del Talento Humano'!$E:$F,2,FALSE),IFERROR(VLOOKUP(D63,'14. Internacional... de la E.S.'!$E:$F,2,FALSE),IFERROR(VLOOKUP(D63,'10. Posgrado'!$E:$F,2,FALSE),IFERROR(VLOOKUP(D63,'17. Gestión TIC'!$E:$F,2,FALSE),IFERROR(VLOOKUP(D63,'16. Desa. del Sistema Educ.Sup.'!$E:$F,2,FALSE),IFERROR(VLOOKUP(D63,'9. Cultura de Inno. Insti...'!$E:$F,2,FALSE),VLOOKUP(D63,'7. Lo Esencial de la Reforma U.'!$E:$F,2,0)))))))))))))))))</f>
        <v xml:space="preserve">Gestionar equipamiento del area de enfermeria 7 escritorios, 7 sillas, 1 mesa de reuniones, 9 sillas impresora  para docentes de enfermeria. </v>
      </c>
      <c r="D64" s="31"/>
      <c r="E64" s="93"/>
      <c r="F64" s="93"/>
      <c r="G64" s="93"/>
      <c r="H64" s="76"/>
      <c r="I64" s="76"/>
      <c r="J64" s="76"/>
      <c r="K64" s="112"/>
    </row>
    <row r="65" spans="3:11" ht="15.75" thickBot="1">
      <c r="C65" s="70"/>
      <c r="D65" s="31"/>
      <c r="E65" s="93"/>
      <c r="F65" s="93"/>
      <c r="G65" s="93"/>
      <c r="H65" s="76"/>
      <c r="I65" s="76"/>
      <c r="J65" s="76"/>
      <c r="K65" s="112"/>
    </row>
    <row r="66" spans="3:11" ht="30.75" thickBot="1">
      <c r="C66" s="126" t="s">
        <v>44</v>
      </c>
      <c r="D66" s="128" t="s">
        <v>55</v>
      </c>
      <c r="E66" s="128" t="s">
        <v>57</v>
      </c>
      <c r="F66" s="127" t="s">
        <v>27</v>
      </c>
      <c r="G66" s="133" t="s">
        <v>131</v>
      </c>
      <c r="H66" s="128" t="s">
        <v>46</v>
      </c>
      <c r="I66" s="128" t="s">
        <v>132</v>
      </c>
      <c r="J66" s="128" t="s">
        <v>410</v>
      </c>
      <c r="K66" s="128" t="s">
        <v>411</v>
      </c>
    </row>
    <row r="67" spans="3:11">
      <c r="C67" s="99" t="s">
        <v>64</v>
      </c>
      <c r="D67" s="151">
        <v>16</v>
      </c>
      <c r="E67" s="100">
        <v>2400</v>
      </c>
      <c r="F67" s="97">
        <f>D67*E67</f>
        <v>38400</v>
      </c>
      <c r="G67" s="161" t="s">
        <v>1486</v>
      </c>
      <c r="H67" s="101" t="s">
        <v>985</v>
      </c>
      <c r="I67" s="98" t="str">
        <f>VLOOKUP(H67,Presupuesto!$B$11:$C$565,2,0)</f>
        <v>MUEBLES VARIOS DE OFICINA</v>
      </c>
      <c r="J67" s="98" t="s">
        <v>1364</v>
      </c>
      <c r="K67" s="98" t="s">
        <v>412</v>
      </c>
    </row>
    <row r="68" spans="3:11">
      <c r="C68" s="99" t="s">
        <v>67</v>
      </c>
      <c r="D68" s="151">
        <v>7</v>
      </c>
      <c r="E68" s="100">
        <v>3000</v>
      </c>
      <c r="F68" s="97">
        <f t="shared" ref="F68:F69" si="7">D68*E68</f>
        <v>21000</v>
      </c>
      <c r="G68" s="161" t="s">
        <v>1486</v>
      </c>
      <c r="H68" s="101" t="s">
        <v>985</v>
      </c>
      <c r="I68" s="98" t="str">
        <f>VLOOKUP(H68,Presupuesto!$B$11:$C$565,2,0)</f>
        <v>MUEBLES VARIOS DE OFICINA</v>
      </c>
      <c r="J68" s="98" t="s">
        <v>1364</v>
      </c>
      <c r="K68" s="98" t="s">
        <v>395</v>
      </c>
    </row>
    <row r="69" spans="3:11">
      <c r="C69" s="99" t="s">
        <v>68</v>
      </c>
      <c r="D69" s="151">
        <v>1</v>
      </c>
      <c r="E69" s="100">
        <v>10000</v>
      </c>
      <c r="F69" s="97">
        <f t="shared" si="7"/>
        <v>10000</v>
      </c>
      <c r="G69" s="161" t="s">
        <v>1486</v>
      </c>
      <c r="H69" s="101" t="s">
        <v>985</v>
      </c>
      <c r="I69" s="98" t="str">
        <f>VLOOKUP(H69,Presupuesto!$B$11:$C$565,2,0)</f>
        <v>MUEBLES VARIOS DE OFICINA</v>
      </c>
      <c r="J69" s="98" t="s">
        <v>1364</v>
      </c>
      <c r="K69" s="98" t="s">
        <v>395</v>
      </c>
    </row>
    <row r="71" spans="3:11" ht="15.75" thickBot="1">
      <c r="C71" s="331"/>
      <c r="D71" s="332"/>
      <c r="E71" s="333"/>
      <c r="F71" s="333"/>
      <c r="G71" s="334"/>
      <c r="H71" s="333"/>
      <c r="I71" s="333"/>
      <c r="J71" s="155"/>
      <c r="K71" s="155"/>
    </row>
    <row r="72" spans="3:11" ht="15.75" thickBot="1">
      <c r="C72" s="29" t="s">
        <v>43</v>
      </c>
      <c r="D72" s="30">
        <f>SUM(F79:F81)</f>
        <v>25600</v>
      </c>
      <c r="E72" s="177"/>
      <c r="F72" s="177"/>
      <c r="G72" s="79"/>
      <c r="H72" s="177"/>
      <c r="I72" s="177"/>
    </row>
    <row r="73" spans="3:11">
      <c r="C73" s="70"/>
      <c r="D73" s="31"/>
      <c r="E73" s="93"/>
      <c r="F73" s="93"/>
      <c r="G73" s="93"/>
      <c r="H73" s="76"/>
      <c r="I73" s="76"/>
      <c r="J73" s="76"/>
      <c r="K73" s="112"/>
    </row>
    <row r="74" spans="3:11">
      <c r="C74" s="70"/>
      <c r="D74" s="31"/>
      <c r="E74" s="93"/>
      <c r="F74" s="93"/>
      <c r="G74" s="93"/>
      <c r="H74" s="76"/>
      <c r="I74" s="76"/>
      <c r="J74" s="76"/>
      <c r="K74" s="112"/>
    </row>
    <row r="75" spans="3:11" ht="15.75">
      <c r="C75" s="202" t="s">
        <v>392</v>
      </c>
      <c r="D75" s="361" t="s">
        <v>2208</v>
      </c>
      <c r="E75" s="93"/>
      <c r="F75" s="93"/>
      <c r="G75" s="93"/>
      <c r="H75" s="76"/>
      <c r="I75" s="76"/>
      <c r="J75" s="76"/>
      <c r="K75" s="112"/>
    </row>
    <row r="76" spans="3:11" ht="18.75">
      <c r="C76" s="210" t="str">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 xml:space="preserve">Gestionar Equipamiento de la sala de maestros de agroindustria.  </v>
      </c>
      <c r="D76" s="31"/>
      <c r="E76" s="93"/>
      <c r="F76" s="93"/>
      <c r="G76" s="93"/>
      <c r="H76" s="76"/>
      <c r="I76" s="76"/>
      <c r="J76" s="76"/>
      <c r="K76" s="112"/>
    </row>
    <row r="77" spans="3:11" ht="15.75" thickBot="1">
      <c r="C77" s="70"/>
      <c r="D77" s="31"/>
      <c r="E77" s="93"/>
      <c r="F77" s="93"/>
      <c r="G77" s="93"/>
      <c r="H77" s="76"/>
      <c r="I77" s="76"/>
      <c r="J77" s="76"/>
      <c r="K77" s="112"/>
    </row>
    <row r="78" spans="3:11" ht="30.75" thickBot="1">
      <c r="C78" s="126" t="s">
        <v>44</v>
      </c>
      <c r="D78" s="128" t="s">
        <v>55</v>
      </c>
      <c r="E78" s="128" t="s">
        <v>57</v>
      </c>
      <c r="F78" s="127" t="s">
        <v>27</v>
      </c>
      <c r="G78" s="133" t="s">
        <v>131</v>
      </c>
      <c r="H78" s="128" t="s">
        <v>46</v>
      </c>
      <c r="I78" s="128" t="s">
        <v>132</v>
      </c>
      <c r="J78" s="128" t="s">
        <v>410</v>
      </c>
      <c r="K78" s="128" t="s">
        <v>411</v>
      </c>
    </row>
    <row r="79" spans="3:11">
      <c r="C79" s="99" t="s">
        <v>64</v>
      </c>
      <c r="D79" s="151">
        <v>4</v>
      </c>
      <c r="E79" s="100">
        <v>2400</v>
      </c>
      <c r="F79" s="97">
        <f>D79*E79</f>
        <v>9600</v>
      </c>
      <c r="G79" s="161" t="s">
        <v>1486</v>
      </c>
      <c r="H79" s="101" t="s">
        <v>985</v>
      </c>
      <c r="I79" s="98" t="str">
        <f>VLOOKUP(H79,Presupuesto!$B$11:$C$565,2,0)</f>
        <v>MUEBLES VARIOS DE OFICINA</v>
      </c>
      <c r="J79" s="98" t="s">
        <v>1364</v>
      </c>
      <c r="K79" s="98" t="s">
        <v>412</v>
      </c>
    </row>
    <row r="80" spans="3:11">
      <c r="C80" s="99" t="s">
        <v>2213</v>
      </c>
      <c r="D80" s="151">
        <v>1</v>
      </c>
      <c r="E80" s="100">
        <v>4000</v>
      </c>
      <c r="F80" s="97">
        <f t="shared" ref="F80:F81" si="8">D80*E80</f>
        <v>4000</v>
      </c>
      <c r="G80" s="626" t="s">
        <v>1486</v>
      </c>
      <c r="H80" s="101" t="s">
        <v>985</v>
      </c>
      <c r="I80" s="98" t="str">
        <f>VLOOKUP(H80,Presupuesto!$B$11:$C$565,2,0)</f>
        <v>MUEBLES VARIOS DE OFICINA</v>
      </c>
      <c r="J80" s="609" t="s">
        <v>1364</v>
      </c>
      <c r="K80" s="98" t="s">
        <v>395</v>
      </c>
    </row>
    <row r="81" spans="3:11">
      <c r="C81" s="99" t="s">
        <v>67</v>
      </c>
      <c r="D81" s="151">
        <v>4</v>
      </c>
      <c r="E81" s="100">
        <v>3000</v>
      </c>
      <c r="F81" s="97">
        <f t="shared" si="8"/>
        <v>12000</v>
      </c>
      <c r="G81" s="626" t="s">
        <v>1486</v>
      </c>
      <c r="H81" s="101" t="s">
        <v>985</v>
      </c>
      <c r="I81" s="98" t="str">
        <f>VLOOKUP(H81,Presupuesto!$B$11:$C$565,2,0)</f>
        <v>MUEBLES VARIOS DE OFICINA</v>
      </c>
      <c r="J81" s="609" t="s">
        <v>1364</v>
      </c>
      <c r="K81" s="98" t="s">
        <v>395</v>
      </c>
    </row>
    <row r="83" spans="3:11" ht="15.75" thickBot="1"/>
    <row r="84" spans="3:11" ht="15.75" thickBot="1">
      <c r="C84" s="29" t="s">
        <v>43</v>
      </c>
      <c r="D84" s="30">
        <f>SUM(F91:F97)</f>
        <v>285000</v>
      </c>
      <c r="E84" s="177"/>
      <c r="F84" s="177"/>
      <c r="G84" s="79"/>
      <c r="H84" s="177"/>
      <c r="I84" s="177"/>
    </row>
    <row r="85" spans="3:11">
      <c r="C85" s="70"/>
      <c r="D85" s="31"/>
      <c r="E85" s="93"/>
      <c r="F85" s="93"/>
      <c r="G85" s="93"/>
      <c r="H85" s="76"/>
      <c r="I85" s="76"/>
      <c r="J85" s="76"/>
      <c r="K85" s="112"/>
    </row>
    <row r="86" spans="3:11">
      <c r="C86" s="70"/>
      <c r="D86" s="31"/>
      <c r="E86" s="93"/>
      <c r="F86" s="93"/>
      <c r="G86" s="93"/>
      <c r="H86" s="76"/>
      <c r="I86" s="76"/>
      <c r="J86" s="76"/>
      <c r="K86" s="112"/>
    </row>
    <row r="87" spans="3:11" ht="15.75">
      <c r="C87" s="202" t="s">
        <v>392</v>
      </c>
      <c r="D87" s="361" t="s">
        <v>2380</v>
      </c>
      <c r="E87" s="93"/>
      <c r="F87" s="93"/>
      <c r="G87" s="93"/>
      <c r="H87" s="76"/>
      <c r="I87" s="76"/>
      <c r="J87" s="76"/>
      <c r="K87" s="112"/>
    </row>
    <row r="88" spans="3:11" ht="18.75">
      <c r="C88" s="210" t="str">
        <f>IFERROR(VLOOKUP(D87,'1. Desarrollo e Innov. Curricu.'!$E:$F,2,FALSE),IFERROR(VLOOKUP(D87,'2. Investigación Científica'!$E:$F,2,FALSE),IFERROR(VLOOKUP(D87,'3. Vinculación Univ. Sociedad'!$E:$F,2,FALSE),IFERROR(VLOOKUP(D87,'4. Docencia y Profesorado Univ.'!$E:$F,2,FALSE),IFERROR(VLOOKUP(D87,'5. Estudiantes y Graduados'!$E:$F,2,FALSE),IFERROR(VLOOKUP(D87,'11. Gestion Administrativa'!$E:$F,2,FALSE),IFERROR(VLOOKUP(D87,'13. Gestión Académica'!$E:$F,2,FALSE),IFERROR(VLOOKUP(D87,'8. Asegura. de la Calid. y M'!$E:$F,2,FALSE),IFERROR(VLOOKUP(D87,'6. Gestión del Conocimiento'!$E:$F,2,FALSE),IFERROR(VLOOKUP(D87,'15. Gobernabilidad y Proceso...'!$E:$F,2,FALSE),IFERROR(VLOOKUP(D87,'12. Gestión del Talento Humano'!$E:$F,2,FALSE),IFERROR(VLOOKUP(D87,'14. Internacional... de la E.S.'!$E:$F,2,FALSE),IFERROR(VLOOKUP(D87,'10. Posgrado'!$E:$F,2,FALSE),IFERROR(VLOOKUP(D87,'17. Gestión TIC'!$E:$F,2,FALSE),IFERROR(VLOOKUP(D87,'16. Desa. del Sistema Educ.Sup.'!$E:$F,2,FALSE),IFERROR(VLOOKUP(D87,'9. Cultura de Inno. Insti...'!$E:$F,2,FALSE),VLOOKUP(D87,'7. Lo Esencial de la Reforma U.'!$E:$F,2,0)))))))))))))))))</f>
        <v xml:space="preserve">Gestionar Equipamiento area adminsitrativa, biblioteca, aula de ajedrez </v>
      </c>
      <c r="D88" s="31"/>
      <c r="E88" s="93"/>
      <c r="F88" s="93"/>
      <c r="G88" s="93"/>
      <c r="H88" s="76"/>
      <c r="I88" s="76"/>
      <c r="J88" s="76"/>
      <c r="K88" s="112"/>
    </row>
    <row r="89" spans="3:11" ht="15.75" thickBot="1">
      <c r="C89" s="70"/>
      <c r="D89" s="31"/>
      <c r="E89" s="93"/>
      <c r="F89" s="93"/>
      <c r="G89" s="93"/>
      <c r="H89" s="76"/>
      <c r="I89" s="76"/>
      <c r="J89" s="76"/>
      <c r="K89" s="112"/>
    </row>
    <row r="90" spans="3:11" ht="30.75" thickBot="1">
      <c r="C90" s="126" t="s">
        <v>44</v>
      </c>
      <c r="D90" s="128" t="s">
        <v>55</v>
      </c>
      <c r="E90" s="128" t="s">
        <v>57</v>
      </c>
      <c r="F90" s="127" t="s">
        <v>27</v>
      </c>
      <c r="G90" s="133" t="s">
        <v>131</v>
      </c>
      <c r="H90" s="128" t="s">
        <v>46</v>
      </c>
      <c r="I90" s="128" t="s">
        <v>132</v>
      </c>
      <c r="J90" s="128" t="s">
        <v>410</v>
      </c>
      <c r="K90" s="128" t="s">
        <v>411</v>
      </c>
    </row>
    <row r="91" spans="3:11">
      <c r="C91" s="99" t="s">
        <v>65</v>
      </c>
      <c r="D91" s="151">
        <v>20</v>
      </c>
      <c r="E91" s="100">
        <v>1000</v>
      </c>
      <c r="F91" s="97">
        <f t="shared" ref="F91:F97" si="9">D91*E91</f>
        <v>20000</v>
      </c>
      <c r="G91" s="161" t="s">
        <v>1486</v>
      </c>
      <c r="H91" s="101" t="s">
        <v>985</v>
      </c>
      <c r="I91" s="98" t="str">
        <f>VLOOKUP(H91,Presupuesto!$B$11:$C$565,2,0)</f>
        <v>MUEBLES VARIOS DE OFICINA</v>
      </c>
      <c r="J91" s="98" t="s">
        <v>1364</v>
      </c>
      <c r="K91" s="98" t="s">
        <v>395</v>
      </c>
    </row>
    <row r="92" spans="3:11">
      <c r="C92" s="99" t="s">
        <v>2379</v>
      </c>
      <c r="D92" s="151">
        <v>4</v>
      </c>
      <c r="E92" s="100">
        <v>2500</v>
      </c>
      <c r="F92" s="97">
        <f t="shared" si="9"/>
        <v>10000</v>
      </c>
      <c r="G92" s="626" t="s">
        <v>1486</v>
      </c>
      <c r="H92" s="101" t="s">
        <v>985</v>
      </c>
      <c r="I92" s="98" t="str">
        <f>VLOOKUP(H92,Presupuesto!$B$11:$C$565,2,0)</f>
        <v>MUEBLES VARIOS DE OFICINA</v>
      </c>
      <c r="J92" s="609" t="s">
        <v>1364</v>
      </c>
      <c r="K92" s="98" t="s">
        <v>395</v>
      </c>
    </row>
    <row r="93" spans="3:11">
      <c r="C93" s="99" t="s">
        <v>2378</v>
      </c>
      <c r="D93" s="151">
        <v>6</v>
      </c>
      <c r="E93" s="100">
        <v>3000</v>
      </c>
      <c r="F93" s="97">
        <f t="shared" si="9"/>
        <v>18000</v>
      </c>
      <c r="G93" s="626" t="s">
        <v>1486</v>
      </c>
      <c r="H93" s="101" t="s">
        <v>985</v>
      </c>
      <c r="I93" s="98" t="str">
        <f>VLOOKUP(H93,Presupuesto!$B$11:$C$565,2,0)</f>
        <v>MUEBLES VARIOS DE OFICINA</v>
      </c>
      <c r="J93" s="609" t="s">
        <v>1364</v>
      </c>
      <c r="K93" s="98" t="s">
        <v>395</v>
      </c>
    </row>
    <row r="94" spans="3:11" s="606" customFormat="1">
      <c r="C94" s="610" t="s">
        <v>2386</v>
      </c>
      <c r="D94" s="623">
        <v>9</v>
      </c>
      <c r="E94" s="611">
        <v>3000</v>
      </c>
      <c r="F94" s="608">
        <f t="shared" ref="F94" si="10">D94*E94</f>
        <v>27000</v>
      </c>
      <c r="G94" s="626" t="s">
        <v>1486</v>
      </c>
      <c r="H94" s="612" t="s">
        <v>985</v>
      </c>
      <c r="I94" s="609" t="str">
        <f>VLOOKUP(H94,Presupuesto!$B$11:$C$565,2,0)</f>
        <v>MUEBLES VARIOS DE OFICINA</v>
      </c>
      <c r="J94" s="609" t="s">
        <v>1364</v>
      </c>
      <c r="K94" s="609"/>
    </row>
    <row r="95" spans="3:11">
      <c r="C95" s="99" t="s">
        <v>2377</v>
      </c>
      <c r="D95" s="151">
        <v>10</v>
      </c>
      <c r="E95" s="100">
        <v>3000</v>
      </c>
      <c r="F95" s="97">
        <f t="shared" si="9"/>
        <v>30000</v>
      </c>
      <c r="G95" s="626" t="s">
        <v>1486</v>
      </c>
      <c r="H95" s="101" t="s">
        <v>985</v>
      </c>
      <c r="I95" s="98" t="str">
        <f>VLOOKUP(H95,Presupuesto!$B$11:$C$565,2,0)</f>
        <v>MUEBLES VARIOS DE OFICINA</v>
      </c>
      <c r="J95" s="609" t="s">
        <v>1364</v>
      </c>
      <c r="K95" s="98" t="s">
        <v>395</v>
      </c>
    </row>
    <row r="96" spans="3:11">
      <c r="C96" s="99" t="s">
        <v>69</v>
      </c>
      <c r="D96" s="151">
        <v>10</v>
      </c>
      <c r="E96" s="100">
        <v>8000</v>
      </c>
      <c r="F96" s="97">
        <f t="shared" si="9"/>
        <v>80000</v>
      </c>
      <c r="G96" s="626" t="s">
        <v>1486</v>
      </c>
      <c r="H96" s="101" t="s">
        <v>988</v>
      </c>
      <c r="I96" s="98" t="str">
        <f>VLOOKUP(H96,Presupuesto!$B$11:$C$565,2,0)</f>
        <v>EQUIPOS VARIOS DE OFICINA</v>
      </c>
      <c r="J96" s="609" t="s">
        <v>1364</v>
      </c>
      <c r="K96" s="98" t="s">
        <v>395</v>
      </c>
    </row>
    <row r="97" spans="3:11" ht="15.75" thickBot="1">
      <c r="C97" s="102" t="s">
        <v>72</v>
      </c>
      <c r="D97" s="159">
        <v>1</v>
      </c>
      <c r="E97" s="104">
        <v>100000</v>
      </c>
      <c r="F97" s="105">
        <f t="shared" si="9"/>
        <v>100000</v>
      </c>
      <c r="G97" s="626" t="s">
        <v>1486</v>
      </c>
      <c r="H97" s="106" t="s">
        <v>988</v>
      </c>
      <c r="I97" s="106" t="str">
        <f>VLOOKUP(H97,Presupuesto!$B$11:$C$565,2,0)</f>
        <v>EQUIPOS VARIOS DE OFICINA</v>
      </c>
      <c r="J97" s="609" t="s">
        <v>1364</v>
      </c>
      <c r="K97" s="124" t="s">
        <v>394</v>
      </c>
    </row>
    <row r="99" spans="3:11" ht="15.75" thickBot="1">
      <c r="C99" s="331"/>
      <c r="D99" s="332"/>
      <c r="E99" s="333"/>
      <c r="F99" s="333"/>
      <c r="G99" s="334"/>
      <c r="H99" s="333"/>
      <c r="I99" s="333"/>
      <c r="J99" s="155"/>
      <c r="K99" s="155"/>
    </row>
    <row r="100" spans="3:11" ht="15.75" thickBot="1">
      <c r="C100" s="29" t="s">
        <v>43</v>
      </c>
      <c r="D100" s="30">
        <f>SUM(F107:F116)</f>
        <v>0</v>
      </c>
      <c r="E100" s="177"/>
      <c r="F100" s="177"/>
      <c r="G100" s="79"/>
      <c r="H100" s="177"/>
      <c r="I100" s="177"/>
    </row>
    <row r="101" spans="3:11">
      <c r="C101" s="70"/>
      <c r="D101" s="31"/>
      <c r="E101" s="93"/>
      <c r="F101" s="93"/>
      <c r="G101" s="93"/>
      <c r="H101" s="76"/>
      <c r="I101" s="76"/>
      <c r="J101" s="76"/>
      <c r="K101" s="112"/>
    </row>
    <row r="102" spans="3:11">
      <c r="C102" s="70"/>
      <c r="D102" s="31"/>
      <c r="E102" s="93"/>
      <c r="F102" s="93"/>
      <c r="G102" s="93"/>
      <c r="H102" s="76"/>
      <c r="I102" s="76"/>
      <c r="J102" s="76"/>
      <c r="K102" s="112"/>
    </row>
    <row r="103" spans="3:11" ht="15.75">
      <c r="C103" s="202" t="s">
        <v>392</v>
      </c>
      <c r="D103" s="361"/>
      <c r="E103" s="93"/>
      <c r="F103" s="93"/>
      <c r="G103" s="93"/>
      <c r="H103" s="76"/>
      <c r="I103" s="76"/>
      <c r="J103" s="76"/>
      <c r="K103" s="112"/>
    </row>
    <row r="104" spans="3:11" ht="18.75">
      <c r="C104" s="210" t="e">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Posgrado'!$E:$F,2,FALSE),IFERROR(VLOOKUP(D103,'17. Gestión TIC'!$E:$F,2,FALSE),IFERROR(VLOOKUP(D103,'16. Desa. del Sistema Educ.Sup.'!$E:$F,2,FALSE),IFERROR(VLOOKUP(D103,'9. Cultura de Inno. Insti...'!$E:$F,2,FALSE),VLOOKUP(D103,'7. Lo Esencial de la Reforma U.'!$E:$F,2,0)))))))))))))))))</f>
        <v>#N/A</v>
      </c>
      <c r="D104" s="31"/>
      <c r="E104" s="93"/>
      <c r="F104" s="93"/>
      <c r="G104" s="93"/>
      <c r="H104" s="76"/>
      <c r="I104" s="76"/>
      <c r="J104" s="76"/>
      <c r="K104" s="112"/>
    </row>
    <row r="105" spans="3:11" ht="15.75" thickBot="1">
      <c r="C105" s="70"/>
      <c r="D105" s="31"/>
      <c r="E105" s="93"/>
      <c r="F105" s="93"/>
      <c r="G105" s="93"/>
      <c r="H105" s="76"/>
      <c r="I105" s="76"/>
      <c r="J105" s="76"/>
      <c r="K105" s="112"/>
    </row>
    <row r="106" spans="3:11" ht="30.75" thickBot="1">
      <c r="C106" s="126" t="s">
        <v>44</v>
      </c>
      <c r="D106" s="128" t="s">
        <v>55</v>
      </c>
      <c r="E106" s="128" t="s">
        <v>57</v>
      </c>
      <c r="F106" s="127" t="s">
        <v>27</v>
      </c>
      <c r="G106" s="133" t="s">
        <v>131</v>
      </c>
      <c r="H106" s="128" t="s">
        <v>46</v>
      </c>
      <c r="I106" s="128" t="s">
        <v>132</v>
      </c>
      <c r="J106" s="128" t="s">
        <v>410</v>
      </c>
      <c r="K106" s="128" t="s">
        <v>411</v>
      </c>
    </row>
    <row r="107" spans="3:11">
      <c r="C107" s="95" t="s">
        <v>63</v>
      </c>
      <c r="D107" s="158"/>
      <c r="E107" s="96">
        <v>2800</v>
      </c>
      <c r="F107" s="97">
        <f>D107*E107</f>
        <v>0</v>
      </c>
      <c r="G107" s="161"/>
      <c r="H107" s="98" t="s">
        <v>985</v>
      </c>
      <c r="I107" s="98" t="str">
        <f>VLOOKUP(H107,Presupuesto!$B$11:$C$565,2,0)</f>
        <v>MUEBLES VARIOS DE OFICINA</v>
      </c>
      <c r="J107" s="218" t="s">
        <v>1441</v>
      </c>
      <c r="K107" s="98" t="s">
        <v>404</v>
      </c>
    </row>
    <row r="108" spans="3:11">
      <c r="C108" s="99" t="s">
        <v>64</v>
      </c>
      <c r="D108" s="151"/>
      <c r="E108" s="100">
        <v>2400</v>
      </c>
      <c r="F108" s="97">
        <f>D108*E108</f>
        <v>0</v>
      </c>
      <c r="G108" s="161"/>
      <c r="H108" s="101" t="s">
        <v>985</v>
      </c>
      <c r="I108" s="98" t="str">
        <f>VLOOKUP(H108,Presupuesto!$B$11:$C$565,2,0)</f>
        <v>MUEBLES VARIOS DE OFICINA</v>
      </c>
      <c r="J108" s="98" t="str">
        <f>$J$107</f>
        <v>Posgrado</v>
      </c>
      <c r="K108" s="98" t="s">
        <v>412</v>
      </c>
    </row>
    <row r="109" spans="3:11">
      <c r="C109" s="99" t="s">
        <v>65</v>
      </c>
      <c r="D109" s="151"/>
      <c r="E109" s="100">
        <v>1000</v>
      </c>
      <c r="F109" s="97">
        <f t="shared" ref="F109:F116" si="11">D109*E109</f>
        <v>0</v>
      </c>
      <c r="G109" s="161"/>
      <c r="H109" s="101" t="s">
        <v>985</v>
      </c>
      <c r="I109" s="98" t="str">
        <f>VLOOKUP(H109,Presupuesto!$B$11:$C$565,2,0)</f>
        <v>MUEBLES VARIOS DE OFICINA</v>
      </c>
      <c r="J109" s="98" t="str">
        <f t="shared" ref="J109:J116" si="12">$J$107</f>
        <v>Posgrado</v>
      </c>
      <c r="K109" s="98" t="s">
        <v>395</v>
      </c>
    </row>
    <row r="110" spans="3:11">
      <c r="C110" s="99" t="s">
        <v>66</v>
      </c>
      <c r="D110" s="151"/>
      <c r="E110" s="100">
        <v>6000</v>
      </c>
      <c r="F110" s="97">
        <f t="shared" si="11"/>
        <v>0</v>
      </c>
      <c r="G110" s="161"/>
      <c r="H110" s="101" t="s">
        <v>985</v>
      </c>
      <c r="I110" s="98" t="str">
        <f>VLOOKUP(H110,Presupuesto!$B$11:$C$565,2,0)</f>
        <v>MUEBLES VARIOS DE OFICINA</v>
      </c>
      <c r="J110" s="98" t="str">
        <f t="shared" si="12"/>
        <v>Posgrado</v>
      </c>
      <c r="K110" s="98" t="s">
        <v>395</v>
      </c>
    </row>
    <row r="111" spans="3:11">
      <c r="C111" s="99" t="s">
        <v>67</v>
      </c>
      <c r="D111" s="151"/>
      <c r="E111" s="100">
        <v>3000</v>
      </c>
      <c r="F111" s="97">
        <f t="shared" si="11"/>
        <v>0</v>
      </c>
      <c r="G111" s="161"/>
      <c r="H111" s="101" t="s">
        <v>985</v>
      </c>
      <c r="I111" s="98" t="str">
        <f>VLOOKUP(H111,Presupuesto!$B$11:$C$565,2,0)</f>
        <v>MUEBLES VARIOS DE OFICINA</v>
      </c>
      <c r="J111" s="98" t="str">
        <f t="shared" si="12"/>
        <v>Posgrado</v>
      </c>
      <c r="K111" s="98" t="s">
        <v>395</v>
      </c>
    </row>
    <row r="112" spans="3:11">
      <c r="C112" s="99" t="s">
        <v>68</v>
      </c>
      <c r="D112" s="151"/>
      <c r="E112" s="100">
        <v>10000</v>
      </c>
      <c r="F112" s="97">
        <f t="shared" si="11"/>
        <v>0</v>
      </c>
      <c r="G112" s="161"/>
      <c r="H112" s="101" t="s">
        <v>985</v>
      </c>
      <c r="I112" s="98" t="str">
        <f>VLOOKUP(H112,Presupuesto!$B$11:$C$565,2,0)</f>
        <v>MUEBLES VARIOS DE OFICINA</v>
      </c>
      <c r="J112" s="98" t="str">
        <f t="shared" si="12"/>
        <v>Posgrado</v>
      </c>
      <c r="K112" s="98" t="s">
        <v>395</v>
      </c>
    </row>
    <row r="113" spans="3:11">
      <c r="C113" s="99" t="s">
        <v>69</v>
      </c>
      <c r="D113" s="151"/>
      <c r="E113" s="100">
        <v>8000</v>
      </c>
      <c r="F113" s="97">
        <f t="shared" si="11"/>
        <v>0</v>
      </c>
      <c r="G113" s="161"/>
      <c r="H113" s="101" t="s">
        <v>988</v>
      </c>
      <c r="I113" s="98" t="str">
        <f>VLOOKUP(H113,Presupuesto!$B$11:$C$565,2,0)</f>
        <v>EQUIPOS VARIOS DE OFICINA</v>
      </c>
      <c r="J113" s="98" t="str">
        <f t="shared" si="12"/>
        <v>Posgrado</v>
      </c>
      <c r="K113" s="98" t="s">
        <v>395</v>
      </c>
    </row>
    <row r="114" spans="3:11">
      <c r="C114" s="99" t="s">
        <v>70</v>
      </c>
      <c r="D114" s="151"/>
      <c r="E114" s="100">
        <v>2000</v>
      </c>
      <c r="F114" s="97">
        <f t="shared" si="11"/>
        <v>0</v>
      </c>
      <c r="G114" s="161"/>
      <c r="H114" s="101" t="s">
        <v>988</v>
      </c>
      <c r="I114" s="98" t="str">
        <f>VLOOKUP(H114,Presupuesto!$B$11:$C$565,2,0)</f>
        <v>EQUIPOS VARIOS DE OFICINA</v>
      </c>
      <c r="J114" s="98" t="str">
        <f t="shared" si="12"/>
        <v>Posgrado</v>
      </c>
      <c r="K114" s="98" t="s">
        <v>403</v>
      </c>
    </row>
    <row r="115" spans="3:11">
      <c r="C115" s="99" t="s">
        <v>71</v>
      </c>
      <c r="D115" s="151"/>
      <c r="E115" s="100">
        <v>5000</v>
      </c>
      <c r="F115" s="97">
        <f t="shared" si="11"/>
        <v>0</v>
      </c>
      <c r="G115" s="161"/>
      <c r="H115" s="101" t="s">
        <v>988</v>
      </c>
      <c r="I115" s="98" t="str">
        <f>VLOOKUP(H115,Presupuesto!$B$11:$C$565,2,0)</f>
        <v>EQUIPOS VARIOS DE OFICINA</v>
      </c>
      <c r="J115" s="98" t="str">
        <f t="shared" si="12"/>
        <v>Posgrado</v>
      </c>
      <c r="K115" s="98" t="s">
        <v>399</v>
      </c>
    </row>
    <row r="116" spans="3:11" ht="15.75" thickBot="1">
      <c r="C116" s="102" t="s">
        <v>72</v>
      </c>
      <c r="D116" s="159"/>
      <c r="E116" s="104">
        <v>100000</v>
      </c>
      <c r="F116" s="105">
        <f t="shared" si="11"/>
        <v>0</v>
      </c>
      <c r="G116" s="162"/>
      <c r="H116" s="106" t="s">
        <v>988</v>
      </c>
      <c r="I116" s="106" t="str">
        <f>VLOOKUP(H116,Presupuesto!$B$11:$C$565,2,0)</f>
        <v>EQUIPOS VARIOS DE OFICINA</v>
      </c>
      <c r="J116" s="106" t="str">
        <f t="shared" si="12"/>
        <v>Posgrado</v>
      </c>
      <c r="K116" s="124" t="s">
        <v>394</v>
      </c>
    </row>
    <row r="118" spans="3:11" ht="15.75" thickBot="1"/>
    <row r="119" spans="3:11" ht="15.75" thickBot="1">
      <c r="C119" s="29" t="s">
        <v>43</v>
      </c>
      <c r="D119" s="30">
        <f>SUM(F126:F135)</f>
        <v>0</v>
      </c>
      <c r="E119" s="177"/>
      <c r="F119" s="177"/>
      <c r="G119" s="79"/>
      <c r="H119" s="177"/>
      <c r="I119" s="177"/>
    </row>
    <row r="120" spans="3:11">
      <c r="C120" s="70"/>
      <c r="D120" s="31"/>
      <c r="E120" s="93"/>
      <c r="F120" s="93"/>
      <c r="G120" s="93"/>
      <c r="H120" s="76"/>
      <c r="I120" s="76"/>
      <c r="J120" s="76"/>
      <c r="K120" s="112"/>
    </row>
    <row r="121" spans="3:11">
      <c r="C121" s="70"/>
      <c r="D121" s="31"/>
      <c r="E121" s="93"/>
      <c r="F121" s="93"/>
      <c r="G121" s="93"/>
      <c r="H121" s="76"/>
      <c r="I121" s="76"/>
      <c r="J121" s="76"/>
      <c r="K121" s="112"/>
    </row>
    <row r="122" spans="3:11" ht="15.75">
      <c r="C122" s="202" t="s">
        <v>392</v>
      </c>
      <c r="D122" s="361"/>
      <c r="E122" s="93"/>
      <c r="F122" s="93"/>
      <c r="G122" s="93"/>
      <c r="H122" s="76"/>
      <c r="I122" s="76"/>
      <c r="J122" s="76"/>
      <c r="K122" s="112"/>
    </row>
    <row r="123" spans="3:11" ht="18.75">
      <c r="C123" s="210" t="e">
        <f>IFERROR(VLOOKUP(D122,'1. Desarrollo e Innov. Curricu.'!$E:$F,2,FALSE),IFERROR(VLOOKUP(D122,'2. Investigación Científica'!$E:$F,2,FALSE),IFERROR(VLOOKUP(D122,'3. Vinculación Univ. Sociedad'!$E:$F,2,FALSE),IFERROR(VLOOKUP(D122,'4. Docencia y Profesorado Univ.'!$E:$F,2,FALSE),IFERROR(VLOOKUP(D122,'5. Estudiantes y Graduados'!$E:$F,2,FALSE),IFERROR(VLOOKUP(D122,'11. Gestion Administrativa'!$E:$F,2,FALSE),IFERROR(VLOOKUP(D122,'13. Gestión Académica'!$E:$F,2,FALSE),IFERROR(VLOOKUP(D122,'8. Asegura. de la Calid. y M'!$E:$F,2,FALSE),IFERROR(VLOOKUP(D122,'6. Gestión del Conocimiento'!$E:$F,2,FALSE),IFERROR(VLOOKUP(D122,'15. Gobernabilidad y Proceso...'!$E:$F,2,FALSE),IFERROR(VLOOKUP(D122,'12. Gestión del Talento Humano'!$E:$F,2,FALSE),IFERROR(VLOOKUP(D122,'14. Internacional... de la E.S.'!$E:$F,2,FALSE),IFERROR(VLOOKUP(D122,'10. Posgrado'!$E:$F,2,FALSE),IFERROR(VLOOKUP(D122,'17. Gestión TIC'!$E:$F,2,FALSE),IFERROR(VLOOKUP(D122,'16. Desa. del Sistema Educ.Sup.'!$E:$F,2,FALSE),IFERROR(VLOOKUP(D122,'9. Cultura de Inno. Insti...'!$E:$F,2,FALSE),VLOOKUP(D122,'7. Lo Esencial de la Reforma U.'!$E:$F,2,0)))))))))))))))))</f>
        <v>#N/A</v>
      </c>
      <c r="D123" s="31"/>
      <c r="E123" s="93"/>
      <c r="F123" s="93"/>
      <c r="G123" s="93"/>
      <c r="H123" s="76"/>
      <c r="I123" s="76"/>
      <c r="J123" s="76"/>
      <c r="K123" s="112"/>
    </row>
    <row r="124" spans="3:11" ht="15.75" thickBot="1">
      <c r="C124" s="70"/>
      <c r="D124" s="31"/>
      <c r="E124" s="93"/>
      <c r="F124" s="93"/>
      <c r="G124" s="93"/>
      <c r="H124" s="76"/>
      <c r="I124" s="76"/>
      <c r="J124" s="76"/>
      <c r="K124" s="112"/>
    </row>
    <row r="125" spans="3:11" ht="30.75" thickBot="1">
      <c r="C125" s="126" t="s">
        <v>44</v>
      </c>
      <c r="D125" s="128" t="s">
        <v>55</v>
      </c>
      <c r="E125" s="128" t="s">
        <v>57</v>
      </c>
      <c r="F125" s="127" t="s">
        <v>27</v>
      </c>
      <c r="G125" s="133" t="s">
        <v>131</v>
      </c>
      <c r="H125" s="128" t="s">
        <v>46</v>
      </c>
      <c r="I125" s="128" t="s">
        <v>132</v>
      </c>
      <c r="J125" s="128" t="s">
        <v>410</v>
      </c>
      <c r="K125" s="128" t="s">
        <v>411</v>
      </c>
    </row>
    <row r="126" spans="3:11">
      <c r="C126" s="95" t="s">
        <v>63</v>
      </c>
      <c r="D126" s="158"/>
      <c r="E126" s="96">
        <v>2800</v>
      </c>
      <c r="F126" s="97">
        <f>D126*E126</f>
        <v>0</v>
      </c>
      <c r="G126" s="161"/>
      <c r="H126" s="98" t="s">
        <v>985</v>
      </c>
      <c r="I126" s="98" t="str">
        <f>VLOOKUP(H126,Presupuesto!$B$11:$C$565,2,0)</f>
        <v>MUEBLES VARIOS DE OFICINA</v>
      </c>
      <c r="J126" s="218" t="s">
        <v>1441</v>
      </c>
      <c r="K126" s="98" t="s">
        <v>404</v>
      </c>
    </row>
    <row r="127" spans="3:11">
      <c r="C127" s="99" t="s">
        <v>64</v>
      </c>
      <c r="D127" s="151"/>
      <c r="E127" s="100">
        <v>2400</v>
      </c>
      <c r="F127" s="97">
        <f>D127*E127</f>
        <v>0</v>
      </c>
      <c r="G127" s="161"/>
      <c r="H127" s="101" t="s">
        <v>985</v>
      </c>
      <c r="I127" s="98" t="str">
        <f>VLOOKUP(H127,Presupuesto!$B$11:$C$565,2,0)</f>
        <v>MUEBLES VARIOS DE OFICINA</v>
      </c>
      <c r="J127" s="98" t="str">
        <f>$J$126</f>
        <v>Posgrado</v>
      </c>
      <c r="K127" s="98" t="s">
        <v>412</v>
      </c>
    </row>
    <row r="128" spans="3:11">
      <c r="C128" s="99" t="s">
        <v>65</v>
      </c>
      <c r="D128" s="151"/>
      <c r="E128" s="100">
        <v>1000</v>
      </c>
      <c r="F128" s="97">
        <f t="shared" ref="F128:F135" si="13">D128*E128</f>
        <v>0</v>
      </c>
      <c r="G128" s="161"/>
      <c r="H128" s="101" t="s">
        <v>985</v>
      </c>
      <c r="I128" s="98" t="str">
        <f>VLOOKUP(H128,Presupuesto!$B$11:$C$565,2,0)</f>
        <v>MUEBLES VARIOS DE OFICINA</v>
      </c>
      <c r="J128" s="98" t="str">
        <f t="shared" ref="J128:J135" si="14">$J$126</f>
        <v>Posgrado</v>
      </c>
      <c r="K128" s="98" t="s">
        <v>395</v>
      </c>
    </row>
    <row r="129" spans="3:11">
      <c r="C129" s="99" t="s">
        <v>66</v>
      </c>
      <c r="D129" s="151"/>
      <c r="E129" s="100">
        <v>6000</v>
      </c>
      <c r="F129" s="97">
        <f t="shared" si="13"/>
        <v>0</v>
      </c>
      <c r="G129" s="161"/>
      <c r="H129" s="101" t="s">
        <v>985</v>
      </c>
      <c r="I129" s="98" t="str">
        <f>VLOOKUP(H129,Presupuesto!$B$11:$C$565,2,0)</f>
        <v>MUEBLES VARIOS DE OFICINA</v>
      </c>
      <c r="J129" s="98" t="str">
        <f t="shared" si="14"/>
        <v>Posgrado</v>
      </c>
      <c r="K129" s="98" t="s">
        <v>395</v>
      </c>
    </row>
    <row r="130" spans="3:11">
      <c r="C130" s="99" t="s">
        <v>67</v>
      </c>
      <c r="D130" s="151"/>
      <c r="E130" s="100">
        <v>3000</v>
      </c>
      <c r="F130" s="97">
        <f t="shared" si="13"/>
        <v>0</v>
      </c>
      <c r="G130" s="161"/>
      <c r="H130" s="101" t="s">
        <v>985</v>
      </c>
      <c r="I130" s="98" t="str">
        <f>VLOOKUP(H130,Presupuesto!$B$11:$C$565,2,0)</f>
        <v>MUEBLES VARIOS DE OFICINA</v>
      </c>
      <c r="J130" s="98" t="str">
        <f t="shared" si="14"/>
        <v>Posgrado</v>
      </c>
      <c r="K130" s="98" t="s">
        <v>395</v>
      </c>
    </row>
    <row r="131" spans="3:11">
      <c r="C131" s="99" t="s">
        <v>68</v>
      </c>
      <c r="D131" s="151"/>
      <c r="E131" s="100">
        <v>10000</v>
      </c>
      <c r="F131" s="97">
        <f t="shared" si="13"/>
        <v>0</v>
      </c>
      <c r="G131" s="161"/>
      <c r="H131" s="101" t="s">
        <v>985</v>
      </c>
      <c r="I131" s="98" t="str">
        <f>VLOOKUP(H131,Presupuesto!$B$11:$C$565,2,0)</f>
        <v>MUEBLES VARIOS DE OFICINA</v>
      </c>
      <c r="J131" s="98" t="str">
        <f t="shared" si="14"/>
        <v>Posgrado</v>
      </c>
      <c r="K131" s="98" t="s">
        <v>395</v>
      </c>
    </row>
    <row r="132" spans="3:11">
      <c r="C132" s="99" t="s">
        <v>69</v>
      </c>
      <c r="D132" s="151"/>
      <c r="E132" s="100">
        <v>8000</v>
      </c>
      <c r="F132" s="97">
        <f t="shared" si="13"/>
        <v>0</v>
      </c>
      <c r="G132" s="161"/>
      <c r="H132" s="101" t="s">
        <v>988</v>
      </c>
      <c r="I132" s="98" t="str">
        <f>VLOOKUP(H132,Presupuesto!$B$11:$C$565,2,0)</f>
        <v>EQUIPOS VARIOS DE OFICINA</v>
      </c>
      <c r="J132" s="98" t="str">
        <f t="shared" si="14"/>
        <v>Posgrado</v>
      </c>
      <c r="K132" s="98" t="s">
        <v>395</v>
      </c>
    </row>
    <row r="133" spans="3:11">
      <c r="C133" s="99" t="s">
        <v>70</v>
      </c>
      <c r="D133" s="151"/>
      <c r="E133" s="100">
        <v>2000</v>
      </c>
      <c r="F133" s="97">
        <f t="shared" si="13"/>
        <v>0</v>
      </c>
      <c r="G133" s="161"/>
      <c r="H133" s="101" t="s">
        <v>988</v>
      </c>
      <c r="I133" s="98" t="str">
        <f>VLOOKUP(H133,Presupuesto!$B$11:$C$565,2,0)</f>
        <v>EQUIPOS VARIOS DE OFICINA</v>
      </c>
      <c r="J133" s="98" t="str">
        <f t="shared" si="14"/>
        <v>Posgrado</v>
      </c>
      <c r="K133" s="98" t="s">
        <v>403</v>
      </c>
    </row>
    <row r="134" spans="3:11">
      <c r="C134" s="99" t="s">
        <v>71</v>
      </c>
      <c r="D134" s="151"/>
      <c r="E134" s="100">
        <v>5000</v>
      </c>
      <c r="F134" s="97">
        <f t="shared" si="13"/>
        <v>0</v>
      </c>
      <c r="G134" s="161"/>
      <c r="H134" s="101" t="s">
        <v>988</v>
      </c>
      <c r="I134" s="98" t="str">
        <f>VLOOKUP(H134,Presupuesto!$B$11:$C$565,2,0)</f>
        <v>EQUIPOS VARIOS DE OFICINA</v>
      </c>
      <c r="J134" s="98" t="str">
        <f t="shared" si="14"/>
        <v>Posgrado</v>
      </c>
      <c r="K134" s="98" t="s">
        <v>399</v>
      </c>
    </row>
    <row r="135" spans="3:11" ht="15.75" thickBot="1">
      <c r="C135" s="102" t="s">
        <v>72</v>
      </c>
      <c r="D135" s="159"/>
      <c r="E135" s="104">
        <v>100000</v>
      </c>
      <c r="F135" s="105">
        <f t="shared" si="13"/>
        <v>0</v>
      </c>
      <c r="G135" s="162"/>
      <c r="H135" s="106" t="s">
        <v>988</v>
      </c>
      <c r="I135" s="106" t="str">
        <f>VLOOKUP(H135,Presupuesto!$B$11:$C$565,2,0)</f>
        <v>EQUIPOS VARIOS DE OFICINA</v>
      </c>
      <c r="J135" s="106" t="str">
        <f t="shared" si="14"/>
        <v>Posgrado</v>
      </c>
      <c r="K135" s="124" t="s">
        <v>394</v>
      </c>
    </row>
    <row r="137" spans="3:11" ht="15.75" thickBot="1">
      <c r="C137" s="331"/>
      <c r="D137" s="332"/>
      <c r="E137" s="333"/>
      <c r="F137" s="333"/>
      <c r="G137" s="334"/>
      <c r="H137" s="333"/>
      <c r="I137" s="333"/>
      <c r="J137" s="155"/>
      <c r="K137" s="155"/>
    </row>
    <row r="138" spans="3:11" ht="15.75" thickBot="1">
      <c r="C138" s="29" t="s">
        <v>43</v>
      </c>
      <c r="D138" s="30">
        <f>SUM(F145:F154)</f>
        <v>0</v>
      </c>
      <c r="E138" s="177"/>
      <c r="F138" s="177"/>
      <c r="G138" s="79"/>
      <c r="H138" s="177"/>
      <c r="I138" s="177"/>
    </row>
    <row r="139" spans="3:11">
      <c r="C139" s="70"/>
      <c r="D139" s="31"/>
      <c r="E139" s="93"/>
      <c r="F139" s="93"/>
      <c r="G139" s="93"/>
      <c r="H139" s="76"/>
      <c r="I139" s="76"/>
      <c r="J139" s="76"/>
      <c r="K139" s="112"/>
    </row>
    <row r="140" spans="3:11">
      <c r="C140" s="70"/>
      <c r="D140" s="31"/>
      <c r="E140" s="93"/>
      <c r="F140" s="93"/>
      <c r="G140" s="93"/>
      <c r="H140" s="76"/>
      <c r="I140" s="76"/>
      <c r="J140" s="76"/>
      <c r="K140" s="112"/>
    </row>
    <row r="141" spans="3:11" ht="15.75">
      <c r="C141" s="202" t="s">
        <v>392</v>
      </c>
      <c r="D141" s="361"/>
      <c r="E141" s="93"/>
      <c r="F141" s="93"/>
      <c r="G141" s="93"/>
      <c r="H141" s="76"/>
      <c r="I141" s="76"/>
      <c r="J141" s="76"/>
      <c r="K141" s="112"/>
    </row>
    <row r="142" spans="3:11" ht="18.75">
      <c r="C142" s="210" t="e">
        <f>IFERROR(VLOOKUP(D141,'1. Desarrollo e Innov. Curricu.'!$E:$F,2,FALSE),IFERROR(VLOOKUP(D141,'2. Investigación Científica'!$E:$F,2,FALSE),IFERROR(VLOOKUP(D141,'3. Vinculación Univ. Sociedad'!$E:$F,2,FALSE),IFERROR(VLOOKUP(D141,'4. Docencia y Profesorado Univ.'!$E:$F,2,FALSE),IFERROR(VLOOKUP(D141,'5. Estudiantes y Graduados'!$E:$F,2,FALSE),IFERROR(VLOOKUP(D141,'11. Gestion Administrativa'!$E:$F,2,FALSE),IFERROR(VLOOKUP(D141,'13. Gestión Académica'!$E:$F,2,FALSE),IFERROR(VLOOKUP(D141,'8. Asegura. de la Calid. y M'!$E:$F,2,FALSE),IFERROR(VLOOKUP(D141,'6. Gestión del Conocimiento'!$E:$F,2,FALSE),IFERROR(VLOOKUP(D141,'15. Gobernabilidad y Proceso...'!$E:$F,2,FALSE),IFERROR(VLOOKUP(D141,'12. Gestión del Talento Humano'!$E:$F,2,FALSE),IFERROR(VLOOKUP(D141,'14. Internacional... de la E.S.'!$E:$F,2,FALSE),IFERROR(VLOOKUP(D141,'10. Posgrado'!$E:$F,2,FALSE),IFERROR(VLOOKUP(D141,'17. Gestión TIC'!$E:$F,2,FALSE),IFERROR(VLOOKUP(D141,'16. Desa. del Sistema Educ.Sup.'!$E:$F,2,FALSE),IFERROR(VLOOKUP(D141,'9. Cultura de Inno. Insti...'!$E:$F,2,FALSE),VLOOKUP(D141,'7. Lo Esencial de la Reforma U.'!$E:$F,2,0)))))))))))))))))</f>
        <v>#N/A</v>
      </c>
      <c r="D142" s="31"/>
      <c r="E142" s="93"/>
      <c r="F142" s="93"/>
      <c r="G142" s="93"/>
      <c r="H142" s="76"/>
      <c r="I142" s="76"/>
      <c r="J142" s="76"/>
      <c r="K142" s="112"/>
    </row>
    <row r="143" spans="3:11" ht="15.75" thickBot="1">
      <c r="C143" s="70"/>
      <c r="D143" s="31"/>
      <c r="E143" s="93"/>
      <c r="F143" s="93"/>
      <c r="G143" s="93"/>
      <c r="H143" s="76"/>
      <c r="I143" s="76"/>
      <c r="J143" s="76"/>
      <c r="K143" s="112"/>
    </row>
    <row r="144" spans="3:11" ht="30.75" thickBot="1">
      <c r="C144" s="126" t="s">
        <v>44</v>
      </c>
      <c r="D144" s="128" t="s">
        <v>55</v>
      </c>
      <c r="E144" s="128" t="s">
        <v>57</v>
      </c>
      <c r="F144" s="127" t="s">
        <v>27</v>
      </c>
      <c r="G144" s="133" t="s">
        <v>131</v>
      </c>
      <c r="H144" s="128" t="s">
        <v>46</v>
      </c>
      <c r="I144" s="128" t="s">
        <v>132</v>
      </c>
      <c r="J144" s="128" t="s">
        <v>410</v>
      </c>
      <c r="K144" s="128" t="s">
        <v>411</v>
      </c>
    </row>
    <row r="145" spans="3:11">
      <c r="C145" s="95" t="s">
        <v>63</v>
      </c>
      <c r="D145" s="158"/>
      <c r="E145" s="96">
        <v>2800</v>
      </c>
      <c r="F145" s="97">
        <f>D145*E145</f>
        <v>0</v>
      </c>
      <c r="G145" s="161"/>
      <c r="H145" s="98" t="s">
        <v>985</v>
      </c>
      <c r="I145" s="98" t="str">
        <f>VLOOKUP(H145,Presupuesto!$B$11:$C$565,2,0)</f>
        <v>MUEBLES VARIOS DE OFICINA</v>
      </c>
      <c r="J145" s="218" t="s">
        <v>1441</v>
      </c>
      <c r="K145" s="98" t="s">
        <v>404</v>
      </c>
    </row>
    <row r="146" spans="3:11">
      <c r="C146" s="99" t="s">
        <v>64</v>
      </c>
      <c r="D146" s="151"/>
      <c r="E146" s="100">
        <v>2400</v>
      </c>
      <c r="F146" s="97">
        <f>D146*E146</f>
        <v>0</v>
      </c>
      <c r="G146" s="161"/>
      <c r="H146" s="101" t="s">
        <v>985</v>
      </c>
      <c r="I146" s="98" t="str">
        <f>VLOOKUP(H146,Presupuesto!$B$11:$C$565,2,0)</f>
        <v>MUEBLES VARIOS DE OFICINA</v>
      </c>
      <c r="J146" s="98" t="str">
        <f>$J$145</f>
        <v>Posgrado</v>
      </c>
      <c r="K146" s="98" t="s">
        <v>412</v>
      </c>
    </row>
    <row r="147" spans="3:11">
      <c r="C147" s="99" t="s">
        <v>65</v>
      </c>
      <c r="D147" s="151"/>
      <c r="E147" s="100">
        <v>1000</v>
      </c>
      <c r="F147" s="97">
        <f t="shared" ref="F147:F154" si="15">D147*E147</f>
        <v>0</v>
      </c>
      <c r="G147" s="161"/>
      <c r="H147" s="101" t="s">
        <v>985</v>
      </c>
      <c r="I147" s="98" t="str">
        <f>VLOOKUP(H147,Presupuesto!$B$11:$C$565,2,0)</f>
        <v>MUEBLES VARIOS DE OFICINA</v>
      </c>
      <c r="J147" s="98" t="str">
        <f t="shared" ref="J147:J154" si="16">$J$145</f>
        <v>Posgrado</v>
      </c>
      <c r="K147" s="98" t="s">
        <v>395</v>
      </c>
    </row>
    <row r="148" spans="3:11">
      <c r="C148" s="99" t="s">
        <v>66</v>
      </c>
      <c r="D148" s="151"/>
      <c r="E148" s="100">
        <v>6000</v>
      </c>
      <c r="F148" s="97">
        <f t="shared" si="15"/>
        <v>0</v>
      </c>
      <c r="G148" s="161"/>
      <c r="H148" s="101" t="s">
        <v>985</v>
      </c>
      <c r="I148" s="98" t="str">
        <f>VLOOKUP(H148,Presupuesto!$B$11:$C$565,2,0)</f>
        <v>MUEBLES VARIOS DE OFICINA</v>
      </c>
      <c r="J148" s="98" t="str">
        <f t="shared" si="16"/>
        <v>Posgrado</v>
      </c>
      <c r="K148" s="98" t="s">
        <v>395</v>
      </c>
    </row>
    <row r="149" spans="3:11">
      <c r="C149" s="99" t="s">
        <v>67</v>
      </c>
      <c r="D149" s="151"/>
      <c r="E149" s="100">
        <v>3000</v>
      </c>
      <c r="F149" s="97">
        <f t="shared" si="15"/>
        <v>0</v>
      </c>
      <c r="G149" s="161"/>
      <c r="H149" s="101" t="s">
        <v>985</v>
      </c>
      <c r="I149" s="98" t="str">
        <f>VLOOKUP(H149,Presupuesto!$B$11:$C$565,2,0)</f>
        <v>MUEBLES VARIOS DE OFICINA</v>
      </c>
      <c r="J149" s="98" t="str">
        <f t="shared" si="16"/>
        <v>Posgrado</v>
      </c>
      <c r="K149" s="98" t="s">
        <v>395</v>
      </c>
    </row>
    <row r="150" spans="3:11">
      <c r="C150" s="99" t="s">
        <v>68</v>
      </c>
      <c r="D150" s="151"/>
      <c r="E150" s="100">
        <v>10000</v>
      </c>
      <c r="F150" s="97">
        <f t="shared" si="15"/>
        <v>0</v>
      </c>
      <c r="G150" s="161"/>
      <c r="H150" s="101" t="s">
        <v>985</v>
      </c>
      <c r="I150" s="98" t="str">
        <f>VLOOKUP(H150,Presupuesto!$B$11:$C$565,2,0)</f>
        <v>MUEBLES VARIOS DE OFICINA</v>
      </c>
      <c r="J150" s="98" t="str">
        <f t="shared" si="16"/>
        <v>Posgrado</v>
      </c>
      <c r="K150" s="98" t="s">
        <v>395</v>
      </c>
    </row>
    <row r="151" spans="3:11">
      <c r="C151" s="99" t="s">
        <v>69</v>
      </c>
      <c r="D151" s="151"/>
      <c r="E151" s="100">
        <v>8000</v>
      </c>
      <c r="F151" s="97">
        <f t="shared" si="15"/>
        <v>0</v>
      </c>
      <c r="G151" s="161"/>
      <c r="H151" s="101" t="s">
        <v>988</v>
      </c>
      <c r="I151" s="98" t="str">
        <f>VLOOKUP(H151,Presupuesto!$B$11:$C$565,2,0)</f>
        <v>EQUIPOS VARIOS DE OFICINA</v>
      </c>
      <c r="J151" s="98" t="str">
        <f t="shared" si="16"/>
        <v>Posgrado</v>
      </c>
      <c r="K151" s="98" t="s">
        <v>395</v>
      </c>
    </row>
    <row r="152" spans="3:11">
      <c r="C152" s="99" t="s">
        <v>70</v>
      </c>
      <c r="D152" s="151"/>
      <c r="E152" s="100">
        <v>2000</v>
      </c>
      <c r="F152" s="97">
        <f t="shared" si="15"/>
        <v>0</v>
      </c>
      <c r="G152" s="161"/>
      <c r="H152" s="101" t="s">
        <v>988</v>
      </c>
      <c r="I152" s="98" t="str">
        <f>VLOOKUP(H152,Presupuesto!$B$11:$C$565,2,0)</f>
        <v>EQUIPOS VARIOS DE OFICINA</v>
      </c>
      <c r="J152" s="98" t="str">
        <f t="shared" si="16"/>
        <v>Posgrado</v>
      </c>
      <c r="K152" s="98" t="s">
        <v>403</v>
      </c>
    </row>
    <row r="153" spans="3:11">
      <c r="C153" s="99" t="s">
        <v>71</v>
      </c>
      <c r="D153" s="151"/>
      <c r="E153" s="100">
        <v>5000</v>
      </c>
      <c r="F153" s="97">
        <f t="shared" si="15"/>
        <v>0</v>
      </c>
      <c r="G153" s="161"/>
      <c r="H153" s="101" t="s">
        <v>988</v>
      </c>
      <c r="I153" s="98" t="str">
        <f>VLOOKUP(H153,Presupuesto!$B$11:$C$565,2,0)</f>
        <v>EQUIPOS VARIOS DE OFICINA</v>
      </c>
      <c r="J153" s="98" t="str">
        <f t="shared" si="16"/>
        <v>Posgrado</v>
      </c>
      <c r="K153" s="98" t="s">
        <v>399</v>
      </c>
    </row>
    <row r="154" spans="3:11" ht="15.75" thickBot="1">
      <c r="C154" s="102" t="s">
        <v>72</v>
      </c>
      <c r="D154" s="159"/>
      <c r="E154" s="104">
        <v>100000</v>
      </c>
      <c r="F154" s="105">
        <f t="shared" si="15"/>
        <v>0</v>
      </c>
      <c r="G154" s="162"/>
      <c r="H154" s="106" t="s">
        <v>988</v>
      </c>
      <c r="I154" s="106" t="str">
        <f>VLOOKUP(H154,Presupuesto!$B$11:$C$565,2,0)</f>
        <v>EQUIPOS VARIOS DE OFICINA</v>
      </c>
      <c r="J154" s="106" t="str">
        <f t="shared" si="16"/>
        <v>Posgrado</v>
      </c>
      <c r="K154" s="124" t="s">
        <v>394</v>
      </c>
    </row>
    <row r="156" spans="3:11" ht="15.75" thickBot="1"/>
    <row r="157" spans="3:11" ht="15.75" thickBot="1">
      <c r="C157" s="29" t="s">
        <v>43</v>
      </c>
      <c r="D157" s="30">
        <f>SUM(F164:F173)</f>
        <v>0</v>
      </c>
      <c r="E157" s="177"/>
      <c r="F157" s="177"/>
      <c r="G157" s="79"/>
      <c r="H157" s="177"/>
      <c r="I157" s="177"/>
    </row>
    <row r="158" spans="3:11">
      <c r="C158" s="70"/>
      <c r="D158" s="31"/>
      <c r="E158" s="93"/>
      <c r="F158" s="93"/>
      <c r="G158" s="93"/>
      <c r="H158" s="76"/>
      <c r="I158" s="76"/>
      <c r="J158" s="76"/>
      <c r="K158" s="112"/>
    </row>
    <row r="159" spans="3:11">
      <c r="C159" s="70"/>
      <c r="D159" s="31"/>
      <c r="E159" s="93"/>
      <c r="F159" s="93"/>
      <c r="G159" s="93"/>
      <c r="H159" s="76"/>
      <c r="I159" s="76"/>
      <c r="J159" s="76"/>
      <c r="K159" s="112"/>
    </row>
    <row r="160" spans="3:11" ht="15.75">
      <c r="C160" s="202" t="s">
        <v>392</v>
      </c>
      <c r="D160" s="361"/>
      <c r="E160" s="93"/>
      <c r="F160" s="93"/>
      <c r="G160" s="93"/>
      <c r="H160" s="76"/>
      <c r="I160" s="76"/>
      <c r="J160" s="76"/>
      <c r="K160" s="112"/>
    </row>
    <row r="161" spans="3:11" ht="18.75">
      <c r="C161" s="210" t="e">
        <f>IFERROR(VLOOKUP(D160,'1. Desarrollo e Innov. Curricu.'!$E:$F,2,FALSE),IFERROR(VLOOKUP(D160,'2. Investigación Científica'!$E:$F,2,FALSE),IFERROR(VLOOKUP(D160,'3. Vinculación Univ. Sociedad'!$E:$F,2,FALSE),IFERROR(VLOOKUP(D160,'4. Docencia y Profesorado Univ.'!$E:$F,2,FALSE),IFERROR(VLOOKUP(D160,'5. Estudiantes y Graduados'!$E:$F,2,FALSE),IFERROR(VLOOKUP(D160,'11. Gestion Administrativa'!$E:$F,2,FALSE),IFERROR(VLOOKUP(D160,'13. Gestión Académica'!$E:$F,2,FALSE),IFERROR(VLOOKUP(D160,'8. Asegura. de la Calid. y M'!$E:$F,2,FALSE),IFERROR(VLOOKUP(D160,'6. Gestión del Conocimiento'!$E:$F,2,FALSE),IFERROR(VLOOKUP(D160,'15. Gobernabilidad y Proceso...'!$E:$F,2,FALSE),IFERROR(VLOOKUP(D160,'12. Gestión del Talento Humano'!$E:$F,2,FALSE),IFERROR(VLOOKUP(D160,'14. Internacional... de la E.S.'!$E:$F,2,FALSE),IFERROR(VLOOKUP(D160,'10. Posgrado'!$E:$F,2,FALSE),IFERROR(VLOOKUP(D160,'17. Gestión TIC'!$E:$F,2,FALSE),IFERROR(VLOOKUP(D160,'16. Desa. del Sistema Educ.Sup.'!$E:$F,2,FALSE),IFERROR(VLOOKUP(D160,'9. Cultura de Inno. Insti...'!$E:$F,2,FALSE),VLOOKUP(D160,'7. Lo Esencial de la Reforma U.'!$E:$F,2,0)))))))))))))))))</f>
        <v>#N/A</v>
      </c>
      <c r="D161" s="31"/>
      <c r="E161" s="93"/>
      <c r="F161" s="93"/>
      <c r="G161" s="93"/>
      <c r="H161" s="76"/>
      <c r="I161" s="76"/>
      <c r="J161" s="76"/>
      <c r="K161" s="112"/>
    </row>
    <row r="162" spans="3:11" ht="15.75" thickBot="1">
      <c r="C162" s="70"/>
      <c r="D162" s="31"/>
      <c r="E162" s="93"/>
      <c r="F162" s="93"/>
      <c r="G162" s="93"/>
      <c r="H162" s="76"/>
      <c r="I162" s="76"/>
      <c r="J162" s="76"/>
      <c r="K162" s="112"/>
    </row>
    <row r="163" spans="3:11" ht="30.75" thickBot="1">
      <c r="C163" s="126" t="s">
        <v>44</v>
      </c>
      <c r="D163" s="128" t="s">
        <v>55</v>
      </c>
      <c r="E163" s="128" t="s">
        <v>57</v>
      </c>
      <c r="F163" s="127" t="s">
        <v>27</v>
      </c>
      <c r="G163" s="133" t="s">
        <v>131</v>
      </c>
      <c r="H163" s="128" t="s">
        <v>46</v>
      </c>
      <c r="I163" s="128" t="s">
        <v>132</v>
      </c>
      <c r="J163" s="128" t="s">
        <v>410</v>
      </c>
      <c r="K163" s="128" t="s">
        <v>411</v>
      </c>
    </row>
    <row r="164" spans="3:11">
      <c r="C164" s="95" t="s">
        <v>63</v>
      </c>
      <c r="D164" s="158"/>
      <c r="E164" s="96">
        <v>2800</v>
      </c>
      <c r="F164" s="97">
        <f>D164*E164</f>
        <v>0</v>
      </c>
      <c r="G164" s="161"/>
      <c r="H164" s="98" t="s">
        <v>985</v>
      </c>
      <c r="I164" s="98" t="str">
        <f>VLOOKUP(H164,Presupuesto!$B$11:$C$565,2,0)</f>
        <v>MUEBLES VARIOS DE OFICINA</v>
      </c>
      <c r="J164" s="218" t="s">
        <v>1441</v>
      </c>
      <c r="K164" s="98" t="s">
        <v>404</v>
      </c>
    </row>
    <row r="165" spans="3:11">
      <c r="C165" s="99" t="s">
        <v>64</v>
      </c>
      <c r="D165" s="151"/>
      <c r="E165" s="100">
        <v>2400</v>
      </c>
      <c r="F165" s="97">
        <f>D165*E165</f>
        <v>0</v>
      </c>
      <c r="G165" s="161"/>
      <c r="H165" s="101" t="s">
        <v>985</v>
      </c>
      <c r="I165" s="98" t="str">
        <f>VLOOKUP(H165,Presupuesto!$B$11:$C$565,2,0)</f>
        <v>MUEBLES VARIOS DE OFICINA</v>
      </c>
      <c r="J165" s="98" t="str">
        <f>$J$164</f>
        <v>Posgrado</v>
      </c>
      <c r="K165" s="98" t="s">
        <v>412</v>
      </c>
    </row>
    <row r="166" spans="3:11">
      <c r="C166" s="99" t="s">
        <v>65</v>
      </c>
      <c r="D166" s="151"/>
      <c r="E166" s="100">
        <v>1000</v>
      </c>
      <c r="F166" s="97">
        <f t="shared" ref="F166:F173" si="17">D166*E166</f>
        <v>0</v>
      </c>
      <c r="G166" s="161"/>
      <c r="H166" s="101" t="s">
        <v>985</v>
      </c>
      <c r="I166" s="98" t="str">
        <f>VLOOKUP(H166,Presupuesto!$B$11:$C$565,2,0)</f>
        <v>MUEBLES VARIOS DE OFICINA</v>
      </c>
      <c r="J166" s="98" t="str">
        <f t="shared" ref="J166:J173" si="18">$J$164</f>
        <v>Posgrado</v>
      </c>
      <c r="K166" s="98" t="s">
        <v>395</v>
      </c>
    </row>
    <row r="167" spans="3:11">
      <c r="C167" s="99" t="s">
        <v>66</v>
      </c>
      <c r="D167" s="151"/>
      <c r="E167" s="100">
        <v>6000</v>
      </c>
      <c r="F167" s="97">
        <f t="shared" si="17"/>
        <v>0</v>
      </c>
      <c r="G167" s="161"/>
      <c r="H167" s="101" t="s">
        <v>985</v>
      </c>
      <c r="I167" s="98" t="str">
        <f>VLOOKUP(H167,Presupuesto!$B$11:$C$565,2,0)</f>
        <v>MUEBLES VARIOS DE OFICINA</v>
      </c>
      <c r="J167" s="98" t="str">
        <f t="shared" si="18"/>
        <v>Posgrado</v>
      </c>
      <c r="K167" s="98" t="s">
        <v>395</v>
      </c>
    </row>
    <row r="168" spans="3:11">
      <c r="C168" s="99" t="s">
        <v>67</v>
      </c>
      <c r="D168" s="151"/>
      <c r="E168" s="100">
        <v>3000</v>
      </c>
      <c r="F168" s="97">
        <f t="shared" si="17"/>
        <v>0</v>
      </c>
      <c r="G168" s="161"/>
      <c r="H168" s="101" t="s">
        <v>985</v>
      </c>
      <c r="I168" s="98" t="str">
        <f>VLOOKUP(H168,Presupuesto!$B$11:$C$565,2,0)</f>
        <v>MUEBLES VARIOS DE OFICINA</v>
      </c>
      <c r="J168" s="98" t="str">
        <f t="shared" si="18"/>
        <v>Posgrado</v>
      </c>
      <c r="K168" s="98" t="s">
        <v>395</v>
      </c>
    </row>
    <row r="169" spans="3:11">
      <c r="C169" s="99" t="s">
        <v>68</v>
      </c>
      <c r="D169" s="151"/>
      <c r="E169" s="100">
        <v>10000</v>
      </c>
      <c r="F169" s="97">
        <f t="shared" si="17"/>
        <v>0</v>
      </c>
      <c r="G169" s="161"/>
      <c r="H169" s="101" t="s">
        <v>985</v>
      </c>
      <c r="I169" s="98" t="str">
        <f>VLOOKUP(H169,Presupuesto!$B$11:$C$565,2,0)</f>
        <v>MUEBLES VARIOS DE OFICINA</v>
      </c>
      <c r="J169" s="98" t="str">
        <f t="shared" si="18"/>
        <v>Posgrado</v>
      </c>
      <c r="K169" s="98" t="s">
        <v>395</v>
      </c>
    </row>
    <row r="170" spans="3:11">
      <c r="C170" s="99" t="s">
        <v>69</v>
      </c>
      <c r="D170" s="151"/>
      <c r="E170" s="100">
        <v>8000</v>
      </c>
      <c r="F170" s="97">
        <f t="shared" si="17"/>
        <v>0</v>
      </c>
      <c r="G170" s="161"/>
      <c r="H170" s="101" t="s">
        <v>988</v>
      </c>
      <c r="I170" s="98" t="str">
        <f>VLOOKUP(H170,Presupuesto!$B$11:$C$565,2,0)</f>
        <v>EQUIPOS VARIOS DE OFICINA</v>
      </c>
      <c r="J170" s="98" t="str">
        <f t="shared" si="18"/>
        <v>Posgrado</v>
      </c>
      <c r="K170" s="98" t="s">
        <v>395</v>
      </c>
    </row>
    <row r="171" spans="3:11">
      <c r="C171" s="99" t="s">
        <v>70</v>
      </c>
      <c r="D171" s="151"/>
      <c r="E171" s="100">
        <v>2000</v>
      </c>
      <c r="F171" s="97">
        <f t="shared" si="17"/>
        <v>0</v>
      </c>
      <c r="G171" s="161"/>
      <c r="H171" s="101" t="s">
        <v>988</v>
      </c>
      <c r="I171" s="98" t="str">
        <f>VLOOKUP(H171,Presupuesto!$B$11:$C$565,2,0)</f>
        <v>EQUIPOS VARIOS DE OFICINA</v>
      </c>
      <c r="J171" s="98" t="str">
        <f t="shared" si="18"/>
        <v>Posgrado</v>
      </c>
      <c r="K171" s="98" t="s">
        <v>403</v>
      </c>
    </row>
    <row r="172" spans="3:11">
      <c r="C172" s="99" t="s">
        <v>71</v>
      </c>
      <c r="D172" s="151"/>
      <c r="E172" s="100">
        <v>5000</v>
      </c>
      <c r="F172" s="97">
        <f t="shared" si="17"/>
        <v>0</v>
      </c>
      <c r="G172" s="161"/>
      <c r="H172" s="101" t="s">
        <v>988</v>
      </c>
      <c r="I172" s="98" t="str">
        <f>VLOOKUP(H172,Presupuesto!$B$11:$C$565,2,0)</f>
        <v>EQUIPOS VARIOS DE OFICINA</v>
      </c>
      <c r="J172" s="98" t="str">
        <f t="shared" si="18"/>
        <v>Posgrado</v>
      </c>
      <c r="K172" s="98" t="s">
        <v>399</v>
      </c>
    </row>
    <row r="173" spans="3:11" ht="15.75" thickBot="1">
      <c r="C173" s="102" t="s">
        <v>72</v>
      </c>
      <c r="D173" s="159"/>
      <c r="E173" s="104">
        <v>100000</v>
      </c>
      <c r="F173" s="105">
        <f t="shared" si="17"/>
        <v>0</v>
      </c>
      <c r="G173" s="162"/>
      <c r="H173" s="106" t="s">
        <v>988</v>
      </c>
      <c r="I173" s="106" t="str">
        <f>VLOOKUP(H173,Presupuesto!$B$11:$C$565,2,0)</f>
        <v>EQUIPOS VARIOS DE OFICINA</v>
      </c>
      <c r="J173" s="106" t="str">
        <f t="shared" si="18"/>
        <v>Posgrado</v>
      </c>
      <c r="K173" s="124" t="s">
        <v>394</v>
      </c>
    </row>
    <row r="175" spans="3:11" ht="15.75" thickBot="1">
      <c r="C175" s="331"/>
      <c r="D175" s="332"/>
      <c r="E175" s="333"/>
      <c r="F175" s="333"/>
      <c r="G175" s="334"/>
      <c r="H175" s="333"/>
      <c r="I175" s="333"/>
      <c r="J175" s="155"/>
      <c r="K175" s="155"/>
    </row>
    <row r="176" spans="3:11" ht="15.75" thickBot="1">
      <c r="C176" s="29" t="s">
        <v>43</v>
      </c>
      <c r="D176" s="30">
        <f>SUM(F183:F192)</f>
        <v>0</v>
      </c>
      <c r="E176" s="177"/>
      <c r="F176" s="177"/>
      <c r="G176" s="79"/>
      <c r="H176" s="177"/>
      <c r="I176" s="177"/>
    </row>
    <row r="177" spans="3:11">
      <c r="C177" s="70"/>
      <c r="D177" s="31"/>
      <c r="E177" s="93"/>
      <c r="F177" s="93"/>
      <c r="G177" s="93"/>
      <c r="H177" s="76"/>
      <c r="I177" s="76"/>
      <c r="J177" s="76"/>
      <c r="K177" s="112"/>
    </row>
    <row r="178" spans="3:11">
      <c r="C178" s="70"/>
      <c r="D178" s="31"/>
      <c r="E178" s="93"/>
      <c r="F178" s="93"/>
      <c r="G178" s="93"/>
      <c r="H178" s="76"/>
      <c r="I178" s="76"/>
      <c r="J178" s="76"/>
      <c r="K178" s="112"/>
    </row>
    <row r="179" spans="3:11" ht="15.75">
      <c r="C179" s="202" t="s">
        <v>392</v>
      </c>
      <c r="D179" s="361"/>
      <c r="E179" s="93"/>
      <c r="F179" s="93"/>
      <c r="G179" s="93"/>
      <c r="H179" s="76"/>
      <c r="I179" s="76"/>
      <c r="J179" s="76"/>
      <c r="K179" s="112"/>
    </row>
    <row r="180" spans="3:11" ht="18.75">
      <c r="C180" s="210" t="e">
        <f>IFERROR(VLOOKUP(D179,'1. Desarrollo e Innov. Curricu.'!$E:$F,2,FALSE),IFERROR(VLOOKUP(D179,'2. Investigación Científica'!$E:$F,2,FALSE),IFERROR(VLOOKUP(D179,'3. Vinculación Univ. Sociedad'!$E:$F,2,FALSE),IFERROR(VLOOKUP(D179,'4. Docencia y Profesorado Univ.'!$E:$F,2,FALSE),IFERROR(VLOOKUP(D179,'5. Estudiantes y Graduados'!$E:$F,2,FALSE),IFERROR(VLOOKUP(D179,'11. Gestion Administrativa'!$E:$F,2,FALSE),IFERROR(VLOOKUP(D179,'13. Gestión Académica'!$E:$F,2,FALSE),IFERROR(VLOOKUP(D179,'8. Asegura. de la Calid. y M'!$E:$F,2,FALSE),IFERROR(VLOOKUP(D179,'6. Gestión del Conocimiento'!$E:$F,2,FALSE),IFERROR(VLOOKUP(D179,'15. Gobernabilidad y Proceso...'!$E:$F,2,FALSE),IFERROR(VLOOKUP(D179,'12. Gestión del Talento Humano'!$E:$F,2,FALSE),IFERROR(VLOOKUP(D179,'14. Internacional... de la E.S.'!$E:$F,2,FALSE),IFERROR(VLOOKUP(D179,'10. Posgrado'!$E:$F,2,FALSE),IFERROR(VLOOKUP(D179,'17. Gestión TIC'!$E:$F,2,FALSE),IFERROR(VLOOKUP(D179,'16. Desa. del Sistema Educ.Sup.'!$E:$F,2,FALSE),IFERROR(VLOOKUP(D179,'9. Cultura de Inno. Insti...'!$E:$F,2,FALSE),VLOOKUP(D179,'7. Lo Esencial de la Reforma U.'!$E:$F,2,0)))))))))))))))))</f>
        <v>#N/A</v>
      </c>
      <c r="D180" s="31"/>
      <c r="E180" s="93"/>
      <c r="F180" s="93"/>
      <c r="G180" s="93"/>
      <c r="H180" s="76"/>
      <c r="I180" s="76"/>
      <c r="J180" s="76"/>
      <c r="K180" s="112"/>
    </row>
    <row r="181" spans="3:11" ht="15.75" thickBot="1">
      <c r="C181" s="70"/>
      <c r="D181" s="31"/>
      <c r="E181" s="93"/>
      <c r="F181" s="93"/>
      <c r="G181" s="93"/>
      <c r="H181" s="76"/>
      <c r="I181" s="76"/>
      <c r="J181" s="76"/>
      <c r="K181" s="112"/>
    </row>
    <row r="182" spans="3:11" ht="30.75" thickBot="1">
      <c r="C182" s="126" t="s">
        <v>44</v>
      </c>
      <c r="D182" s="128" t="s">
        <v>55</v>
      </c>
      <c r="E182" s="128" t="s">
        <v>57</v>
      </c>
      <c r="F182" s="127" t="s">
        <v>27</v>
      </c>
      <c r="G182" s="133" t="s">
        <v>131</v>
      </c>
      <c r="H182" s="128" t="s">
        <v>46</v>
      </c>
      <c r="I182" s="128" t="s">
        <v>132</v>
      </c>
      <c r="J182" s="128" t="s">
        <v>410</v>
      </c>
      <c r="K182" s="128" t="s">
        <v>411</v>
      </c>
    </row>
    <row r="183" spans="3:11">
      <c r="C183" s="95" t="s">
        <v>63</v>
      </c>
      <c r="D183" s="158"/>
      <c r="E183" s="96">
        <v>2800</v>
      </c>
      <c r="F183" s="97">
        <f>D183*E183</f>
        <v>0</v>
      </c>
      <c r="G183" s="161"/>
      <c r="H183" s="98" t="s">
        <v>985</v>
      </c>
      <c r="I183" s="98" t="str">
        <f>VLOOKUP(H183,Presupuesto!$B$11:$C$565,2,0)</f>
        <v>MUEBLES VARIOS DE OFICINA</v>
      </c>
      <c r="J183" s="218" t="s">
        <v>1456</v>
      </c>
      <c r="K183" s="98" t="s">
        <v>404</v>
      </c>
    </row>
    <row r="184" spans="3:11">
      <c r="C184" s="99" t="s">
        <v>64</v>
      </c>
      <c r="D184" s="151"/>
      <c r="E184" s="100">
        <v>2400</v>
      </c>
      <c r="F184" s="97">
        <f>D184*E184</f>
        <v>0</v>
      </c>
      <c r="G184" s="161"/>
      <c r="H184" s="101" t="s">
        <v>985</v>
      </c>
      <c r="I184" s="98" t="str">
        <f>VLOOKUP(H184,Presupuesto!$B$11:$C$565,2,0)</f>
        <v>MUEBLES VARIOS DE OFICINA</v>
      </c>
      <c r="J184" s="98" t="str">
        <f>$J$183</f>
        <v>Desarrollo del Sistema de Educación Superior</v>
      </c>
      <c r="K184" s="98" t="s">
        <v>412</v>
      </c>
    </row>
    <row r="185" spans="3:11">
      <c r="C185" s="99" t="s">
        <v>65</v>
      </c>
      <c r="D185" s="151"/>
      <c r="E185" s="100">
        <v>1000</v>
      </c>
      <c r="F185" s="97">
        <f t="shared" ref="F185:F192" si="19">D185*E185</f>
        <v>0</v>
      </c>
      <c r="G185" s="161"/>
      <c r="H185" s="101" t="s">
        <v>985</v>
      </c>
      <c r="I185" s="98" t="str">
        <f>VLOOKUP(H185,Presupuesto!$B$11:$C$565,2,0)</f>
        <v>MUEBLES VARIOS DE OFICINA</v>
      </c>
      <c r="J185" s="98" t="str">
        <f t="shared" ref="J185:J192" si="20">$J$183</f>
        <v>Desarrollo del Sistema de Educación Superior</v>
      </c>
      <c r="K185" s="98" t="s">
        <v>395</v>
      </c>
    </row>
    <row r="186" spans="3:11">
      <c r="C186" s="99" t="s">
        <v>66</v>
      </c>
      <c r="D186" s="151"/>
      <c r="E186" s="100">
        <v>6000</v>
      </c>
      <c r="F186" s="97">
        <f t="shared" si="19"/>
        <v>0</v>
      </c>
      <c r="G186" s="161"/>
      <c r="H186" s="101" t="s">
        <v>985</v>
      </c>
      <c r="I186" s="98" t="str">
        <f>VLOOKUP(H186,Presupuesto!$B$11:$C$565,2,0)</f>
        <v>MUEBLES VARIOS DE OFICINA</v>
      </c>
      <c r="J186" s="98" t="str">
        <f t="shared" si="20"/>
        <v>Desarrollo del Sistema de Educación Superior</v>
      </c>
      <c r="K186" s="98" t="s">
        <v>395</v>
      </c>
    </row>
    <row r="187" spans="3:11">
      <c r="C187" s="99" t="s">
        <v>67</v>
      </c>
      <c r="D187" s="151"/>
      <c r="E187" s="100">
        <v>3000</v>
      </c>
      <c r="F187" s="97">
        <f t="shared" si="19"/>
        <v>0</v>
      </c>
      <c r="G187" s="161"/>
      <c r="H187" s="101" t="s">
        <v>985</v>
      </c>
      <c r="I187" s="98" t="str">
        <f>VLOOKUP(H187,Presupuesto!$B$11:$C$565,2,0)</f>
        <v>MUEBLES VARIOS DE OFICINA</v>
      </c>
      <c r="J187" s="98" t="str">
        <f t="shared" si="20"/>
        <v>Desarrollo del Sistema de Educación Superior</v>
      </c>
      <c r="K187" s="98" t="s">
        <v>395</v>
      </c>
    </row>
    <row r="188" spans="3:11">
      <c r="C188" s="99" t="s">
        <v>68</v>
      </c>
      <c r="D188" s="151"/>
      <c r="E188" s="100">
        <v>10000</v>
      </c>
      <c r="F188" s="97">
        <f t="shared" si="19"/>
        <v>0</v>
      </c>
      <c r="G188" s="161"/>
      <c r="H188" s="101" t="s">
        <v>985</v>
      </c>
      <c r="I188" s="98" t="str">
        <f>VLOOKUP(H188,Presupuesto!$B$11:$C$565,2,0)</f>
        <v>MUEBLES VARIOS DE OFICINA</v>
      </c>
      <c r="J188" s="98" t="str">
        <f t="shared" si="20"/>
        <v>Desarrollo del Sistema de Educación Superior</v>
      </c>
      <c r="K188" s="98" t="s">
        <v>395</v>
      </c>
    </row>
    <row r="189" spans="3:11">
      <c r="C189" s="99" t="s">
        <v>69</v>
      </c>
      <c r="D189" s="151"/>
      <c r="E189" s="100">
        <v>8000</v>
      </c>
      <c r="F189" s="97">
        <f t="shared" si="19"/>
        <v>0</v>
      </c>
      <c r="G189" s="161"/>
      <c r="H189" s="101" t="s">
        <v>988</v>
      </c>
      <c r="I189" s="98" t="str">
        <f>VLOOKUP(H189,Presupuesto!$B$11:$C$565,2,0)</f>
        <v>EQUIPOS VARIOS DE OFICINA</v>
      </c>
      <c r="J189" s="98" t="str">
        <f t="shared" si="20"/>
        <v>Desarrollo del Sistema de Educación Superior</v>
      </c>
      <c r="K189" s="98" t="s">
        <v>395</v>
      </c>
    </row>
    <row r="190" spans="3:11">
      <c r="C190" s="99" t="s">
        <v>70</v>
      </c>
      <c r="D190" s="151"/>
      <c r="E190" s="100">
        <v>2000</v>
      </c>
      <c r="F190" s="97">
        <f t="shared" si="19"/>
        <v>0</v>
      </c>
      <c r="G190" s="161"/>
      <c r="H190" s="101" t="s">
        <v>988</v>
      </c>
      <c r="I190" s="98" t="str">
        <f>VLOOKUP(H190,Presupuesto!$B$11:$C$565,2,0)</f>
        <v>EQUIPOS VARIOS DE OFICINA</v>
      </c>
      <c r="J190" s="98" t="str">
        <f t="shared" si="20"/>
        <v>Desarrollo del Sistema de Educación Superior</v>
      </c>
      <c r="K190" s="98" t="s">
        <v>403</v>
      </c>
    </row>
    <row r="191" spans="3:11">
      <c r="C191" s="99" t="s">
        <v>71</v>
      </c>
      <c r="D191" s="151"/>
      <c r="E191" s="100">
        <v>5000</v>
      </c>
      <c r="F191" s="97">
        <f t="shared" si="19"/>
        <v>0</v>
      </c>
      <c r="G191" s="161"/>
      <c r="H191" s="101" t="s">
        <v>988</v>
      </c>
      <c r="I191" s="98" t="str">
        <f>VLOOKUP(H191,Presupuesto!$B$11:$C$565,2,0)</f>
        <v>EQUIPOS VARIOS DE OFICINA</v>
      </c>
      <c r="J191" s="98" t="str">
        <f t="shared" si="20"/>
        <v>Desarrollo del Sistema de Educación Superior</v>
      </c>
      <c r="K191" s="98" t="s">
        <v>399</v>
      </c>
    </row>
    <row r="192" spans="3:11" ht="15.75" thickBot="1">
      <c r="C192" s="102" t="s">
        <v>72</v>
      </c>
      <c r="D192" s="159"/>
      <c r="E192" s="104">
        <v>100000</v>
      </c>
      <c r="F192" s="105">
        <f t="shared" si="19"/>
        <v>0</v>
      </c>
      <c r="G192" s="162"/>
      <c r="H192" s="106" t="s">
        <v>988</v>
      </c>
      <c r="I192" s="106" t="str">
        <f>VLOOKUP(H192,Presupuesto!$B$11:$C$565,2,0)</f>
        <v>EQUIPOS VARIOS DE OFICINA</v>
      </c>
      <c r="J192" s="106" t="str">
        <f t="shared" si="20"/>
        <v>Desarrollo del Sistema de Educación Superior</v>
      </c>
      <c r="K192" s="124" t="s">
        <v>394</v>
      </c>
    </row>
  </sheetData>
  <autoFilter ref="C12:C192"/>
  <dataValidations count="5">
    <dataValidation type="list" allowBlank="1" showInputMessage="1" showErrorMessage="1" errorTitle="¡Ingreso Invalido!" error="Seleccione una opción de la lista" promptTitle="Tipo de Presupuesto" prompt="Seleccione una opción de la lista" sqref="G107:G116 G126:G135 G145:G154 G164:G173 G183:G192 G17:G21 G31 G41:G44 G54:G57 G67:G69 G79:G81 G91:G97">
      <formula1>$R$2:$S$2</formula1>
    </dataValidation>
    <dataValidation type="list" allowBlank="1" showInputMessage="1" showErrorMessage="1" errorTitle="¡Ingreso Inválido!" error="Seleccione una opción de la lista" promptTitle="Mes Requerido" prompt="Seleccione el mes en el que requiere el recurso." sqref="K107:K116 K126:K135 K145:K154 K164:K173 K183:K192 K17:K21 K31 K41:K44 K54:K57 K67:K69 K79:K81 K91:K97">
      <formula1>$U$2:$AF$2</formula1>
    </dataValidation>
    <dataValidation type="list" allowBlank="1" showInputMessage="1" showErrorMessage="1" errorTitle="¡Ingreso Inválido!" error="Verifique el valor ingresado." promptTitle="Objeto de Gasto" prompt="Ingrese el Objeto de Gasto." sqref="H107:H116 H126:H135 H145:H154 H164:H173 H183:H192 H17:H21 H31 H41:H44 H54:H57 H67:H69 H79:H81 H91:H97">
      <formula1>$A$1:$UI$1</formula1>
    </dataValidation>
    <dataValidation type="list" allowBlank="1" showInputMessage="1" showErrorMessage="1" errorTitle="¡Ingreso Inválido!" error="Seleccione una opción de la lista." promptTitle="Dimensión Estratégica" prompt="Seleccione una opción de la lista." sqref="J108:J116 J127:J135 J146:J154 J165:J173 J184:J192 J18:J21 J31 J42:J44 J55:J57 J67:J69 J79:J81 J91:J97">
      <formula1>$A$2:$P$2</formula1>
    </dataValidation>
    <dataValidation type="list" allowBlank="1" showInputMessage="1" showErrorMessage="1" errorTitle="¡Ingreso Inválido!" error="Seleccione una opción de la lista." promptTitle="Dimensión Estratégica" prompt="Seleccione una opción de la lista." sqref="J17 J41 J54 J107 J126 J145 J164 J183">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192"/>
  <sheetViews>
    <sheetView showGridLines="0" topLeftCell="B4" workbookViewId="0">
      <selection activeCell="E4" sqref="E4"/>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1456</v>
      </c>
      <c r="Q2" s="122" t="s">
        <v>1494</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c r="CB2" s="122" t="s">
        <v>1337</v>
      </c>
      <c r="CC2" s="122" t="s">
        <v>1338</v>
      </c>
      <c r="CD2" s="122" t="s">
        <v>1336</v>
      </c>
      <c r="CE2" s="122" t="s">
        <v>1339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c r="CB3" s="86">
        <v>35000</v>
      </c>
      <c r="CC3" s="86">
        <v>15000</v>
      </c>
      <c r="CD3" s="86">
        <v>35000</v>
      </c>
      <c r="CE3" s="86">
        <v>15000</v>
      </c>
    </row>
    <row r="4" spans="1:555" ht="15.75" thickBot="1"/>
    <row r="5" spans="1:555" ht="53.25" thickBot="1">
      <c r="C5" s="87" t="s">
        <v>383</v>
      </c>
      <c r="D5" s="198">
        <f>SUMIF(C:C,$C$10,D:D)</f>
        <v>395100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SUM(F17:F20)</f>
        <v>62000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t="s">
        <v>1541</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Gestión de equipamiento para el espacio físico de Ciencias Económicas y el aula audiovisual</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2" t="s">
        <v>1339</v>
      </c>
      <c r="D17" s="158">
        <v>1</v>
      </c>
      <c r="E17" s="96">
        <f>HLOOKUP($C17,$CB$2:$CE$3,2,0)</f>
        <v>15000</v>
      </c>
      <c r="F17" s="97">
        <f>D17*E17</f>
        <v>15000</v>
      </c>
      <c r="G17" s="165" t="s">
        <v>1486</v>
      </c>
      <c r="H17" s="98" t="s">
        <v>1014</v>
      </c>
      <c r="I17" s="98" t="str">
        <f>VLOOKUP(H17,Presupuesto!$B$11:$C$565,2,0)</f>
        <v>EQUIPO DE COMPUTACION</v>
      </c>
      <c r="J17" s="218" t="s">
        <v>1364</v>
      </c>
      <c r="K17" s="98" t="s">
        <v>394</v>
      </c>
      <c r="L17" s="98"/>
    </row>
    <row r="18" spans="2:12">
      <c r="B18" s="93"/>
      <c r="C18" s="302" t="s">
        <v>1337</v>
      </c>
      <c r="D18" s="151"/>
      <c r="E18" s="96">
        <f>HLOOKUP($C18,$CB$2:$CE$3,2,0)</f>
        <v>35000</v>
      </c>
      <c r="F18" s="97">
        <f>D18*E18</f>
        <v>0</v>
      </c>
      <c r="G18" s="165"/>
      <c r="H18" s="101" t="s">
        <v>1014</v>
      </c>
      <c r="I18" s="101" t="str">
        <f>VLOOKUP(H18,Presupuesto!$B$11:$C$565,2,0)</f>
        <v>EQUIPO DE COMPUTACION</v>
      </c>
      <c r="J18" s="98" t="str">
        <f t="shared" ref="J18:J20" si="0">$J$17</f>
        <v>Gestión Administrativa y  financiera en apoyo al Desarrollo Académico</v>
      </c>
      <c r="K18" s="98" t="s">
        <v>412</v>
      </c>
      <c r="L18" s="98"/>
    </row>
    <row r="19" spans="2:12">
      <c r="B19" s="93"/>
      <c r="C19" s="99" t="s">
        <v>74</v>
      </c>
      <c r="D19" s="151">
        <v>1</v>
      </c>
      <c r="E19" s="100">
        <v>8000</v>
      </c>
      <c r="F19" s="97">
        <f t="shared" ref="F19:F20" si="1">D19*E19</f>
        <v>8000</v>
      </c>
      <c r="G19" s="165" t="s">
        <v>1486</v>
      </c>
      <c r="H19" s="101" t="s">
        <v>1014</v>
      </c>
      <c r="I19" s="101" t="str">
        <f>VLOOKUP(H19,Presupuesto!$B$11:$C$565,2,0)</f>
        <v>EQUIPO DE COMPUTACION</v>
      </c>
      <c r="J19" s="98" t="str">
        <f t="shared" si="0"/>
        <v>Gestión Administrativa y  financiera en apoyo al Desarrollo Académico</v>
      </c>
      <c r="K19" s="98" t="s">
        <v>395</v>
      </c>
      <c r="L19" s="98"/>
    </row>
    <row r="20" spans="2:12">
      <c r="B20" s="93"/>
      <c r="C20" s="99" t="s">
        <v>35</v>
      </c>
      <c r="D20" s="151">
        <v>3</v>
      </c>
      <c r="E20" s="100">
        <v>13000</v>
      </c>
      <c r="F20" s="97">
        <f t="shared" si="1"/>
        <v>39000</v>
      </c>
      <c r="G20" s="165" t="s">
        <v>1486</v>
      </c>
      <c r="H20" s="101" t="s">
        <v>1000</v>
      </c>
      <c r="I20" s="101" t="str">
        <f>VLOOKUP(H20,Presupuesto!$B$11:$C$565,2,0)</f>
        <v>EQUIPO DE TRANSPORTE TRACCION Y ELEVACION</v>
      </c>
      <c r="J20" s="98" t="str">
        <f t="shared" si="0"/>
        <v>Gestión Administrativa y  financiera en apoyo al Desarrollo Académico</v>
      </c>
      <c r="K20" s="98" t="s">
        <v>395</v>
      </c>
      <c r="L20" s="98"/>
    </row>
    <row r="21" spans="2:12">
      <c r="B21" s="93"/>
      <c r="F21" s="93"/>
      <c r="G21" s="76"/>
      <c r="H21" s="76"/>
      <c r="I21" s="76"/>
    </row>
    <row r="22" spans="2:12" ht="15.75" thickBot="1"/>
    <row r="23" spans="2:12" ht="15.75" thickBot="1">
      <c r="C23" s="29" t="s">
        <v>43</v>
      </c>
      <c r="D23" s="108">
        <f>SUM(F30:F32)</f>
        <v>8000</v>
      </c>
      <c r="F23" s="70"/>
      <c r="G23" s="79"/>
      <c r="H23" s="70"/>
      <c r="I23" s="70"/>
    </row>
    <row r="24" spans="2:12">
      <c r="C24" s="70"/>
      <c r="D24" s="31"/>
      <c r="E24" s="93"/>
      <c r="F24" s="93"/>
      <c r="G24" s="93"/>
      <c r="H24" s="76"/>
      <c r="I24" s="76"/>
      <c r="J24" s="76"/>
      <c r="K24" s="112"/>
    </row>
    <row r="25" spans="2:12">
      <c r="C25" s="70"/>
      <c r="D25" s="31"/>
      <c r="E25" s="93"/>
      <c r="F25" s="93"/>
      <c r="G25" s="93"/>
      <c r="H25" s="76"/>
      <c r="I25" s="76"/>
      <c r="J25" s="76"/>
      <c r="K25" s="112"/>
    </row>
    <row r="26" spans="2:12" ht="15.75">
      <c r="C26" s="202" t="s">
        <v>392</v>
      </c>
      <c r="D26" s="361" t="s">
        <v>1792</v>
      </c>
      <c r="E26" s="93"/>
      <c r="F26" s="93"/>
      <c r="G26" s="93"/>
      <c r="H26" s="76"/>
      <c r="I26" s="76"/>
      <c r="J26" s="76"/>
      <c r="K26" s="112"/>
    </row>
    <row r="27" spans="2:12" ht="18.75">
      <c r="C27" s="210" t="str">
        <f>IFERROR(VLOOKUP(D26,'1. Desarrollo e Innov. Curricu.'!$E:$F,2,FALSE),IFERROR(VLOOKUP(D26,'2. Investigación Científica'!$E:$F,2,FALSE),IFERROR(VLOOKUP(D26,'3. Vinculación Univ. Sociedad'!$E:$F,2,FALSE),IFERROR(VLOOKUP(D26,'4. Docencia y Profesorado Univ.'!$E:$F,2,FALSE),IFERROR(VLOOKUP(D26,'5. Estudiantes y Graduados'!$E:$F,2,FALSE),IFERROR(VLOOKUP(D26,'11. Gestion Administrativa'!$E:$F,2,FALSE),IFERROR(VLOOKUP(D26,'13. Gestión Académica'!$E:$F,2,FALSE),IFERROR(VLOOKUP(D26,'8. Asegura. de la Calid. y M'!$E:$F,2,FALSE),IFERROR(VLOOKUP(D26,'6. Gestión del Conocimiento'!$E:$F,2,FALSE),IFERROR(VLOOKUP(D26,'15. Gobernabilidad y Proceso...'!$E:$F,2,FALSE),IFERROR(VLOOKUP(D26,'12. Gestión del Talento Humano'!$E:$F,2,FALSE),IFERROR(VLOOKUP(D26,'14. Internacional... de la E.S.'!$E:$F,2,FALSE),IFERROR(VLOOKUP(D26,'10. Posgrado'!$E:$F,2,FALSE),IFERROR(VLOOKUP(D26,'16. Desa. del Sistema Educ.Sup.'!$E:$F,2,FALSE),IFERROR(VLOOKUP(D26,'9. Cultura de Inno. Insti...'!$E:$F,2,FALSE),VLOOKUP(D26,'7. Lo Esencial de la Reforma U.'!$E:$F,2,0))))))))))))))))</f>
        <v xml:space="preserve">Gestión para la adquisición  mobiliario para el departamento  de una impresora, archivo, 10 sillas ejecutivas, mesa de reuniones 10 personas, 10 sillas. </v>
      </c>
      <c r="D27" s="31"/>
      <c r="E27" s="93"/>
      <c r="F27" s="93"/>
      <c r="G27" s="93"/>
      <c r="H27" s="76"/>
      <c r="I27" s="76"/>
      <c r="J27" s="76"/>
      <c r="K27" s="112"/>
    </row>
    <row r="28" spans="2:12">
      <c r="F28" s="93"/>
      <c r="G28" s="76"/>
      <c r="H28" s="76"/>
      <c r="I28" s="76"/>
    </row>
    <row r="29" spans="2:12" ht="30.75" thickBot="1">
      <c r="C29" s="149" t="s">
        <v>44</v>
      </c>
      <c r="D29" s="149" t="s">
        <v>55</v>
      </c>
      <c r="E29" s="149" t="s">
        <v>57</v>
      </c>
      <c r="F29" s="150" t="s">
        <v>27</v>
      </c>
      <c r="G29" s="150" t="s">
        <v>131</v>
      </c>
      <c r="H29" s="149" t="s">
        <v>46</v>
      </c>
      <c r="I29" s="149" t="s">
        <v>132</v>
      </c>
      <c r="J29" s="149" t="s">
        <v>410</v>
      </c>
      <c r="K29" s="149" t="s">
        <v>411</v>
      </c>
      <c r="L29" s="149" t="s">
        <v>464</v>
      </c>
    </row>
    <row r="30" spans="2:12" ht="15.75" thickBot="1">
      <c r="C30" s="302" t="s">
        <v>1339</v>
      </c>
      <c r="D30" s="158"/>
      <c r="E30" s="96">
        <f>HLOOKUP($C30,$CB$2:$CE$3,2,0)</f>
        <v>15000</v>
      </c>
      <c r="F30" s="97">
        <f>D30*E30</f>
        <v>0</v>
      </c>
      <c r="G30" s="165"/>
      <c r="H30" s="98" t="s">
        <v>1014</v>
      </c>
      <c r="I30" s="98" t="str">
        <f>VLOOKUP(H30,Presupuesto!$B$11:$C$565,2,0)</f>
        <v>EQUIPO DE COMPUTACION</v>
      </c>
      <c r="J30" s="218" t="s">
        <v>1364</v>
      </c>
      <c r="K30" s="98" t="s">
        <v>398</v>
      </c>
      <c r="L30" s="98"/>
    </row>
    <row r="31" spans="2:12">
      <c r="C31" s="302" t="s">
        <v>1337</v>
      </c>
      <c r="D31" s="151"/>
      <c r="E31" s="96">
        <f>HLOOKUP($C31,$CB$2:$CE$3,2,0)</f>
        <v>35000</v>
      </c>
      <c r="F31" s="97">
        <f>D31*E31</f>
        <v>0</v>
      </c>
      <c r="G31" s="165"/>
      <c r="H31" s="101" t="s">
        <v>1014</v>
      </c>
      <c r="I31" s="101" t="str">
        <f>VLOOKUP(H31,Presupuesto!$B$11:$C$565,2,0)</f>
        <v>EQUIPO DE COMPUTACION</v>
      </c>
      <c r="J31" s="98" t="str">
        <f>$J$30</f>
        <v>Gestión Administrativa y  financiera en apoyo al Desarrollo Académico</v>
      </c>
      <c r="K31" s="98" t="s">
        <v>398</v>
      </c>
      <c r="L31" s="98"/>
    </row>
    <row r="32" spans="2:12">
      <c r="C32" s="99" t="s">
        <v>74</v>
      </c>
      <c r="D32" s="151">
        <v>1</v>
      </c>
      <c r="E32" s="100">
        <v>8000</v>
      </c>
      <c r="F32" s="97">
        <f t="shared" ref="F32" si="2">D32*E32</f>
        <v>8000</v>
      </c>
      <c r="G32" s="165" t="s">
        <v>1486</v>
      </c>
      <c r="H32" s="101" t="s">
        <v>1014</v>
      </c>
      <c r="I32" s="101" t="str">
        <f>VLOOKUP(H32,Presupuesto!$B$11:$C$565,2,0)</f>
        <v>EQUIPO DE COMPUTACION</v>
      </c>
      <c r="J32" s="98" t="str">
        <f t="shared" ref="J32" si="3">$J$30</f>
        <v>Gestión Administrativa y  financiera en apoyo al Desarrollo Académico</v>
      </c>
      <c r="K32" s="98" t="s">
        <v>398</v>
      </c>
      <c r="L32" s="98"/>
    </row>
    <row r="34" spans="3:12" ht="15.75" thickBot="1"/>
    <row r="35" spans="3:12" ht="15.75" thickBot="1">
      <c r="C35" s="29" t="s">
        <v>43</v>
      </c>
      <c r="D35" s="108">
        <f>SUM(F42:F44)</f>
        <v>52000</v>
      </c>
      <c r="F35" s="70"/>
      <c r="G35" s="79"/>
      <c r="H35" s="70"/>
      <c r="I35" s="70"/>
    </row>
    <row r="36" spans="3:12">
      <c r="C36" s="70"/>
      <c r="D36" s="31"/>
      <c r="E36" s="93"/>
      <c r="F36" s="93"/>
      <c r="G36" s="93"/>
      <c r="H36" s="76"/>
      <c r="I36" s="76"/>
      <c r="J36" s="76"/>
      <c r="K36" s="112"/>
    </row>
    <row r="37" spans="3:12">
      <c r="C37" s="70"/>
      <c r="D37" s="31"/>
      <c r="E37" s="93"/>
      <c r="F37" s="93"/>
      <c r="G37" s="93"/>
      <c r="H37" s="76"/>
      <c r="I37" s="76"/>
      <c r="J37" s="76"/>
      <c r="K37" s="112"/>
    </row>
    <row r="38" spans="3:12" ht="15.75">
      <c r="C38" s="202" t="s">
        <v>392</v>
      </c>
      <c r="D38" s="361" t="s">
        <v>2010</v>
      </c>
      <c r="E38" s="93"/>
      <c r="F38" s="93"/>
      <c r="G38" s="93"/>
      <c r="H38" s="76"/>
      <c r="I38" s="76"/>
      <c r="J38" s="76"/>
      <c r="K38" s="112"/>
    </row>
    <row r="39" spans="3:12" ht="18.75">
      <c r="C39" s="210" t="str">
        <f>IFERROR(VLOOKUP(D38,'1. Desarrollo e Innov. Curricu.'!$E:$F,2,FALSE),IFERROR(VLOOKUP(D38,'2. Investigación Científica'!$E:$F,2,FALSE),IFERROR(VLOOKUP(D38,'3. Vinculación Univ. Sociedad'!$E:$F,2,FALSE),IFERROR(VLOOKUP(D38,'4. Docencia y Profesorado Univ.'!$E:$F,2,FALSE),IFERROR(VLOOKUP(D38,'5. Estudiantes y Graduados'!$E:$F,2,FALSE),IFERROR(VLOOKUP(D38,'11. Gestion Administrativa'!$E:$F,2,FALSE),IFERROR(VLOOKUP(D38,'13. Gestión Académica'!$E:$F,2,FALSE),IFERROR(VLOOKUP(D38,'8. Asegura. de la Calid. y M'!$E:$F,2,FALSE),IFERROR(VLOOKUP(D38,'6. Gestión del Conocimiento'!$E:$F,2,FALSE),IFERROR(VLOOKUP(D38,'15. Gobernabilidad y Proceso...'!$E:$F,2,FALSE),IFERROR(VLOOKUP(D38,'12. Gestión del Talento Humano'!$E:$F,2,FALSE),IFERROR(VLOOKUP(D38,'14. Internacional... de la E.S.'!$E:$F,2,FALSE),IFERROR(VLOOKUP(D38,'10. Posgrado'!$E:$F,2,FALSE),IFERROR(VLOOKUP(D38,'16. Desa. del Sistema Educ.Sup.'!$E:$F,2,FALSE),IFERROR(VLOOKUP(D38,'9. Cultura de Inno. Insti...'!$E:$F,2,FALSE),VLOOKUP(D38,'7. Lo Esencial de la Reforma U.'!$E:$F,2,0))))))))))))))))</f>
        <v>Gestionar la adquisición de 4 proyectores multimedia(datashow)</v>
      </c>
      <c r="D39" s="31"/>
      <c r="E39" s="93"/>
      <c r="F39" s="93"/>
      <c r="G39" s="93"/>
      <c r="H39" s="76"/>
      <c r="I39" s="76"/>
      <c r="J39" s="76"/>
      <c r="K39" s="112"/>
    </row>
    <row r="40" spans="3:12">
      <c r="F40" s="93"/>
      <c r="G40" s="76"/>
      <c r="H40" s="76"/>
      <c r="I40" s="76"/>
    </row>
    <row r="41" spans="3:12" ht="30.75" thickBot="1">
      <c r="C41" s="149" t="s">
        <v>44</v>
      </c>
      <c r="D41" s="149" t="s">
        <v>55</v>
      </c>
      <c r="E41" s="149" t="s">
        <v>57</v>
      </c>
      <c r="F41" s="150" t="s">
        <v>27</v>
      </c>
      <c r="G41" s="150" t="s">
        <v>131</v>
      </c>
      <c r="H41" s="149" t="s">
        <v>46</v>
      </c>
      <c r="I41" s="149" t="s">
        <v>132</v>
      </c>
      <c r="J41" s="149" t="s">
        <v>410</v>
      </c>
      <c r="K41" s="149" t="s">
        <v>411</v>
      </c>
      <c r="L41" s="149" t="s">
        <v>464</v>
      </c>
    </row>
    <row r="42" spans="3:12" ht="15.75" thickBot="1">
      <c r="C42" s="302" t="s">
        <v>1339</v>
      </c>
      <c r="D42" s="158"/>
      <c r="E42" s="96">
        <f>HLOOKUP($C42,$CB$2:$CE$3,2,0)</f>
        <v>15000</v>
      </c>
      <c r="F42" s="97">
        <f>D42*E42</f>
        <v>0</v>
      </c>
      <c r="G42" s="165"/>
      <c r="H42" s="98" t="s">
        <v>1014</v>
      </c>
      <c r="I42" s="98" t="str">
        <f>VLOOKUP(H42,Presupuesto!$B$11:$C$565,2,0)</f>
        <v>EQUIPO DE COMPUTACION</v>
      </c>
      <c r="J42" s="218" t="s">
        <v>1441</v>
      </c>
      <c r="K42" s="98" t="s">
        <v>399</v>
      </c>
      <c r="L42" s="98"/>
    </row>
    <row r="43" spans="3:12">
      <c r="C43" s="302" t="s">
        <v>1337</v>
      </c>
      <c r="D43" s="151"/>
      <c r="E43" s="96">
        <f>HLOOKUP($C43,$CB$2:$CE$3,2,0)</f>
        <v>35000</v>
      </c>
      <c r="F43" s="97">
        <f>D43*E43</f>
        <v>0</v>
      </c>
      <c r="G43" s="165"/>
      <c r="H43" s="101" t="s">
        <v>1014</v>
      </c>
      <c r="I43" s="101" t="str">
        <f>VLOOKUP(H43,Presupuesto!$B$11:$C$565,2,0)</f>
        <v>EQUIPO DE COMPUTACION</v>
      </c>
      <c r="J43" s="98" t="s">
        <v>1364</v>
      </c>
      <c r="K43" s="98" t="s">
        <v>399</v>
      </c>
      <c r="L43" s="98"/>
    </row>
    <row r="44" spans="3:12">
      <c r="C44" s="99" t="s">
        <v>35</v>
      </c>
      <c r="D44" s="151">
        <v>4</v>
      </c>
      <c r="E44" s="100">
        <v>13000</v>
      </c>
      <c r="F44" s="97">
        <f t="shared" ref="F44" si="4">D44*E44</f>
        <v>52000</v>
      </c>
      <c r="G44" s="165" t="s">
        <v>1486</v>
      </c>
      <c r="H44" s="101" t="s">
        <v>1000</v>
      </c>
      <c r="I44" s="101" t="str">
        <f>VLOOKUP(H44,Presupuesto!$B$11:$C$565,2,0)</f>
        <v>EQUIPO DE TRANSPORTE TRACCION Y ELEVACION</v>
      </c>
      <c r="J44" s="98" t="s">
        <v>1364</v>
      </c>
      <c r="K44" s="98" t="s">
        <v>399</v>
      </c>
      <c r="L44" s="98"/>
    </row>
    <row r="45" spans="3:12">
      <c r="F45" s="93"/>
      <c r="G45" s="76"/>
      <c r="H45" s="76"/>
      <c r="I45" s="76"/>
    </row>
    <row r="46" spans="3:12" ht="15.75" thickBot="1"/>
    <row r="47" spans="3:12" ht="15.75" thickBot="1">
      <c r="C47" s="29" t="s">
        <v>43</v>
      </c>
      <c r="D47" s="108">
        <f>SUM(F54:F57)</f>
        <v>29000</v>
      </c>
      <c r="F47" s="70"/>
      <c r="G47" s="79"/>
      <c r="H47" s="70"/>
      <c r="I47" s="70"/>
    </row>
    <row r="48" spans="3:12">
      <c r="C48" s="70"/>
      <c r="D48" s="31"/>
      <c r="E48" s="93"/>
      <c r="F48" s="93"/>
      <c r="G48" s="93"/>
      <c r="H48" s="76"/>
      <c r="I48" s="76"/>
      <c r="J48" s="76"/>
      <c r="K48" s="112"/>
    </row>
    <row r="49" spans="3:12">
      <c r="C49" s="70"/>
      <c r="D49" s="31"/>
      <c r="E49" s="93"/>
      <c r="F49" s="93"/>
      <c r="G49" s="93"/>
      <c r="H49" s="76"/>
      <c r="I49" s="76"/>
      <c r="J49" s="76"/>
      <c r="K49" s="112"/>
    </row>
    <row r="50" spans="3:12" ht="15.75">
      <c r="C50" s="202" t="s">
        <v>392</v>
      </c>
      <c r="D50" s="361" t="s">
        <v>1822</v>
      </c>
      <c r="E50" s="93"/>
      <c r="F50" s="93"/>
      <c r="G50" s="93"/>
      <c r="H50" s="76"/>
      <c r="I50" s="76"/>
      <c r="J50" s="76"/>
      <c r="K50" s="112"/>
    </row>
    <row r="51" spans="3:12" ht="18.75">
      <c r="C51" s="210" t="str">
        <f>IFERROR(VLOOKUP(D50,'1. Desarrollo e Innov. Curricu.'!$E:$F,2,FALSE),IFERROR(VLOOKUP(D50,'2. Investigación Científica'!$E:$F,2,FALSE),IFERROR(VLOOKUP(D50,'3. Vinculación Univ. Sociedad'!$E:$F,2,FALSE),IFERROR(VLOOKUP(D50,'4. Docencia y Profesorado Univ.'!$E:$F,2,FALSE),IFERROR(VLOOKUP(D50,'5. Estudiantes y Graduados'!$E:$F,2,FALSE),IFERROR(VLOOKUP(D50,'11. Gestion Administrativa'!$E:$F,2,FALSE),IFERROR(VLOOKUP(D50,'13. Gestión Académica'!$E:$F,2,FALSE),IFERROR(VLOOKUP(D50,'8. Asegura. de la Calid. y M'!$E:$F,2,FALSE),IFERROR(VLOOKUP(D50,'6. Gestión del Conocimiento'!$E:$F,2,FALSE),IFERROR(VLOOKUP(D50,'15. Gobernabilidad y Proceso...'!$E:$F,2,FALSE),IFERROR(VLOOKUP(D50,'12. Gestión del Talento Humano'!$E:$F,2,FALSE),IFERROR(VLOOKUP(D50,'14. Internacional... de la E.S.'!$E:$F,2,FALSE),IFERROR(VLOOKUP(D50,'10. Posgrado'!$E:$F,2,FALSE),IFERROR(VLOOKUP(D50,'16. Desa. del Sistema Educ.Sup.'!$E:$F,2,FALSE),IFERROR(VLOOKUP(D50,'9. Cultura de Inno. Insti...'!$E:$F,2,FALSE),VLOOKUP(D50,'7. Lo Esencial de la Reforma U.'!$E:$F,2,0))))))))))))))))</f>
        <v xml:space="preserve">Gestión de equipamiento del departamento de Quimica, Ciencias </v>
      </c>
      <c r="D51" s="31"/>
      <c r="E51" s="93"/>
      <c r="F51" s="93"/>
      <c r="G51" s="93"/>
      <c r="H51" s="76"/>
      <c r="I51" s="76"/>
      <c r="J51" s="76"/>
      <c r="K51" s="112"/>
    </row>
    <row r="52" spans="3:12">
      <c r="F52" s="93"/>
      <c r="G52" s="76"/>
      <c r="H52" s="76"/>
      <c r="I52" s="76"/>
    </row>
    <row r="53" spans="3:12" ht="30.75" thickBot="1">
      <c r="C53" s="149" t="s">
        <v>44</v>
      </c>
      <c r="D53" s="149" t="s">
        <v>55</v>
      </c>
      <c r="E53" s="149" t="s">
        <v>57</v>
      </c>
      <c r="F53" s="150" t="s">
        <v>27</v>
      </c>
      <c r="G53" s="150" t="s">
        <v>131</v>
      </c>
      <c r="H53" s="149" t="s">
        <v>46</v>
      </c>
      <c r="I53" s="149" t="s">
        <v>132</v>
      </c>
      <c r="J53" s="149" t="s">
        <v>410</v>
      </c>
      <c r="K53" s="149" t="s">
        <v>411</v>
      </c>
      <c r="L53" s="149" t="s">
        <v>464</v>
      </c>
    </row>
    <row r="54" spans="3:12" ht="15.75" thickBot="1">
      <c r="C54" s="302" t="s">
        <v>1339</v>
      </c>
      <c r="D54" s="158"/>
      <c r="E54" s="96">
        <f>HLOOKUP($C54,$CB$2:$CE$3,2,0)</f>
        <v>15000</v>
      </c>
      <c r="F54" s="97">
        <f>D54*E54</f>
        <v>0</v>
      </c>
      <c r="G54" s="165"/>
      <c r="H54" s="98" t="s">
        <v>1014</v>
      </c>
      <c r="I54" s="98" t="str">
        <f>VLOOKUP(H54,Presupuesto!$B$11:$C$565,2,0)</f>
        <v>EQUIPO DE COMPUTACION</v>
      </c>
      <c r="J54" s="218" t="s">
        <v>1441</v>
      </c>
      <c r="K54" s="98" t="s">
        <v>394</v>
      </c>
      <c r="L54" s="98"/>
    </row>
    <row r="55" spans="3:12">
      <c r="C55" s="302" t="s">
        <v>1337</v>
      </c>
      <c r="D55" s="151"/>
      <c r="E55" s="96">
        <f>HLOOKUP($C55,$CB$2:$CE$3,2,0)</f>
        <v>35000</v>
      </c>
      <c r="F55" s="97">
        <f>D55*E55</f>
        <v>0</v>
      </c>
      <c r="G55" s="165"/>
      <c r="H55" s="101" t="s">
        <v>1014</v>
      </c>
      <c r="I55" s="101" t="str">
        <f>VLOOKUP(H55,Presupuesto!$B$11:$C$565,2,0)</f>
        <v>EQUIPO DE COMPUTACION</v>
      </c>
      <c r="J55" s="98" t="str">
        <f>$J$54</f>
        <v>Posgrado</v>
      </c>
      <c r="K55" s="98" t="s">
        <v>412</v>
      </c>
      <c r="L55" s="98"/>
    </row>
    <row r="56" spans="3:12">
      <c r="C56" s="99" t="s">
        <v>74</v>
      </c>
      <c r="D56" s="151">
        <v>2</v>
      </c>
      <c r="E56" s="100">
        <v>8000</v>
      </c>
      <c r="F56" s="97">
        <f t="shared" ref="F56:F57" si="5">D56*E56</f>
        <v>16000</v>
      </c>
      <c r="G56" s="165" t="s">
        <v>1486</v>
      </c>
      <c r="H56" s="101" t="s">
        <v>1014</v>
      </c>
      <c r="I56" s="101" t="str">
        <f>VLOOKUP(H56,Presupuesto!$B$11:$C$565,2,0)</f>
        <v>EQUIPO DE COMPUTACION</v>
      </c>
      <c r="J56" s="98" t="s">
        <v>1364</v>
      </c>
      <c r="K56" s="98" t="s">
        <v>395</v>
      </c>
      <c r="L56" s="98"/>
    </row>
    <row r="57" spans="3:12">
      <c r="C57" s="99" t="s">
        <v>35</v>
      </c>
      <c r="D57" s="151">
        <v>1</v>
      </c>
      <c r="E57" s="100">
        <v>13000</v>
      </c>
      <c r="F57" s="97">
        <f t="shared" si="5"/>
        <v>13000</v>
      </c>
      <c r="G57" s="165" t="s">
        <v>1486</v>
      </c>
      <c r="H57" s="101" t="s">
        <v>1000</v>
      </c>
      <c r="I57" s="101" t="str">
        <f>VLOOKUP(H57,Presupuesto!$B$11:$C$565,2,0)</f>
        <v>EQUIPO DE TRANSPORTE TRACCION Y ELEVACION</v>
      </c>
      <c r="J57" s="98" t="s">
        <v>1364</v>
      </c>
      <c r="K57" s="98" t="s">
        <v>395</v>
      </c>
      <c r="L57" s="98"/>
    </row>
    <row r="59" spans="3:12" ht="15.75" thickBot="1"/>
    <row r="60" spans="3:12" ht="15.75" thickBot="1">
      <c r="C60" s="29" t="s">
        <v>43</v>
      </c>
      <c r="D60" s="108">
        <f>SUM(F67:F70)</f>
        <v>21000</v>
      </c>
      <c r="F60" s="70"/>
      <c r="G60" s="79"/>
      <c r="H60" s="70"/>
      <c r="I60" s="70"/>
    </row>
    <row r="61" spans="3:12">
      <c r="C61" s="70"/>
      <c r="D61" s="31"/>
      <c r="E61" s="93"/>
      <c r="F61" s="93"/>
      <c r="G61" s="93"/>
      <c r="H61" s="76"/>
      <c r="I61" s="76"/>
      <c r="J61" s="76"/>
      <c r="K61" s="112"/>
    </row>
    <row r="62" spans="3:12">
      <c r="C62" s="70"/>
      <c r="D62" s="31"/>
      <c r="E62" s="93"/>
      <c r="F62" s="93"/>
      <c r="G62" s="93"/>
      <c r="H62" s="76"/>
      <c r="I62" s="76"/>
      <c r="J62" s="76"/>
      <c r="K62" s="112"/>
    </row>
    <row r="63" spans="3:12" ht="15.75">
      <c r="C63" s="202" t="s">
        <v>392</v>
      </c>
      <c r="D63" s="361" t="s">
        <v>1920</v>
      </c>
      <c r="E63" s="93"/>
      <c r="F63" s="93"/>
      <c r="G63" s="93"/>
      <c r="H63" s="76"/>
      <c r="I63" s="76"/>
      <c r="J63" s="76"/>
      <c r="K63" s="112"/>
    </row>
    <row r="64" spans="3:12" ht="18.75">
      <c r="C64" s="210" t="str">
        <f>IFERROR(VLOOKUP(D63,'1. Desarrollo e Innov. Curricu.'!$E:$F,2,FALSE),IFERROR(VLOOKUP(D63,'2. Investigación Científica'!$E:$F,2,FALSE),IFERROR(VLOOKUP(D63,'3. Vinculación Univ. Sociedad'!$E:$F,2,FALSE),IFERROR(VLOOKUP(D63,'4. Docencia y Profesorado Univ.'!$E:$F,2,FALSE),IFERROR(VLOOKUP(D63,'5. Estudiantes y Graduados'!$E:$F,2,FALSE),IFERROR(VLOOKUP(D63,'11. Gestion Administrativa'!$E:$F,2,FALSE),IFERROR(VLOOKUP(D63,'13. Gestión Académica'!$E:$F,2,FALSE),IFERROR(VLOOKUP(D63,'8. Asegura. de la Calid. y M'!$E:$F,2,FALSE),IFERROR(VLOOKUP(D63,'6. Gestión del Conocimiento'!$E:$F,2,FALSE),IFERROR(VLOOKUP(D63,'15. Gobernabilidad y Proceso...'!$E:$F,2,FALSE),IFERROR(VLOOKUP(D63,'12. Gestión del Talento Humano'!$E:$F,2,FALSE),IFERROR(VLOOKUP(D63,'14. Internacional... de la E.S.'!$E:$F,2,FALSE),IFERROR(VLOOKUP(D63,'10. Posgrado'!$E:$F,2,FALSE),IFERROR(VLOOKUP(D63,'16. Desa. del Sistema Educ.Sup.'!$E:$F,2,FALSE),IFERROR(VLOOKUP(D63,'9. Cultura de Inno. Insti...'!$E:$F,2,FALSE),VLOOKUP(D63,'7. Lo Esencial de la Reforma U.'!$E:$F,2,0))))))))))))))))</f>
        <v xml:space="preserve">Gestión para la adquisición de equipo para el departamento  de una impresora, proyector multimedia. </v>
      </c>
      <c r="D64" s="31"/>
      <c r="E64" s="93"/>
      <c r="F64" s="93"/>
      <c r="G64" s="93"/>
      <c r="H64" s="76"/>
      <c r="I64" s="76"/>
      <c r="J64" s="76"/>
      <c r="K64" s="112"/>
    </row>
    <row r="65" spans="3:12">
      <c r="F65" s="93"/>
      <c r="G65" s="76"/>
      <c r="H65" s="76"/>
      <c r="I65" s="76"/>
    </row>
    <row r="66" spans="3:12" ht="30.75" thickBot="1">
      <c r="C66" s="149" t="s">
        <v>44</v>
      </c>
      <c r="D66" s="149" t="s">
        <v>55</v>
      </c>
      <c r="E66" s="149" t="s">
        <v>57</v>
      </c>
      <c r="F66" s="150" t="s">
        <v>27</v>
      </c>
      <c r="G66" s="150" t="s">
        <v>131</v>
      </c>
      <c r="H66" s="149" t="s">
        <v>46</v>
      </c>
      <c r="I66" s="149" t="s">
        <v>132</v>
      </c>
      <c r="J66" s="149" t="s">
        <v>410</v>
      </c>
      <c r="K66" s="149" t="s">
        <v>411</v>
      </c>
      <c r="L66" s="149" t="s">
        <v>464</v>
      </c>
    </row>
    <row r="67" spans="3:12" ht="15.75" thickBot="1">
      <c r="C67" s="302" t="s">
        <v>1339</v>
      </c>
      <c r="D67" s="158"/>
      <c r="E67" s="96">
        <f>HLOOKUP($C67,$CB$2:$CE$3,2,0)</f>
        <v>15000</v>
      </c>
      <c r="F67" s="97">
        <f>D67*E67</f>
        <v>0</v>
      </c>
      <c r="G67" s="165"/>
      <c r="H67" s="98" t="s">
        <v>1014</v>
      </c>
      <c r="I67" s="98" t="str">
        <f>VLOOKUP(H67,Presupuesto!$B$11:$C$565,2,0)</f>
        <v>EQUIPO DE COMPUTACION</v>
      </c>
      <c r="J67" s="218" t="s">
        <v>1494</v>
      </c>
      <c r="K67" s="98" t="s">
        <v>394</v>
      </c>
      <c r="L67" s="98"/>
    </row>
    <row r="68" spans="3:12">
      <c r="C68" s="302" t="s">
        <v>1337</v>
      </c>
      <c r="D68" s="151"/>
      <c r="E68" s="96">
        <f>HLOOKUP($C68,$CB$2:$CE$3,2,0)</f>
        <v>35000</v>
      </c>
      <c r="F68" s="97">
        <f>D68*E68</f>
        <v>0</v>
      </c>
      <c r="G68" s="165"/>
      <c r="H68" s="101" t="s">
        <v>1014</v>
      </c>
      <c r="I68" s="101" t="str">
        <f>VLOOKUP(H68,Presupuesto!$B$11:$C$565,2,0)</f>
        <v>EQUIPO DE COMPUTACION</v>
      </c>
      <c r="J68" s="98" t="s">
        <v>1364</v>
      </c>
      <c r="K68" s="98" t="s">
        <v>412</v>
      </c>
      <c r="L68" s="98"/>
    </row>
    <row r="69" spans="3:12">
      <c r="C69" s="99" t="s">
        <v>74</v>
      </c>
      <c r="D69" s="151">
        <v>1</v>
      </c>
      <c r="E69" s="100">
        <v>8000</v>
      </c>
      <c r="F69" s="97">
        <f t="shared" ref="F69:F70" si="6">D69*E69</f>
        <v>8000</v>
      </c>
      <c r="G69" s="165" t="s">
        <v>1486</v>
      </c>
      <c r="H69" s="101" t="s">
        <v>1014</v>
      </c>
      <c r="I69" s="101" t="str">
        <f>VLOOKUP(H69,Presupuesto!$B$11:$C$565,2,0)</f>
        <v>EQUIPO DE COMPUTACION</v>
      </c>
      <c r="J69" s="98" t="s">
        <v>1364</v>
      </c>
      <c r="K69" s="98" t="s">
        <v>395</v>
      </c>
      <c r="L69" s="98"/>
    </row>
    <row r="70" spans="3:12">
      <c r="C70" s="99" t="s">
        <v>35</v>
      </c>
      <c r="D70" s="151">
        <v>1</v>
      </c>
      <c r="E70" s="100">
        <v>13000</v>
      </c>
      <c r="F70" s="97">
        <f t="shared" si="6"/>
        <v>13000</v>
      </c>
      <c r="G70" s="165" t="s">
        <v>1486</v>
      </c>
      <c r="H70" s="101" t="s">
        <v>1000</v>
      </c>
      <c r="I70" s="101" t="str">
        <f>VLOOKUP(H70,Presupuesto!$B$11:$C$565,2,0)</f>
        <v>EQUIPO DE TRANSPORTE TRACCION Y ELEVACION</v>
      </c>
      <c r="J70" s="98" t="s">
        <v>1364</v>
      </c>
      <c r="K70" s="98" t="s">
        <v>395</v>
      </c>
      <c r="L70" s="98"/>
    </row>
    <row r="71" spans="3:12">
      <c r="F71" s="93"/>
      <c r="G71" s="76"/>
      <c r="H71" s="76"/>
      <c r="I71" s="76"/>
    </row>
    <row r="72" spans="3:12" ht="15.75" thickBot="1"/>
    <row r="73" spans="3:12" ht="15.75" thickBot="1">
      <c r="C73" s="29" t="s">
        <v>43</v>
      </c>
      <c r="D73" s="108">
        <f>SUM(F80:F82)</f>
        <v>13000</v>
      </c>
      <c r="F73" s="70"/>
      <c r="G73" s="79"/>
      <c r="H73" s="70"/>
      <c r="I73" s="70"/>
    </row>
    <row r="74" spans="3:12">
      <c r="C74" s="70"/>
      <c r="D74" s="31"/>
      <c r="E74" s="93"/>
      <c r="F74" s="93"/>
      <c r="G74" s="93"/>
      <c r="H74" s="76"/>
      <c r="I74" s="76"/>
      <c r="J74" s="76"/>
      <c r="K74" s="112"/>
    </row>
    <row r="75" spans="3:12">
      <c r="C75" s="70"/>
      <c r="D75" s="31"/>
      <c r="E75" s="93"/>
      <c r="F75" s="93"/>
      <c r="G75" s="93"/>
      <c r="H75" s="76"/>
      <c r="I75" s="76"/>
      <c r="J75" s="76"/>
      <c r="K75" s="112"/>
    </row>
    <row r="76" spans="3:12" ht="15.75">
      <c r="C76" s="202" t="s">
        <v>392</v>
      </c>
      <c r="D76" s="361" t="s">
        <v>1946</v>
      </c>
      <c r="E76" s="93"/>
      <c r="F76" s="93"/>
      <c r="G76" s="93"/>
      <c r="H76" s="76"/>
      <c r="I76" s="76"/>
      <c r="J76" s="76"/>
      <c r="K76" s="112"/>
    </row>
    <row r="77" spans="3:12" ht="18.75">
      <c r="C77" s="210" t="str">
        <f>IFERROR(VLOOKUP(D76,'1. Desarrollo e Innov. Curricu.'!$E:$F,2,FALSE),IFERROR(VLOOKUP(D76,'2. Investigación Científica'!$E:$F,2,FALSE),IFERROR(VLOOKUP(D76,'3. Vinculación Univ. Sociedad'!$E:$F,2,FALSE),IFERROR(VLOOKUP(D76,'4. Docencia y Profesorado Univ.'!$E:$F,2,FALSE),IFERROR(VLOOKUP(D76,'5. Estudiantes y Graduados'!$E:$F,2,FALSE),IFERROR(VLOOKUP(D76,'11. Gestion Administrativa'!$E:$F,2,FALSE),IFERROR(VLOOKUP(D76,'13. Gestión Académica'!$E:$F,2,FALSE),IFERROR(VLOOKUP(D76,'8. Asegura. de la Calid. y M'!$E:$F,2,FALSE),IFERROR(VLOOKUP(D76,'6. Gestión del Conocimiento'!$E:$F,2,FALSE),IFERROR(VLOOKUP(D76,'15. Gobernabilidad y Proceso...'!$E:$F,2,FALSE),IFERROR(VLOOKUP(D76,'12. Gestión del Talento Humano'!$E:$F,2,FALSE),IFERROR(VLOOKUP(D76,'14. Internacional... de la E.S.'!$E:$F,2,FALSE),IFERROR(VLOOKUP(D76,'10. Posgrado'!$E:$F,2,FALSE),IFERROR(VLOOKUP(D76,'16. Desa. del Sistema Educ.Sup.'!$E:$F,2,FALSE),IFERROR(VLOOKUP(D76,'9. Cultura de Inno. Insti...'!$E:$F,2,FALSE),VLOOKUP(D76,'7. Lo Esencial de la Reforma U.'!$E:$F,2,0))))))))))))))))</f>
        <v>Gestionar la adquisición de 1 proyector multimedia(datashow)</v>
      </c>
      <c r="D77" s="31"/>
      <c r="E77" s="93"/>
      <c r="F77" s="93"/>
      <c r="G77" s="93"/>
      <c r="H77" s="76"/>
      <c r="I77" s="76"/>
      <c r="J77" s="76"/>
      <c r="K77" s="112"/>
    </row>
    <row r="78" spans="3:12">
      <c r="F78" s="93"/>
      <c r="G78" s="76"/>
      <c r="H78" s="76"/>
      <c r="I78" s="76"/>
    </row>
    <row r="79" spans="3:12" ht="30.75" thickBot="1">
      <c r="C79" s="149" t="s">
        <v>44</v>
      </c>
      <c r="D79" s="149" t="s">
        <v>55</v>
      </c>
      <c r="E79" s="149" t="s">
        <v>57</v>
      </c>
      <c r="F79" s="150" t="s">
        <v>27</v>
      </c>
      <c r="G79" s="150" t="s">
        <v>131</v>
      </c>
      <c r="H79" s="149" t="s">
        <v>46</v>
      </c>
      <c r="I79" s="149" t="s">
        <v>132</v>
      </c>
      <c r="J79" s="149" t="s">
        <v>410</v>
      </c>
      <c r="K79" s="149" t="s">
        <v>411</v>
      </c>
      <c r="L79" s="149" t="s">
        <v>464</v>
      </c>
    </row>
    <row r="80" spans="3:12" ht="15.75" thickBot="1">
      <c r="C80" s="302" t="s">
        <v>1339</v>
      </c>
      <c r="D80" s="158"/>
      <c r="E80" s="96">
        <f>HLOOKUP($C80,$CB$2:$CE$3,2,0)</f>
        <v>15000</v>
      </c>
      <c r="F80" s="97">
        <f>D80*E80</f>
        <v>0</v>
      </c>
      <c r="G80" s="165"/>
      <c r="H80" s="98" t="s">
        <v>1014</v>
      </c>
      <c r="I80" s="98" t="str">
        <f>VLOOKUP(H80,Presupuesto!$B$11:$C$565,2,0)</f>
        <v>EQUIPO DE COMPUTACION</v>
      </c>
      <c r="J80" s="218" t="s">
        <v>1441</v>
      </c>
      <c r="K80" s="98" t="s">
        <v>394</v>
      </c>
      <c r="L80" s="98"/>
    </row>
    <row r="81" spans="3:12">
      <c r="C81" s="302" t="s">
        <v>1337</v>
      </c>
      <c r="D81" s="151"/>
      <c r="E81" s="96">
        <f>HLOOKUP($C81,$CB$2:$CE$3,2,0)</f>
        <v>35000</v>
      </c>
      <c r="F81" s="97">
        <f>D81*E81</f>
        <v>0</v>
      </c>
      <c r="G81" s="165"/>
      <c r="H81" s="101" t="s">
        <v>1014</v>
      </c>
      <c r="I81" s="101" t="str">
        <f>VLOOKUP(H81,Presupuesto!$B$11:$C$565,2,0)</f>
        <v>EQUIPO DE COMPUTACION</v>
      </c>
      <c r="J81" s="98" t="str">
        <f>$J$80</f>
        <v>Posgrado</v>
      </c>
      <c r="K81" s="98" t="s">
        <v>412</v>
      </c>
      <c r="L81" s="98"/>
    </row>
    <row r="82" spans="3:12">
      <c r="C82" s="99" t="s">
        <v>35</v>
      </c>
      <c r="D82" s="151">
        <v>1</v>
      </c>
      <c r="E82" s="100">
        <v>13000</v>
      </c>
      <c r="F82" s="97">
        <f t="shared" ref="F82" si="7">D82*E82</f>
        <v>13000</v>
      </c>
      <c r="G82" s="165" t="s">
        <v>1486</v>
      </c>
      <c r="H82" s="101" t="s">
        <v>1000</v>
      </c>
      <c r="I82" s="101" t="str">
        <f>VLOOKUP(H82,Presupuesto!$B$11:$C$565,2,0)</f>
        <v>EQUIPO DE TRANSPORTE TRACCION Y ELEVACION</v>
      </c>
      <c r="J82" s="98" t="s">
        <v>1364</v>
      </c>
      <c r="K82" s="98" t="s">
        <v>395</v>
      </c>
      <c r="L82" s="98"/>
    </row>
    <row r="84" spans="3:12" ht="15.75" thickBot="1"/>
    <row r="85" spans="3:12" ht="15.75" thickBot="1">
      <c r="C85" s="29" t="s">
        <v>43</v>
      </c>
      <c r="D85" s="108">
        <f>SUM(F92:F94)</f>
        <v>8000</v>
      </c>
      <c r="F85" s="70"/>
      <c r="G85" s="79"/>
      <c r="H85" s="70"/>
      <c r="I85" s="70"/>
    </row>
    <row r="86" spans="3:12">
      <c r="C86" s="70"/>
      <c r="D86" s="31"/>
      <c r="E86" s="93"/>
      <c r="F86" s="93"/>
      <c r="G86" s="93"/>
      <c r="H86" s="76"/>
      <c r="I86" s="76"/>
      <c r="J86" s="76"/>
      <c r="K86" s="112"/>
    </row>
    <row r="87" spans="3:12">
      <c r="C87" s="70"/>
      <c r="D87" s="31"/>
      <c r="E87" s="93"/>
      <c r="F87" s="93"/>
      <c r="G87" s="93"/>
      <c r="H87" s="76"/>
      <c r="I87" s="76"/>
      <c r="J87" s="76"/>
      <c r="K87" s="112"/>
    </row>
    <row r="88" spans="3:12" ht="15.75">
      <c r="C88" s="202" t="s">
        <v>392</v>
      </c>
      <c r="D88" s="361" t="s">
        <v>2013</v>
      </c>
      <c r="E88" s="93"/>
      <c r="F88" s="93"/>
      <c r="G88" s="93"/>
      <c r="H88" s="76"/>
      <c r="I88" s="76"/>
      <c r="J88" s="76"/>
      <c r="K88" s="112"/>
    </row>
    <row r="89" spans="3:12" ht="18.75">
      <c r="C89" s="210" t="str">
        <f>IFERROR(VLOOKUP(D88,'1. Desarrollo e Innov. Curricu.'!$E:$F,2,FALSE),IFERROR(VLOOKUP(D88,'2. Investigación Científica'!$E:$F,2,FALSE),IFERROR(VLOOKUP(D88,'3. Vinculación Univ. Sociedad'!$E:$F,2,FALSE),IFERROR(VLOOKUP(D88,'4. Docencia y Profesorado Univ.'!$E:$F,2,FALSE),IFERROR(VLOOKUP(D88,'5. Estudiantes y Graduados'!$E:$F,2,FALSE),IFERROR(VLOOKUP(D88,'11. Gestion Administrativa'!$E:$F,2,FALSE),IFERROR(VLOOKUP(D88,'13. Gestión Académica'!$E:$F,2,FALSE),IFERROR(VLOOKUP(D88,'8. Asegura. de la Calid. y M'!$E:$F,2,FALSE),IFERROR(VLOOKUP(D88,'6. Gestión del Conocimiento'!$E:$F,2,FALSE),IFERROR(VLOOKUP(D88,'15. Gobernabilidad y Proceso...'!$E:$F,2,FALSE),IFERROR(VLOOKUP(D88,'12. Gestión del Talento Humano'!$E:$F,2,FALSE),IFERROR(VLOOKUP(D88,'14. Internacional... de la E.S.'!$E:$F,2,FALSE),IFERROR(VLOOKUP(D88,'10. Posgrado'!$E:$F,2,FALSE),IFERROR(VLOOKUP(D88,'16. Desa. del Sistema Educ.Sup.'!$E:$F,2,FALSE),IFERROR(VLOOKUP(D88,'9. Cultura de Inno. Insti...'!$E:$F,2,FALSE),VLOOKUP(D88,'7. Lo Esencial de la Reforma U.'!$E:$F,2,0))))))))))))))))</f>
        <v xml:space="preserve">Gestionar equipamiento del area de enfermeria 7 escritorios, 7 sillas, 1 mesa de reuniones, 9 sillas impresora  para docentes de enfermeria. </v>
      </c>
      <c r="D89" s="31"/>
      <c r="E89" s="93"/>
      <c r="F89" s="93"/>
      <c r="G89" s="93"/>
      <c r="H89" s="76"/>
      <c r="I89" s="76"/>
      <c r="J89" s="76"/>
      <c r="K89" s="112"/>
    </row>
    <row r="90" spans="3:12">
      <c r="F90" s="93"/>
      <c r="G90" s="76"/>
      <c r="H90" s="76"/>
      <c r="I90" s="76"/>
    </row>
    <row r="91" spans="3:12" ht="30.75" thickBot="1">
      <c r="C91" s="149" t="s">
        <v>44</v>
      </c>
      <c r="D91" s="149" t="s">
        <v>55</v>
      </c>
      <c r="E91" s="149" t="s">
        <v>57</v>
      </c>
      <c r="F91" s="150" t="s">
        <v>27</v>
      </c>
      <c r="G91" s="150" t="s">
        <v>131</v>
      </c>
      <c r="H91" s="149" t="s">
        <v>46</v>
      </c>
      <c r="I91" s="149" t="s">
        <v>132</v>
      </c>
      <c r="J91" s="149" t="s">
        <v>410</v>
      </c>
      <c r="K91" s="149" t="s">
        <v>411</v>
      </c>
      <c r="L91" s="149" t="s">
        <v>464</v>
      </c>
    </row>
    <row r="92" spans="3:12" ht="15.75" thickBot="1">
      <c r="C92" s="302" t="s">
        <v>1339</v>
      </c>
      <c r="D92" s="158"/>
      <c r="E92" s="96">
        <f>HLOOKUP($C92,$CB$2:$CE$3,2,0)</f>
        <v>15000</v>
      </c>
      <c r="F92" s="97">
        <f>D92*E92</f>
        <v>0</v>
      </c>
      <c r="G92" s="165"/>
      <c r="H92" s="98" t="s">
        <v>1014</v>
      </c>
      <c r="I92" s="98" t="str">
        <f>VLOOKUP(H92,Presupuesto!$B$11:$C$565,2,0)</f>
        <v>EQUIPO DE COMPUTACION</v>
      </c>
      <c r="J92" s="218" t="s">
        <v>1441</v>
      </c>
      <c r="K92" s="98" t="s">
        <v>394</v>
      </c>
      <c r="L92" s="98"/>
    </row>
    <row r="93" spans="3:12">
      <c r="C93" s="302" t="s">
        <v>1337</v>
      </c>
      <c r="D93" s="151"/>
      <c r="E93" s="96">
        <f>HLOOKUP($C93,$CB$2:$CE$3,2,0)</f>
        <v>35000</v>
      </c>
      <c r="F93" s="97">
        <f>D93*E93</f>
        <v>0</v>
      </c>
      <c r="G93" s="165"/>
      <c r="H93" s="101" t="s">
        <v>1014</v>
      </c>
      <c r="I93" s="101" t="str">
        <f>VLOOKUP(H93,Presupuesto!$B$11:$C$565,2,0)</f>
        <v>EQUIPO DE COMPUTACION</v>
      </c>
      <c r="J93" s="98" t="str">
        <f>$J$92</f>
        <v>Posgrado</v>
      </c>
      <c r="K93" s="98" t="s">
        <v>412</v>
      </c>
      <c r="L93" s="98"/>
    </row>
    <row r="94" spans="3:12">
      <c r="C94" s="99" t="s">
        <v>74</v>
      </c>
      <c r="D94" s="151">
        <v>1</v>
      </c>
      <c r="E94" s="100">
        <v>8000</v>
      </c>
      <c r="F94" s="97">
        <f t="shared" ref="F94" si="8">D94*E94</f>
        <v>8000</v>
      </c>
      <c r="G94" s="165" t="s">
        <v>1486</v>
      </c>
      <c r="H94" s="101" t="s">
        <v>1014</v>
      </c>
      <c r="I94" s="101" t="str">
        <f>VLOOKUP(H94,Presupuesto!$B$11:$C$565,2,0)</f>
        <v>EQUIPO DE COMPUTACION</v>
      </c>
      <c r="J94" s="98" t="s">
        <v>1364</v>
      </c>
      <c r="K94" s="98" t="s">
        <v>395</v>
      </c>
      <c r="L94" s="98"/>
    </row>
    <row r="95" spans="3:12">
      <c r="F95" s="93"/>
      <c r="G95" s="76"/>
      <c r="H95" s="76"/>
      <c r="I95" s="76"/>
    </row>
    <row r="96" spans="3:12" ht="15.75" thickBot="1"/>
    <row r="97" spans="3:12" ht="15.75" thickBot="1">
      <c r="C97" s="29" t="s">
        <v>43</v>
      </c>
      <c r="D97" s="108">
        <f>SUM(F104:F106)</f>
        <v>13000</v>
      </c>
      <c r="F97" s="70"/>
      <c r="G97" s="79"/>
      <c r="H97" s="70"/>
      <c r="I97" s="70"/>
    </row>
    <row r="98" spans="3:12">
      <c r="C98" s="70"/>
      <c r="D98" s="31"/>
      <c r="E98" s="93"/>
      <c r="F98" s="93"/>
      <c r="G98" s="93"/>
      <c r="H98" s="76"/>
      <c r="I98" s="76"/>
      <c r="J98" s="76"/>
      <c r="K98" s="112"/>
    </row>
    <row r="99" spans="3:12">
      <c r="C99" s="70"/>
      <c r="D99" s="31"/>
      <c r="E99" s="93"/>
      <c r="F99" s="93"/>
      <c r="G99" s="93"/>
      <c r="H99" s="76"/>
      <c r="I99" s="76"/>
      <c r="J99" s="76"/>
      <c r="K99" s="112"/>
    </row>
    <row r="100" spans="3:12" ht="15.75">
      <c r="C100" s="202" t="s">
        <v>392</v>
      </c>
      <c r="D100" s="361" t="s">
        <v>2208</v>
      </c>
      <c r="E100" s="93"/>
      <c r="F100" s="93"/>
      <c r="G100" s="93"/>
      <c r="H100" s="76"/>
      <c r="I100" s="76"/>
      <c r="J100" s="76"/>
      <c r="K100" s="112"/>
    </row>
    <row r="101" spans="3:12" ht="18.75">
      <c r="C101" s="210" t="str">
        <f>IFERROR(VLOOKUP(D100,'1. Desarrollo e Innov. Curricu.'!$E:$F,2,FALSE),IFERROR(VLOOKUP(D100,'2. Investigación Científica'!$E:$F,2,FALSE),IFERROR(VLOOKUP(D100,'3. Vinculación Univ. Sociedad'!$E:$F,2,FALSE),IFERROR(VLOOKUP(D100,'4. Docencia y Profesorado Univ.'!$E:$F,2,FALSE),IFERROR(VLOOKUP(D100,'5. Estudiantes y Graduados'!$E:$F,2,FALSE),IFERROR(VLOOKUP(D100,'11. Gestion Administrativa'!$E:$F,2,FALSE),IFERROR(VLOOKUP(D100,'13. Gestión Académica'!$E:$F,2,FALSE),IFERROR(VLOOKUP(D100,'8. Asegura. de la Calid. y M'!$E:$F,2,FALSE),IFERROR(VLOOKUP(D100,'6. Gestión del Conocimiento'!$E:$F,2,FALSE),IFERROR(VLOOKUP(D100,'15. Gobernabilidad y Proceso...'!$E:$F,2,FALSE),IFERROR(VLOOKUP(D100,'12. Gestión del Talento Humano'!$E:$F,2,FALSE),IFERROR(VLOOKUP(D100,'14. Internacional... de la E.S.'!$E:$F,2,FALSE),IFERROR(VLOOKUP(D100,'10. Posgrado'!$E:$F,2,FALSE),IFERROR(VLOOKUP(D100,'16. Desa. del Sistema Educ.Sup.'!$E:$F,2,FALSE),IFERROR(VLOOKUP(D100,'9. Cultura de Inno. Insti...'!$E:$F,2,FALSE),VLOOKUP(D100,'7. Lo Esencial de la Reforma U.'!$E:$F,2,0))))))))))))))))</f>
        <v xml:space="preserve">Gestionar Equipamiento de la sala de maestros de agroindustria.  </v>
      </c>
      <c r="D101" s="31"/>
      <c r="E101" s="93"/>
      <c r="F101" s="93"/>
      <c r="G101" s="93"/>
      <c r="H101" s="76"/>
      <c r="I101" s="76"/>
      <c r="J101" s="76"/>
      <c r="K101" s="112"/>
    </row>
    <row r="102" spans="3:12">
      <c r="F102" s="93"/>
      <c r="G102" s="76"/>
      <c r="H102" s="76"/>
      <c r="I102" s="76"/>
    </row>
    <row r="103" spans="3:12" ht="30.75" thickBot="1">
      <c r="C103" s="149" t="s">
        <v>44</v>
      </c>
      <c r="D103" s="149" t="s">
        <v>55</v>
      </c>
      <c r="E103" s="149" t="s">
        <v>57</v>
      </c>
      <c r="F103" s="150" t="s">
        <v>27</v>
      </c>
      <c r="G103" s="150" t="s">
        <v>131</v>
      </c>
      <c r="H103" s="149" t="s">
        <v>46</v>
      </c>
      <c r="I103" s="149" t="s">
        <v>132</v>
      </c>
      <c r="J103" s="149" t="s">
        <v>410</v>
      </c>
      <c r="K103" s="149" t="s">
        <v>411</v>
      </c>
      <c r="L103" s="149" t="s">
        <v>464</v>
      </c>
    </row>
    <row r="104" spans="3:12" ht="15.75" thickBot="1">
      <c r="C104" s="302" t="s">
        <v>1339</v>
      </c>
      <c r="D104" s="158"/>
      <c r="E104" s="96">
        <f>HLOOKUP($C104,$CB$2:$CE$3,2,0)</f>
        <v>15000</v>
      </c>
      <c r="F104" s="97">
        <f>D104*E104</f>
        <v>0</v>
      </c>
      <c r="G104" s="165"/>
      <c r="H104" s="98" t="s">
        <v>1014</v>
      </c>
      <c r="I104" s="98" t="str">
        <f>VLOOKUP(H104,Presupuesto!$B$11:$C$565,2,0)</f>
        <v>EQUIPO DE COMPUTACION</v>
      </c>
      <c r="J104" s="218" t="s">
        <v>1441</v>
      </c>
      <c r="K104" s="98" t="s">
        <v>394</v>
      </c>
      <c r="L104" s="98"/>
    </row>
    <row r="105" spans="3:12">
      <c r="C105" s="302" t="s">
        <v>1337</v>
      </c>
      <c r="D105" s="151"/>
      <c r="E105" s="96">
        <f>HLOOKUP($C105,$CB$2:$CE$3,2,0)</f>
        <v>35000</v>
      </c>
      <c r="F105" s="97">
        <f>D105*E105</f>
        <v>0</v>
      </c>
      <c r="G105" s="165"/>
      <c r="H105" s="101" t="s">
        <v>1014</v>
      </c>
      <c r="I105" s="101" t="str">
        <f>VLOOKUP(H105,Presupuesto!$B$11:$C$565,2,0)</f>
        <v>EQUIPO DE COMPUTACION</v>
      </c>
      <c r="J105" s="98" t="str">
        <f>$J$104</f>
        <v>Posgrado</v>
      </c>
      <c r="K105" s="98" t="s">
        <v>412</v>
      </c>
      <c r="L105" s="98"/>
    </row>
    <row r="106" spans="3:12">
      <c r="C106" s="99" t="s">
        <v>35</v>
      </c>
      <c r="D106" s="151">
        <v>1</v>
      </c>
      <c r="E106" s="100">
        <v>13000</v>
      </c>
      <c r="F106" s="97">
        <f t="shared" ref="F106" si="9">D106*E106</f>
        <v>13000</v>
      </c>
      <c r="G106" s="165" t="s">
        <v>129</v>
      </c>
      <c r="H106" s="101" t="s">
        <v>1000</v>
      </c>
      <c r="I106" s="101" t="str">
        <f>VLOOKUP(H106,Presupuesto!$B$11:$C$565,2,0)</f>
        <v>EQUIPO DE TRANSPORTE TRACCION Y ELEVACION</v>
      </c>
      <c r="J106" s="98" t="s">
        <v>1364</v>
      </c>
      <c r="K106" s="98" t="s">
        <v>395</v>
      </c>
      <c r="L106" s="98"/>
    </row>
    <row r="108" spans="3:12" ht="15.75" thickBot="1"/>
    <row r="109" spans="3:12" ht="15.75" thickBot="1">
      <c r="C109" s="29" t="s">
        <v>43</v>
      </c>
      <c r="D109" s="108">
        <f>SUM(F116:F123)</f>
        <v>189100</v>
      </c>
      <c r="F109" s="70"/>
      <c r="G109" s="79"/>
      <c r="H109" s="70"/>
      <c r="I109" s="70"/>
    </row>
    <row r="110" spans="3:12">
      <c r="C110" s="70"/>
      <c r="D110" s="31"/>
      <c r="E110" s="93"/>
      <c r="F110" s="93"/>
      <c r="G110" s="93"/>
      <c r="H110" s="76"/>
      <c r="I110" s="76"/>
      <c r="J110" s="76"/>
      <c r="K110" s="112"/>
    </row>
    <row r="111" spans="3:12">
      <c r="C111" s="70"/>
      <c r="D111" s="31"/>
      <c r="E111" s="93"/>
      <c r="F111" s="93"/>
      <c r="G111" s="93"/>
      <c r="H111" s="76"/>
      <c r="I111" s="76"/>
      <c r="J111" s="76"/>
      <c r="K111" s="112"/>
    </row>
    <row r="112" spans="3:12" ht="15.75">
      <c r="C112" s="202" t="s">
        <v>392</v>
      </c>
      <c r="D112" s="361" t="s">
        <v>2380</v>
      </c>
      <c r="E112" s="93"/>
      <c r="F112" s="93"/>
      <c r="G112" s="93"/>
      <c r="H112" s="76"/>
      <c r="I112" s="76"/>
      <c r="J112" s="76"/>
      <c r="K112" s="112"/>
    </row>
    <row r="113" spans="3:12" ht="18.75">
      <c r="C113" s="210" t="str">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Posgrado'!$E:$F,2,FALSE),IFERROR(VLOOKUP(D112,'16. Desa. del Sistema Educ.Sup.'!$E:$F,2,FALSE),IFERROR(VLOOKUP(D112,'9. Cultura de Inno. Insti...'!$E:$F,2,FALSE),VLOOKUP(D112,'7. Lo Esencial de la Reforma U.'!$E:$F,2,0))))))))))))))))</f>
        <v xml:space="preserve">Gestionar Equipamiento area adminsitrativa, biblioteca, aula de ajedrez </v>
      </c>
      <c r="D113" s="31"/>
      <c r="E113" s="93"/>
      <c r="F113" s="93"/>
      <c r="G113" s="93"/>
      <c r="H113" s="76"/>
      <c r="I113" s="76"/>
      <c r="J113" s="76"/>
      <c r="K113" s="112"/>
    </row>
    <row r="114" spans="3:12">
      <c r="F114" s="93"/>
      <c r="G114" s="76"/>
      <c r="H114" s="76"/>
      <c r="I114" s="76"/>
    </row>
    <row r="115" spans="3:12" ht="30.75" thickBot="1">
      <c r="C115" s="149" t="s">
        <v>44</v>
      </c>
      <c r="D115" s="149" t="s">
        <v>55</v>
      </c>
      <c r="E115" s="149" t="s">
        <v>57</v>
      </c>
      <c r="F115" s="150" t="s">
        <v>27</v>
      </c>
      <c r="G115" s="150" t="s">
        <v>131</v>
      </c>
      <c r="H115" s="149" t="s">
        <v>46</v>
      </c>
      <c r="I115" s="149" t="s">
        <v>132</v>
      </c>
      <c r="J115" s="149" t="s">
        <v>410</v>
      </c>
      <c r="K115" s="149" t="s">
        <v>411</v>
      </c>
      <c r="L115" s="149" t="s">
        <v>464</v>
      </c>
    </row>
    <row r="116" spans="3:12" ht="15.75" thickBot="1">
      <c r="C116" s="302" t="s">
        <v>1339</v>
      </c>
      <c r="D116" s="158">
        <v>5</v>
      </c>
      <c r="E116" s="96">
        <f>HLOOKUP($C116,$CB$2:$CE$3,2,0)</f>
        <v>15000</v>
      </c>
      <c r="F116" s="97">
        <f>D116*E116</f>
        <v>75000</v>
      </c>
      <c r="G116" s="165" t="s">
        <v>1486</v>
      </c>
      <c r="H116" s="98" t="s">
        <v>1014</v>
      </c>
      <c r="I116" s="98" t="str">
        <f>VLOOKUP(H116,Presupuesto!$B$11:$C$565,2,0)</f>
        <v>EQUIPO DE COMPUTACION</v>
      </c>
      <c r="J116" s="218" t="s">
        <v>1364</v>
      </c>
      <c r="K116" s="98" t="s">
        <v>394</v>
      </c>
      <c r="L116" s="98"/>
    </row>
    <row r="117" spans="3:12">
      <c r="C117" s="302" t="s">
        <v>1337</v>
      </c>
      <c r="D117" s="151"/>
      <c r="E117" s="96">
        <f>HLOOKUP($C117,$CB$2:$CE$3,2,0)</f>
        <v>35000</v>
      </c>
      <c r="F117" s="97">
        <f>D117*E117</f>
        <v>0</v>
      </c>
      <c r="G117" s="628" t="s">
        <v>1486</v>
      </c>
      <c r="H117" s="101" t="s">
        <v>1014</v>
      </c>
      <c r="I117" s="101" t="str">
        <f>VLOOKUP(H117,Presupuesto!$B$11:$C$565,2,0)</f>
        <v>EQUIPO DE COMPUTACION</v>
      </c>
      <c r="J117" s="98" t="str">
        <f>$J$116</f>
        <v>Gestión Administrativa y  financiera en apoyo al Desarrollo Académico</v>
      </c>
      <c r="K117" s="98" t="s">
        <v>412</v>
      </c>
      <c r="L117" s="98"/>
    </row>
    <row r="118" spans="3:12">
      <c r="C118" s="99" t="s">
        <v>74</v>
      </c>
      <c r="D118" s="151">
        <v>6</v>
      </c>
      <c r="E118" s="100">
        <v>8000</v>
      </c>
      <c r="F118" s="97">
        <f t="shared" ref="F118:F123" si="10">D118*E118</f>
        <v>48000</v>
      </c>
      <c r="G118" s="628" t="s">
        <v>1486</v>
      </c>
      <c r="H118" s="101" t="s">
        <v>1014</v>
      </c>
      <c r="I118" s="101" t="str">
        <f>VLOOKUP(H118,Presupuesto!$B$11:$C$565,2,0)</f>
        <v>EQUIPO DE COMPUTACION</v>
      </c>
      <c r="J118" s="98" t="str">
        <f t="shared" ref="J118:J123" si="11">$J$116</f>
        <v>Gestión Administrativa y  financiera en apoyo al Desarrollo Académico</v>
      </c>
      <c r="K118" s="98" t="s">
        <v>395</v>
      </c>
      <c r="L118" s="98"/>
    </row>
    <row r="119" spans="3:12">
      <c r="C119" s="99" t="s">
        <v>2381</v>
      </c>
      <c r="D119" s="151">
        <v>1</v>
      </c>
      <c r="E119" s="100">
        <v>6500</v>
      </c>
      <c r="F119" s="97">
        <f t="shared" si="10"/>
        <v>6500</v>
      </c>
      <c r="G119" s="628" t="s">
        <v>1486</v>
      </c>
      <c r="H119" s="101" t="s">
        <v>1014</v>
      </c>
      <c r="I119" s="101" t="str">
        <f>VLOOKUP(H119,Presupuesto!$B$11:$C$565,2,0)</f>
        <v>EQUIPO DE COMPUTACION</v>
      </c>
      <c r="J119" s="98" t="str">
        <f t="shared" si="11"/>
        <v>Gestión Administrativa y  financiera en apoyo al Desarrollo Académico</v>
      </c>
      <c r="K119" s="98" t="s">
        <v>395</v>
      </c>
      <c r="L119" s="98"/>
    </row>
    <row r="120" spans="3:12">
      <c r="C120" s="99" t="s">
        <v>2382</v>
      </c>
      <c r="D120" s="151">
        <v>1</v>
      </c>
      <c r="E120" s="100">
        <v>7200</v>
      </c>
      <c r="F120" s="97">
        <f t="shared" si="10"/>
        <v>7200</v>
      </c>
      <c r="G120" s="628" t="s">
        <v>1486</v>
      </c>
      <c r="H120" s="612" t="s">
        <v>1014</v>
      </c>
      <c r="I120" s="612" t="str">
        <f>VLOOKUP(H120,Presupuesto!$B$11:$C$565,2,0)</f>
        <v>EQUIPO DE COMPUTACION</v>
      </c>
      <c r="J120" s="98" t="str">
        <f t="shared" si="11"/>
        <v>Gestión Administrativa y  financiera en apoyo al Desarrollo Académico</v>
      </c>
      <c r="K120" s="98" t="s">
        <v>395</v>
      </c>
      <c r="L120" s="98"/>
    </row>
    <row r="121" spans="3:12">
      <c r="C121" s="99" t="s">
        <v>76</v>
      </c>
      <c r="D121" s="151">
        <v>2</v>
      </c>
      <c r="E121" s="100">
        <v>15000</v>
      </c>
      <c r="F121" s="97">
        <f t="shared" si="10"/>
        <v>30000</v>
      </c>
      <c r="G121" s="628" t="s">
        <v>1486</v>
      </c>
      <c r="H121" s="101" t="s">
        <v>1000</v>
      </c>
      <c r="I121" s="101" t="str">
        <f>VLOOKUP(H121,Presupuesto!$B$11:$C$565,2,0)</f>
        <v>EQUIPO DE TRANSPORTE TRACCION Y ELEVACION</v>
      </c>
      <c r="J121" s="98" t="str">
        <f t="shared" si="11"/>
        <v>Gestión Administrativa y  financiera en apoyo al Desarrollo Académico</v>
      </c>
      <c r="K121" s="98" t="s">
        <v>395</v>
      </c>
      <c r="L121" s="98"/>
    </row>
    <row r="122" spans="3:12">
      <c r="C122" s="99" t="s">
        <v>2383</v>
      </c>
      <c r="D122" s="151">
        <v>2</v>
      </c>
      <c r="E122" s="100">
        <v>3700</v>
      </c>
      <c r="F122" s="97">
        <f t="shared" si="10"/>
        <v>7400</v>
      </c>
      <c r="G122" s="628" t="s">
        <v>1486</v>
      </c>
      <c r="H122" s="612" t="s">
        <v>1014</v>
      </c>
      <c r="I122" s="101" t="str">
        <f>VLOOKUP(H122,Presupuesto!$B$11:$C$565,2,0)</f>
        <v>EQUIPO DE COMPUTACION</v>
      </c>
      <c r="J122" s="98" t="str">
        <f t="shared" si="11"/>
        <v>Gestión Administrativa y  financiera en apoyo al Desarrollo Académico</v>
      </c>
      <c r="K122" s="98" t="s">
        <v>403</v>
      </c>
      <c r="L122" s="98"/>
    </row>
    <row r="123" spans="3:12">
      <c r="C123" s="109" t="s">
        <v>1459</v>
      </c>
      <c r="D123" s="151">
        <v>10</v>
      </c>
      <c r="E123" s="100">
        <v>1500</v>
      </c>
      <c r="F123" s="97">
        <f t="shared" si="10"/>
        <v>15000</v>
      </c>
      <c r="G123" s="628" t="s">
        <v>1486</v>
      </c>
      <c r="H123" s="110" t="s">
        <v>946</v>
      </c>
      <c r="I123" s="110" t="str">
        <f>VLOOKUP(H123,Presupuesto!$B$11:$C$565,2,0)</f>
        <v>UTILES Y MATERIALES ELECTRICOS</v>
      </c>
      <c r="J123" s="98" t="str">
        <f t="shared" si="11"/>
        <v>Gestión Administrativa y  financiera en apoyo al Desarrollo Académico</v>
      </c>
      <c r="K123" s="98" t="s">
        <v>395</v>
      </c>
      <c r="L123" s="98"/>
    </row>
    <row r="124" spans="3:12">
      <c r="F124" s="93"/>
      <c r="G124" s="76"/>
      <c r="H124" s="76"/>
      <c r="I124" s="76"/>
    </row>
    <row r="125" spans="3:12" ht="15.75" thickBot="1"/>
    <row r="126" spans="3:12" ht="15.75" thickBot="1">
      <c r="C126" s="29" t="s">
        <v>43</v>
      </c>
      <c r="D126" s="108">
        <f>SUM(F133:F146)</f>
        <v>0</v>
      </c>
      <c r="F126" s="70"/>
      <c r="G126" s="79"/>
      <c r="H126" s="70"/>
      <c r="I126" s="70"/>
    </row>
    <row r="127" spans="3:12">
      <c r="C127" s="70"/>
      <c r="D127" s="31"/>
      <c r="E127" s="93"/>
      <c r="F127" s="93"/>
      <c r="G127" s="93"/>
      <c r="H127" s="76"/>
      <c r="I127" s="76"/>
      <c r="J127" s="76"/>
      <c r="K127" s="112"/>
    </row>
    <row r="128" spans="3:12">
      <c r="C128" s="70"/>
      <c r="D128" s="31"/>
      <c r="E128" s="93"/>
      <c r="F128" s="93"/>
      <c r="G128" s="93"/>
      <c r="H128" s="76"/>
      <c r="I128" s="76"/>
      <c r="J128" s="76"/>
      <c r="K128" s="112"/>
    </row>
    <row r="129" spans="3:12" ht="15.75">
      <c r="C129" s="202" t="s">
        <v>392</v>
      </c>
      <c r="D129" s="361"/>
      <c r="E129" s="93"/>
      <c r="F129" s="93"/>
      <c r="G129" s="93"/>
      <c r="H129" s="76"/>
      <c r="I129" s="76"/>
      <c r="J129" s="76"/>
      <c r="K129" s="112"/>
    </row>
    <row r="130" spans="3:12" ht="18.75">
      <c r="C130" s="210" t="e">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Posgrado'!$E:$F,2,FALSE),IFERROR(VLOOKUP(D129,'16. Desa. del Sistema Educ.Sup.'!$E:$F,2,FALSE),IFERROR(VLOOKUP(D129,'9. Cultura de Inno. Insti...'!$E:$F,2,FALSE),VLOOKUP(D129,'7. Lo Esencial de la Reforma U.'!$E:$F,2,0))))))))))))))))</f>
        <v>#N/A</v>
      </c>
      <c r="D130" s="31"/>
      <c r="E130" s="93"/>
      <c r="F130" s="93"/>
      <c r="G130" s="93"/>
      <c r="H130" s="76"/>
      <c r="I130" s="76"/>
      <c r="J130" s="76"/>
      <c r="K130" s="112"/>
    </row>
    <row r="131" spans="3:12">
      <c r="F131" s="93"/>
      <c r="G131" s="76"/>
      <c r="H131" s="76"/>
      <c r="I131" s="76"/>
    </row>
    <row r="132" spans="3:12" ht="30.75" thickBot="1">
      <c r="C132" s="149" t="s">
        <v>44</v>
      </c>
      <c r="D132" s="149" t="s">
        <v>55</v>
      </c>
      <c r="E132" s="149" t="s">
        <v>57</v>
      </c>
      <c r="F132" s="150" t="s">
        <v>27</v>
      </c>
      <c r="G132" s="150" t="s">
        <v>131</v>
      </c>
      <c r="H132" s="149" t="s">
        <v>46</v>
      </c>
      <c r="I132" s="149" t="s">
        <v>132</v>
      </c>
      <c r="J132" s="149" t="s">
        <v>410</v>
      </c>
      <c r="K132" s="149" t="s">
        <v>411</v>
      </c>
      <c r="L132" s="149" t="s">
        <v>464</v>
      </c>
    </row>
    <row r="133" spans="3:12" ht="15.75" thickBot="1">
      <c r="C133" s="302" t="s">
        <v>1339</v>
      </c>
      <c r="D133" s="158"/>
      <c r="E133" s="96">
        <f>HLOOKUP($C133,$CB$2:$CE$3,2,0)</f>
        <v>15000</v>
      </c>
      <c r="F133" s="97">
        <f>D133*E133</f>
        <v>0</v>
      </c>
      <c r="G133" s="165"/>
      <c r="H133" s="98" t="s">
        <v>1014</v>
      </c>
      <c r="I133" s="98" t="str">
        <f>VLOOKUP(H133,Presupuesto!$B$11:$C$565,2,0)</f>
        <v>EQUIPO DE COMPUTACION</v>
      </c>
      <c r="J133" s="218" t="s">
        <v>1441</v>
      </c>
      <c r="K133" s="98" t="s">
        <v>394</v>
      </c>
      <c r="L133" s="98"/>
    </row>
    <row r="134" spans="3:12">
      <c r="C134" s="302" t="s">
        <v>1337</v>
      </c>
      <c r="D134" s="151"/>
      <c r="E134" s="96">
        <f>HLOOKUP($C134,$CB$2:$CE$3,2,0)</f>
        <v>35000</v>
      </c>
      <c r="F134" s="97">
        <f>D134*E134</f>
        <v>0</v>
      </c>
      <c r="G134" s="165"/>
      <c r="H134" s="101" t="s">
        <v>1014</v>
      </c>
      <c r="I134" s="101" t="str">
        <f>VLOOKUP(H134,Presupuesto!$B$11:$C$565,2,0)</f>
        <v>EQUIPO DE COMPUTACION</v>
      </c>
      <c r="J134" s="98" t="str">
        <f>$J$133</f>
        <v>Posgrado</v>
      </c>
      <c r="K134" s="98" t="s">
        <v>412</v>
      </c>
      <c r="L134" s="98"/>
    </row>
    <row r="135" spans="3:12">
      <c r="C135" s="99" t="s">
        <v>73</v>
      </c>
      <c r="D135" s="151"/>
      <c r="E135" s="100">
        <v>4000</v>
      </c>
      <c r="F135" s="97">
        <f t="shared" ref="F135:F146" si="12">D135*E135</f>
        <v>0</v>
      </c>
      <c r="G135" s="165"/>
      <c r="H135" s="101" t="s">
        <v>986</v>
      </c>
      <c r="I135" s="101" t="str">
        <f>VLOOKUP(H135,Presupuesto!$B$11:$C$565,2,0)</f>
        <v>EQUIPOS VARIOS DE OFICINA</v>
      </c>
      <c r="J135" s="98" t="str">
        <f t="shared" ref="J135:J146" si="13">$J$133</f>
        <v>Posgrado</v>
      </c>
      <c r="K135" s="98" t="s">
        <v>395</v>
      </c>
      <c r="L135" s="98"/>
    </row>
    <row r="136" spans="3:12">
      <c r="C136" s="99" t="s">
        <v>74</v>
      </c>
      <c r="D136" s="151"/>
      <c r="E136" s="100">
        <v>8000</v>
      </c>
      <c r="F136" s="97">
        <f t="shared" si="12"/>
        <v>0</v>
      </c>
      <c r="G136" s="165"/>
      <c r="H136" s="101" t="s">
        <v>1014</v>
      </c>
      <c r="I136" s="101" t="str">
        <f>VLOOKUP(H136,Presupuesto!$B$11:$C$565,2,0)</f>
        <v>EQUIPO DE COMPUTACION</v>
      </c>
      <c r="J136" s="98" t="str">
        <f t="shared" si="13"/>
        <v>Posgrado</v>
      </c>
      <c r="K136" s="98" t="s">
        <v>395</v>
      </c>
      <c r="L136" s="98"/>
    </row>
    <row r="137" spans="3:12">
      <c r="C137" s="99" t="s">
        <v>75</v>
      </c>
      <c r="D137" s="151"/>
      <c r="E137" s="100">
        <v>5000</v>
      </c>
      <c r="F137" s="97">
        <f t="shared" si="12"/>
        <v>0</v>
      </c>
      <c r="G137" s="165"/>
      <c r="H137" s="101" t="s">
        <v>1014</v>
      </c>
      <c r="I137" s="101" t="str">
        <f>VLOOKUP(H137,Presupuesto!$B$11:$C$565,2,0)</f>
        <v>EQUIPO DE COMPUTACION</v>
      </c>
      <c r="J137" s="98" t="str">
        <f t="shared" si="13"/>
        <v>Posgrado</v>
      </c>
      <c r="K137" s="98" t="s">
        <v>395</v>
      </c>
      <c r="L137" s="98"/>
    </row>
    <row r="138" spans="3:12">
      <c r="C138" s="99" t="s">
        <v>35</v>
      </c>
      <c r="D138" s="151"/>
      <c r="E138" s="100">
        <v>13000</v>
      </c>
      <c r="F138" s="97">
        <f t="shared" si="12"/>
        <v>0</v>
      </c>
      <c r="G138" s="165"/>
      <c r="H138" s="101" t="s">
        <v>1000</v>
      </c>
      <c r="I138" s="101" t="str">
        <f>VLOOKUP(H138,Presupuesto!$B$11:$C$565,2,0)</f>
        <v>EQUIPO DE TRANSPORTE TRACCION Y ELEVACION</v>
      </c>
      <c r="J138" s="98" t="str">
        <f t="shared" si="13"/>
        <v>Posgrado</v>
      </c>
      <c r="K138" s="98" t="s">
        <v>395</v>
      </c>
      <c r="L138" s="98"/>
    </row>
    <row r="139" spans="3:12">
      <c r="C139" s="99" t="s">
        <v>76</v>
      </c>
      <c r="D139" s="151"/>
      <c r="E139" s="100">
        <v>15000</v>
      </c>
      <c r="F139" s="97">
        <f t="shared" si="12"/>
        <v>0</v>
      </c>
      <c r="G139" s="165"/>
      <c r="H139" s="101" t="s">
        <v>1000</v>
      </c>
      <c r="I139" s="101" t="str">
        <f>VLOOKUP(H139,Presupuesto!$B$11:$C$565,2,0)</f>
        <v>EQUIPO DE TRANSPORTE TRACCION Y ELEVACION</v>
      </c>
      <c r="J139" s="98" t="str">
        <f t="shared" si="13"/>
        <v>Posgrado</v>
      </c>
      <c r="K139" s="98" t="s">
        <v>395</v>
      </c>
      <c r="L139" s="98"/>
    </row>
    <row r="140" spans="3:12">
      <c r="C140" s="99" t="s">
        <v>77</v>
      </c>
      <c r="D140" s="151"/>
      <c r="E140" s="100">
        <v>10000</v>
      </c>
      <c r="F140" s="97">
        <f t="shared" si="12"/>
        <v>0</v>
      </c>
      <c r="G140" s="165"/>
      <c r="H140" s="101" t="s">
        <v>1000</v>
      </c>
      <c r="I140" s="101" t="str">
        <f>VLOOKUP(H140,Presupuesto!$B$11:$C$565,2,0)</f>
        <v>EQUIPO DE TRANSPORTE TRACCION Y ELEVACION</v>
      </c>
      <c r="J140" s="98" t="str">
        <f t="shared" si="13"/>
        <v>Posgrado</v>
      </c>
      <c r="K140" s="98" t="s">
        <v>403</v>
      </c>
      <c r="L140" s="98"/>
    </row>
    <row r="141" spans="3:12">
      <c r="C141" s="99" t="s">
        <v>78</v>
      </c>
      <c r="D141" s="151"/>
      <c r="E141" s="100">
        <v>10000</v>
      </c>
      <c r="F141" s="97">
        <f t="shared" si="12"/>
        <v>0</v>
      </c>
      <c r="G141" s="165"/>
      <c r="H141" s="101" t="s">
        <v>1046</v>
      </c>
      <c r="I141" s="101" t="str">
        <f>VLOOKUP(H141,Presupuesto!$B$11:$C$565,2,0)</f>
        <v>APLICACIONES INFORMATICAS</v>
      </c>
      <c r="J141" s="98" t="str">
        <f t="shared" si="13"/>
        <v>Posgrado</v>
      </c>
      <c r="K141" s="98" t="s">
        <v>399</v>
      </c>
      <c r="L141" s="98"/>
    </row>
    <row r="142" spans="3:12">
      <c r="C142" s="109" t="s">
        <v>79</v>
      </c>
      <c r="D142" s="151"/>
      <c r="E142" s="100">
        <v>2000</v>
      </c>
      <c r="F142" s="97">
        <f t="shared" si="12"/>
        <v>0</v>
      </c>
      <c r="G142" s="165"/>
      <c r="H142" s="110" t="s">
        <v>1014</v>
      </c>
      <c r="I142" s="110" t="str">
        <f>VLOOKUP(H142,Presupuesto!$B$11:$C$565,2,0)</f>
        <v>EQUIPO DE COMPUTACION</v>
      </c>
      <c r="J142" s="98" t="str">
        <f t="shared" si="13"/>
        <v>Posgrado</v>
      </c>
      <c r="K142" s="98" t="s">
        <v>395</v>
      </c>
      <c r="L142" s="98"/>
    </row>
    <row r="143" spans="3:12">
      <c r="C143" s="109" t="s">
        <v>1459</v>
      </c>
      <c r="D143" s="151"/>
      <c r="E143" s="100">
        <v>1500</v>
      </c>
      <c r="F143" s="97">
        <f t="shared" si="12"/>
        <v>0</v>
      </c>
      <c r="G143" s="165"/>
      <c r="H143" s="110" t="s">
        <v>946</v>
      </c>
      <c r="I143" s="110" t="str">
        <f>VLOOKUP(H143,Presupuesto!$B$11:$C$565,2,0)</f>
        <v>UTILES Y MATERIALES ELECTRICOS</v>
      </c>
      <c r="J143" s="98" t="str">
        <f t="shared" si="13"/>
        <v>Posgrado</v>
      </c>
      <c r="K143" s="98" t="s">
        <v>395</v>
      </c>
      <c r="L143" s="98"/>
    </row>
    <row r="144" spans="3:12">
      <c r="C144" s="109" t="s">
        <v>80</v>
      </c>
      <c r="D144" s="151"/>
      <c r="E144" s="100">
        <v>1500</v>
      </c>
      <c r="F144" s="97">
        <f t="shared" si="12"/>
        <v>0</v>
      </c>
      <c r="G144" s="165"/>
      <c r="H144" s="110" t="s">
        <v>1014</v>
      </c>
      <c r="I144" s="110" t="str">
        <f>VLOOKUP(H144,Presupuesto!$B$11:$C$565,2,0)</f>
        <v>EQUIPO DE COMPUTACION</v>
      </c>
      <c r="J144" s="98" t="str">
        <f t="shared" si="13"/>
        <v>Posgrado</v>
      </c>
      <c r="K144" s="98" t="s">
        <v>395</v>
      </c>
      <c r="L144" s="98"/>
    </row>
    <row r="145" spans="3:12">
      <c r="C145" s="109" t="s">
        <v>81</v>
      </c>
      <c r="D145" s="151"/>
      <c r="E145" s="100">
        <v>500</v>
      </c>
      <c r="F145" s="97">
        <f t="shared" si="12"/>
        <v>0</v>
      </c>
      <c r="G145" s="165"/>
      <c r="H145" s="110" t="s">
        <v>955</v>
      </c>
      <c r="I145" s="110" t="str">
        <f>VLOOKUP(H145,Presupuesto!$B$11:$C$565,2,0)</f>
        <v>OTROS RESPUESTOS Y ACCESORIOS MENORES</v>
      </c>
      <c r="J145" s="98" t="str">
        <f t="shared" si="13"/>
        <v>Posgrado</v>
      </c>
      <c r="K145" s="98" t="s">
        <v>395</v>
      </c>
      <c r="L145" s="98"/>
    </row>
    <row r="146" spans="3:12" ht="15.75" thickBot="1">
      <c r="C146" s="102" t="s">
        <v>82</v>
      </c>
      <c r="D146" s="159"/>
      <c r="E146" s="104">
        <v>20</v>
      </c>
      <c r="F146" s="105">
        <f t="shared" si="12"/>
        <v>0</v>
      </c>
      <c r="G146" s="162"/>
      <c r="H146" s="106" t="s">
        <v>955</v>
      </c>
      <c r="I146" s="106" t="str">
        <f>VLOOKUP(H146,Presupuesto!$B$11:$C$565,2,0)</f>
        <v>OTROS RESPUESTOS Y ACCESORIOS MENORES</v>
      </c>
      <c r="J146" s="106" t="str">
        <f t="shared" si="13"/>
        <v>Posgrado</v>
      </c>
      <c r="K146" s="124" t="s">
        <v>394</v>
      </c>
      <c r="L146" s="124"/>
    </row>
    <row r="148" spans="3:12" ht="15.75" thickBot="1"/>
    <row r="149" spans="3:12" ht="15.75" thickBot="1">
      <c r="C149" s="29" t="s">
        <v>43</v>
      </c>
      <c r="D149" s="108">
        <f>SUM(F156:F169)</f>
        <v>0</v>
      </c>
      <c r="F149" s="70"/>
      <c r="G149" s="79"/>
      <c r="H149" s="70"/>
      <c r="I149" s="70"/>
    </row>
    <row r="150" spans="3:12">
      <c r="C150" s="70"/>
      <c r="D150" s="31"/>
      <c r="E150" s="93"/>
      <c r="F150" s="93"/>
      <c r="G150" s="93"/>
      <c r="H150" s="76"/>
      <c r="I150" s="76"/>
      <c r="J150" s="76"/>
      <c r="K150" s="112"/>
    </row>
    <row r="151" spans="3:12">
      <c r="C151" s="70"/>
      <c r="D151" s="31"/>
      <c r="E151" s="93"/>
      <c r="F151" s="93"/>
      <c r="G151" s="93"/>
      <c r="H151" s="76"/>
      <c r="I151" s="76"/>
      <c r="J151" s="76"/>
      <c r="K151" s="112"/>
    </row>
    <row r="152" spans="3:12" ht="15.75">
      <c r="C152" s="202" t="s">
        <v>392</v>
      </c>
      <c r="D152" s="361"/>
      <c r="E152" s="93"/>
      <c r="F152" s="93"/>
      <c r="G152" s="93"/>
      <c r="H152" s="76"/>
      <c r="I152" s="76"/>
      <c r="J152" s="76"/>
      <c r="K152" s="112"/>
    </row>
    <row r="153" spans="3:12" ht="18.75">
      <c r="C153" s="210" t="e">
        <f>IFERROR(VLOOKUP(D152,'1. Desarrollo e Innov. Curricu.'!$E:$F,2,FALSE),IFERROR(VLOOKUP(D152,'2. Investigación Científica'!$E:$F,2,FALSE),IFERROR(VLOOKUP(D152,'3. Vinculación Univ. Sociedad'!$E:$F,2,FALSE),IFERROR(VLOOKUP(D152,'4. Docencia y Profesorado Univ.'!$E:$F,2,FALSE),IFERROR(VLOOKUP(D152,'5. Estudiantes y Graduados'!$E:$F,2,FALSE),IFERROR(VLOOKUP(D152,'11. Gestion Administrativa'!$E:$F,2,FALSE),IFERROR(VLOOKUP(D152,'13. Gestión Académica'!$E:$F,2,FALSE),IFERROR(VLOOKUP(D152,'8. Asegura. de la Calid. y M'!$E:$F,2,FALSE),IFERROR(VLOOKUP(D152,'6. Gestión del Conocimiento'!$E:$F,2,FALSE),IFERROR(VLOOKUP(D152,'15. Gobernabilidad y Proceso...'!$E:$F,2,FALSE),IFERROR(VLOOKUP(D152,'12. Gestión del Talento Humano'!$E:$F,2,FALSE),IFERROR(VLOOKUP(D152,'14. Internacional... de la E.S.'!$E:$F,2,FALSE),IFERROR(VLOOKUP(D152,'10. Posgrado'!$E:$F,2,FALSE),IFERROR(VLOOKUP(D152,'16. Desa. del Sistema Educ.Sup.'!$E:$F,2,FALSE),IFERROR(VLOOKUP(D152,'9. Cultura de Inno. Insti...'!$E:$F,2,FALSE),VLOOKUP(D152,'7. Lo Esencial de la Reforma U.'!$E:$F,2,0))))))))))))))))</f>
        <v>#N/A</v>
      </c>
      <c r="D153" s="31"/>
      <c r="E153" s="93"/>
      <c r="F153" s="93"/>
      <c r="G153" s="93"/>
      <c r="H153" s="76"/>
      <c r="I153" s="76"/>
      <c r="J153" s="76"/>
      <c r="K153" s="112"/>
    </row>
    <row r="154" spans="3:12">
      <c r="F154" s="93"/>
      <c r="G154" s="76"/>
      <c r="H154" s="76"/>
      <c r="I154" s="76"/>
    </row>
    <row r="155" spans="3:12" ht="30.75" thickBot="1">
      <c r="C155" s="149" t="s">
        <v>44</v>
      </c>
      <c r="D155" s="149" t="s">
        <v>55</v>
      </c>
      <c r="E155" s="149" t="s">
        <v>57</v>
      </c>
      <c r="F155" s="150" t="s">
        <v>27</v>
      </c>
      <c r="G155" s="150" t="s">
        <v>131</v>
      </c>
      <c r="H155" s="149" t="s">
        <v>46</v>
      </c>
      <c r="I155" s="149" t="s">
        <v>132</v>
      </c>
      <c r="J155" s="149" t="s">
        <v>410</v>
      </c>
      <c r="K155" s="149" t="s">
        <v>411</v>
      </c>
      <c r="L155" s="149" t="s">
        <v>464</v>
      </c>
    </row>
    <row r="156" spans="3:12" ht="15.75" thickBot="1">
      <c r="C156" s="302" t="s">
        <v>1339</v>
      </c>
      <c r="D156" s="158"/>
      <c r="E156" s="96">
        <f>HLOOKUP($C156,$CB$2:$CE$3,2,0)</f>
        <v>15000</v>
      </c>
      <c r="F156" s="97">
        <f>D156*E156</f>
        <v>0</v>
      </c>
      <c r="G156" s="165"/>
      <c r="H156" s="98" t="s">
        <v>1014</v>
      </c>
      <c r="I156" s="98" t="str">
        <f>VLOOKUP(H156,Presupuesto!$B$11:$C$565,2,0)</f>
        <v>EQUIPO DE COMPUTACION</v>
      </c>
      <c r="J156" s="218" t="s">
        <v>1441</v>
      </c>
      <c r="K156" s="98" t="s">
        <v>394</v>
      </c>
      <c r="L156" s="98"/>
    </row>
    <row r="157" spans="3:12">
      <c r="C157" s="302" t="s">
        <v>1337</v>
      </c>
      <c r="D157" s="151"/>
      <c r="E157" s="96">
        <f>HLOOKUP($C157,$CB$2:$CE$3,2,0)</f>
        <v>35000</v>
      </c>
      <c r="F157" s="97">
        <f>D157*E157</f>
        <v>0</v>
      </c>
      <c r="G157" s="165"/>
      <c r="H157" s="101" t="s">
        <v>1014</v>
      </c>
      <c r="I157" s="101" t="str">
        <f>VLOOKUP(H157,Presupuesto!$B$11:$C$565,2,0)</f>
        <v>EQUIPO DE COMPUTACION</v>
      </c>
      <c r="J157" s="98" t="str">
        <f>$J$156</f>
        <v>Posgrado</v>
      </c>
      <c r="K157" s="98" t="s">
        <v>412</v>
      </c>
      <c r="L157" s="98"/>
    </row>
    <row r="158" spans="3:12">
      <c r="C158" s="99" t="s">
        <v>73</v>
      </c>
      <c r="D158" s="151"/>
      <c r="E158" s="100">
        <v>4000</v>
      </c>
      <c r="F158" s="97">
        <f t="shared" ref="F158:F169" si="14">D158*E158</f>
        <v>0</v>
      </c>
      <c r="G158" s="165"/>
      <c r="H158" s="101" t="s">
        <v>986</v>
      </c>
      <c r="I158" s="101" t="str">
        <f>VLOOKUP(H158,Presupuesto!$B$11:$C$565,2,0)</f>
        <v>EQUIPOS VARIOS DE OFICINA</v>
      </c>
      <c r="J158" s="98" t="str">
        <f t="shared" ref="J158:J169" si="15">$J$156</f>
        <v>Posgrado</v>
      </c>
      <c r="K158" s="98" t="s">
        <v>395</v>
      </c>
      <c r="L158" s="98"/>
    </row>
    <row r="159" spans="3:12">
      <c r="C159" s="99" t="s">
        <v>74</v>
      </c>
      <c r="D159" s="151"/>
      <c r="E159" s="100">
        <v>8000</v>
      </c>
      <c r="F159" s="97">
        <f t="shared" si="14"/>
        <v>0</v>
      </c>
      <c r="G159" s="165"/>
      <c r="H159" s="101" t="s">
        <v>1014</v>
      </c>
      <c r="I159" s="101" t="str">
        <f>VLOOKUP(H159,Presupuesto!$B$11:$C$565,2,0)</f>
        <v>EQUIPO DE COMPUTACION</v>
      </c>
      <c r="J159" s="98" t="str">
        <f t="shared" si="15"/>
        <v>Posgrado</v>
      </c>
      <c r="K159" s="98" t="s">
        <v>395</v>
      </c>
      <c r="L159" s="98"/>
    </row>
    <row r="160" spans="3:12">
      <c r="C160" s="99" t="s">
        <v>75</v>
      </c>
      <c r="D160" s="151"/>
      <c r="E160" s="100">
        <v>5000</v>
      </c>
      <c r="F160" s="97">
        <f t="shared" si="14"/>
        <v>0</v>
      </c>
      <c r="G160" s="165"/>
      <c r="H160" s="101" t="s">
        <v>1014</v>
      </c>
      <c r="I160" s="101" t="str">
        <f>VLOOKUP(H160,Presupuesto!$B$11:$C$565,2,0)</f>
        <v>EQUIPO DE COMPUTACION</v>
      </c>
      <c r="J160" s="98" t="str">
        <f t="shared" si="15"/>
        <v>Posgrado</v>
      </c>
      <c r="K160" s="98" t="s">
        <v>395</v>
      </c>
      <c r="L160" s="98"/>
    </row>
    <row r="161" spans="3:12">
      <c r="C161" s="99" t="s">
        <v>35</v>
      </c>
      <c r="D161" s="151"/>
      <c r="E161" s="100">
        <v>13000</v>
      </c>
      <c r="F161" s="97">
        <f t="shared" si="14"/>
        <v>0</v>
      </c>
      <c r="G161" s="165"/>
      <c r="H161" s="101" t="s">
        <v>1000</v>
      </c>
      <c r="I161" s="101" t="str">
        <f>VLOOKUP(H161,Presupuesto!$B$11:$C$565,2,0)</f>
        <v>EQUIPO DE TRANSPORTE TRACCION Y ELEVACION</v>
      </c>
      <c r="J161" s="98" t="str">
        <f t="shared" si="15"/>
        <v>Posgrado</v>
      </c>
      <c r="K161" s="98" t="s">
        <v>395</v>
      </c>
      <c r="L161" s="98"/>
    </row>
    <row r="162" spans="3:12">
      <c r="C162" s="99" t="s">
        <v>76</v>
      </c>
      <c r="D162" s="151"/>
      <c r="E162" s="100">
        <v>15000</v>
      </c>
      <c r="F162" s="97">
        <f t="shared" si="14"/>
        <v>0</v>
      </c>
      <c r="G162" s="165"/>
      <c r="H162" s="101" t="s">
        <v>1000</v>
      </c>
      <c r="I162" s="101" t="str">
        <f>VLOOKUP(H162,Presupuesto!$B$11:$C$565,2,0)</f>
        <v>EQUIPO DE TRANSPORTE TRACCION Y ELEVACION</v>
      </c>
      <c r="J162" s="98" t="str">
        <f t="shared" si="15"/>
        <v>Posgrado</v>
      </c>
      <c r="K162" s="98" t="s">
        <v>395</v>
      </c>
      <c r="L162" s="98"/>
    </row>
    <row r="163" spans="3:12">
      <c r="C163" s="99" t="s">
        <v>77</v>
      </c>
      <c r="D163" s="151"/>
      <c r="E163" s="100">
        <v>10000</v>
      </c>
      <c r="F163" s="97">
        <f t="shared" si="14"/>
        <v>0</v>
      </c>
      <c r="G163" s="165"/>
      <c r="H163" s="101" t="s">
        <v>1000</v>
      </c>
      <c r="I163" s="101" t="str">
        <f>VLOOKUP(H163,Presupuesto!$B$11:$C$565,2,0)</f>
        <v>EQUIPO DE TRANSPORTE TRACCION Y ELEVACION</v>
      </c>
      <c r="J163" s="98" t="str">
        <f t="shared" si="15"/>
        <v>Posgrado</v>
      </c>
      <c r="K163" s="98" t="s">
        <v>403</v>
      </c>
      <c r="L163" s="98"/>
    </row>
    <row r="164" spans="3:12">
      <c r="C164" s="99" t="s">
        <v>78</v>
      </c>
      <c r="D164" s="151"/>
      <c r="E164" s="100">
        <v>10000</v>
      </c>
      <c r="F164" s="97">
        <f t="shared" si="14"/>
        <v>0</v>
      </c>
      <c r="G164" s="165"/>
      <c r="H164" s="101" t="s">
        <v>1046</v>
      </c>
      <c r="I164" s="101" t="str">
        <f>VLOOKUP(H164,Presupuesto!$B$11:$C$565,2,0)</f>
        <v>APLICACIONES INFORMATICAS</v>
      </c>
      <c r="J164" s="98" t="str">
        <f t="shared" si="15"/>
        <v>Posgrado</v>
      </c>
      <c r="K164" s="98" t="s">
        <v>399</v>
      </c>
      <c r="L164" s="98"/>
    </row>
    <row r="165" spans="3:12">
      <c r="C165" s="109" t="s">
        <v>79</v>
      </c>
      <c r="D165" s="151"/>
      <c r="E165" s="100">
        <v>2000</v>
      </c>
      <c r="F165" s="97">
        <f t="shared" si="14"/>
        <v>0</v>
      </c>
      <c r="G165" s="165"/>
      <c r="H165" s="110" t="s">
        <v>1014</v>
      </c>
      <c r="I165" s="110" t="str">
        <f>VLOOKUP(H165,Presupuesto!$B$11:$C$565,2,0)</f>
        <v>EQUIPO DE COMPUTACION</v>
      </c>
      <c r="J165" s="98" t="str">
        <f t="shared" si="15"/>
        <v>Posgrado</v>
      </c>
      <c r="K165" s="98" t="s">
        <v>395</v>
      </c>
      <c r="L165" s="98"/>
    </row>
    <row r="166" spans="3:12">
      <c r="C166" s="109" t="s">
        <v>1459</v>
      </c>
      <c r="D166" s="151"/>
      <c r="E166" s="100">
        <v>1500</v>
      </c>
      <c r="F166" s="97">
        <f t="shared" si="14"/>
        <v>0</v>
      </c>
      <c r="G166" s="165"/>
      <c r="H166" s="110" t="s">
        <v>946</v>
      </c>
      <c r="I166" s="110" t="str">
        <f>VLOOKUP(H166,Presupuesto!$B$11:$C$565,2,0)</f>
        <v>UTILES Y MATERIALES ELECTRICOS</v>
      </c>
      <c r="J166" s="98" t="str">
        <f t="shared" si="15"/>
        <v>Posgrado</v>
      </c>
      <c r="K166" s="98" t="s">
        <v>395</v>
      </c>
      <c r="L166" s="98"/>
    </row>
    <row r="167" spans="3:12">
      <c r="C167" s="109" t="s">
        <v>80</v>
      </c>
      <c r="D167" s="151"/>
      <c r="E167" s="100">
        <v>1500</v>
      </c>
      <c r="F167" s="97">
        <f t="shared" si="14"/>
        <v>0</v>
      </c>
      <c r="G167" s="165"/>
      <c r="H167" s="110" t="s">
        <v>1014</v>
      </c>
      <c r="I167" s="110" t="str">
        <f>VLOOKUP(H167,Presupuesto!$B$11:$C$565,2,0)</f>
        <v>EQUIPO DE COMPUTACION</v>
      </c>
      <c r="J167" s="98" t="str">
        <f t="shared" si="15"/>
        <v>Posgrado</v>
      </c>
      <c r="K167" s="98" t="s">
        <v>395</v>
      </c>
      <c r="L167" s="98"/>
    </row>
    <row r="168" spans="3:12">
      <c r="C168" s="109" t="s">
        <v>81</v>
      </c>
      <c r="D168" s="151"/>
      <c r="E168" s="100">
        <v>500</v>
      </c>
      <c r="F168" s="97">
        <f t="shared" si="14"/>
        <v>0</v>
      </c>
      <c r="G168" s="165"/>
      <c r="H168" s="110" t="s">
        <v>955</v>
      </c>
      <c r="I168" s="110" t="str">
        <f>VLOOKUP(H168,Presupuesto!$B$11:$C$565,2,0)</f>
        <v>OTROS RESPUESTOS Y ACCESORIOS MENORES</v>
      </c>
      <c r="J168" s="98" t="str">
        <f t="shared" si="15"/>
        <v>Posgrado</v>
      </c>
      <c r="K168" s="98" t="s">
        <v>395</v>
      </c>
      <c r="L168" s="98"/>
    </row>
    <row r="169" spans="3:12" ht="15.75" thickBot="1">
      <c r="C169" s="102" t="s">
        <v>82</v>
      </c>
      <c r="D169" s="159"/>
      <c r="E169" s="104">
        <v>20</v>
      </c>
      <c r="F169" s="105">
        <f t="shared" si="14"/>
        <v>0</v>
      </c>
      <c r="G169" s="162"/>
      <c r="H169" s="106" t="s">
        <v>955</v>
      </c>
      <c r="I169" s="106" t="str">
        <f>VLOOKUP(H169,Presupuesto!$B$11:$C$565,2,0)</f>
        <v>OTROS RESPUESTOS Y ACCESORIOS MENORES</v>
      </c>
      <c r="J169" s="106" t="str">
        <f t="shared" si="15"/>
        <v>Posgrado</v>
      </c>
      <c r="K169" s="124" t="s">
        <v>394</v>
      </c>
      <c r="L169" s="124"/>
    </row>
    <row r="170" spans="3:12">
      <c r="F170" s="93"/>
      <c r="G170" s="76"/>
      <c r="H170" s="76"/>
      <c r="I170" s="76"/>
    </row>
    <row r="171" spans="3:12" ht="15.75" thickBot="1"/>
    <row r="172" spans="3:12" ht="15.75" thickBot="1">
      <c r="C172" s="29" t="s">
        <v>43</v>
      </c>
      <c r="D172" s="108">
        <f>SUM(F179:F192)</f>
        <v>0</v>
      </c>
      <c r="F172" s="70"/>
      <c r="G172" s="79"/>
      <c r="H172" s="70"/>
      <c r="I172" s="70"/>
    </row>
    <row r="173" spans="3:12">
      <c r="C173" s="70"/>
      <c r="D173" s="31"/>
      <c r="E173" s="93"/>
      <c r="F173" s="93"/>
      <c r="G173" s="93"/>
      <c r="H173" s="76"/>
      <c r="I173" s="76"/>
      <c r="J173" s="76"/>
      <c r="K173" s="112"/>
    </row>
    <row r="174" spans="3:12">
      <c r="C174" s="70"/>
      <c r="D174" s="31"/>
      <c r="E174" s="93"/>
      <c r="F174" s="93"/>
      <c r="G174" s="93"/>
      <c r="H174" s="76"/>
      <c r="I174" s="76"/>
      <c r="J174" s="76"/>
      <c r="K174" s="112"/>
    </row>
    <row r="175" spans="3:12" ht="15.75">
      <c r="C175" s="202" t="s">
        <v>392</v>
      </c>
      <c r="D175" s="361"/>
      <c r="E175" s="93"/>
      <c r="F175" s="93"/>
      <c r="G175" s="93"/>
      <c r="H175" s="76"/>
      <c r="I175" s="76"/>
      <c r="J175" s="76"/>
      <c r="K175" s="112"/>
    </row>
    <row r="176" spans="3:12" ht="18.75">
      <c r="C176" s="210" t="e">
        <f>IFERROR(VLOOKUP(D175,'1. Desarrollo e Innov. Curricu.'!$E:$F,2,FALSE),IFERROR(VLOOKUP(D175,'2. Investigación Científica'!$E:$F,2,FALSE),IFERROR(VLOOKUP(D175,'3. Vinculación Univ. Sociedad'!$E:$F,2,FALSE),IFERROR(VLOOKUP(D175,'4. Docencia y Profesorado Univ.'!$E:$F,2,FALSE),IFERROR(VLOOKUP(D175,'5. Estudiantes y Graduados'!$E:$F,2,FALSE),IFERROR(VLOOKUP(D175,'11. Gestion Administrativa'!$E:$F,2,FALSE),IFERROR(VLOOKUP(D175,'13. Gestión Académica'!$E:$F,2,FALSE),IFERROR(VLOOKUP(D175,'8. Asegura. de la Calid. y M'!$E:$F,2,FALSE),IFERROR(VLOOKUP(D175,'6. Gestión del Conocimiento'!$E:$F,2,FALSE),IFERROR(VLOOKUP(D175,'15. Gobernabilidad y Proceso...'!$E:$F,2,FALSE),IFERROR(VLOOKUP(D175,'12. Gestión del Talento Humano'!$E:$F,2,FALSE),IFERROR(VLOOKUP(D175,'14. Internacional... de la E.S.'!$E:$F,2,FALSE),IFERROR(VLOOKUP(D175,'10. Posgrado'!$E:$F,2,FALSE),IFERROR(VLOOKUP(D175,'16. Desa. del Sistema Educ.Sup.'!$E:$F,2,FALSE),IFERROR(VLOOKUP(D175,'9. Cultura de Inno. Insti...'!$E:$F,2,FALSE),VLOOKUP(D175,'7. Lo Esencial de la Reforma U.'!$E:$F,2,0))))))))))))))))</f>
        <v>#N/A</v>
      </c>
      <c r="D176" s="31"/>
      <c r="E176" s="93"/>
      <c r="F176" s="93"/>
      <c r="G176" s="93"/>
      <c r="H176" s="76"/>
      <c r="I176" s="76"/>
      <c r="J176" s="76"/>
      <c r="K176" s="112"/>
    </row>
    <row r="177" spans="3:12">
      <c r="F177" s="93"/>
      <c r="G177" s="76"/>
      <c r="H177" s="76"/>
      <c r="I177" s="76"/>
    </row>
    <row r="178" spans="3:12" ht="30.75" thickBot="1">
      <c r="C178" s="149" t="s">
        <v>44</v>
      </c>
      <c r="D178" s="149" t="s">
        <v>55</v>
      </c>
      <c r="E178" s="149" t="s">
        <v>57</v>
      </c>
      <c r="F178" s="150" t="s">
        <v>27</v>
      </c>
      <c r="G178" s="150" t="s">
        <v>131</v>
      </c>
      <c r="H178" s="149" t="s">
        <v>46</v>
      </c>
      <c r="I178" s="149" t="s">
        <v>132</v>
      </c>
      <c r="J178" s="149" t="s">
        <v>410</v>
      </c>
      <c r="K178" s="149" t="s">
        <v>411</v>
      </c>
      <c r="L178" s="149" t="s">
        <v>464</v>
      </c>
    </row>
    <row r="179" spans="3:12" ht="15.75" thickBot="1">
      <c r="C179" s="302" t="s">
        <v>1339</v>
      </c>
      <c r="D179" s="158"/>
      <c r="E179" s="96">
        <f>HLOOKUP($C179,$CB$2:$CE$3,2,0)</f>
        <v>15000</v>
      </c>
      <c r="F179" s="97">
        <f>D179*E179</f>
        <v>0</v>
      </c>
      <c r="G179" s="165"/>
      <c r="H179" s="98" t="s">
        <v>1014</v>
      </c>
      <c r="I179" s="98" t="str">
        <f>VLOOKUP(H179,Presupuesto!$B$11:$C$565,2,0)</f>
        <v>EQUIPO DE COMPUTACION</v>
      </c>
      <c r="J179" s="218" t="s">
        <v>1456</v>
      </c>
      <c r="K179" s="98" t="s">
        <v>394</v>
      </c>
      <c r="L179" s="98"/>
    </row>
    <row r="180" spans="3:12">
      <c r="C180" s="302" t="s">
        <v>1337</v>
      </c>
      <c r="D180" s="151"/>
      <c r="E180" s="96">
        <f>HLOOKUP($C180,$CB$2:$CE$3,2,0)</f>
        <v>35000</v>
      </c>
      <c r="F180" s="97">
        <f>D180*E180</f>
        <v>0</v>
      </c>
      <c r="G180" s="165"/>
      <c r="H180" s="101" t="s">
        <v>1014</v>
      </c>
      <c r="I180" s="101" t="str">
        <f>VLOOKUP(H180,Presupuesto!$B$11:$C$565,2,0)</f>
        <v>EQUIPO DE COMPUTACION</v>
      </c>
      <c r="J180" s="98" t="str">
        <f>$J$179</f>
        <v>Desarrollo del Sistema de Educación Superior</v>
      </c>
      <c r="K180" s="98" t="s">
        <v>412</v>
      </c>
      <c r="L180" s="98"/>
    </row>
    <row r="181" spans="3:12">
      <c r="C181" s="99" t="s">
        <v>73</v>
      </c>
      <c r="D181" s="151"/>
      <c r="E181" s="100">
        <v>4000</v>
      </c>
      <c r="F181" s="97">
        <f t="shared" ref="F181:F192" si="16">D181*E181</f>
        <v>0</v>
      </c>
      <c r="G181" s="165"/>
      <c r="H181" s="101" t="s">
        <v>986</v>
      </c>
      <c r="I181" s="101" t="str">
        <f>VLOOKUP(H181,Presupuesto!$B$11:$C$565,2,0)</f>
        <v>EQUIPOS VARIOS DE OFICINA</v>
      </c>
      <c r="J181" s="98" t="str">
        <f t="shared" ref="J181:J192" si="17">$J$179</f>
        <v>Desarrollo del Sistema de Educación Superior</v>
      </c>
      <c r="K181" s="98" t="s">
        <v>395</v>
      </c>
      <c r="L181" s="98"/>
    </row>
    <row r="182" spans="3:12">
      <c r="C182" s="99" t="s">
        <v>74</v>
      </c>
      <c r="D182" s="151"/>
      <c r="E182" s="100">
        <v>8000</v>
      </c>
      <c r="F182" s="97">
        <f t="shared" si="16"/>
        <v>0</v>
      </c>
      <c r="G182" s="165"/>
      <c r="H182" s="101" t="s">
        <v>1014</v>
      </c>
      <c r="I182" s="101" t="str">
        <f>VLOOKUP(H182,Presupuesto!$B$11:$C$565,2,0)</f>
        <v>EQUIPO DE COMPUTACION</v>
      </c>
      <c r="J182" s="98" t="str">
        <f t="shared" si="17"/>
        <v>Desarrollo del Sistema de Educación Superior</v>
      </c>
      <c r="K182" s="98" t="s">
        <v>395</v>
      </c>
      <c r="L182" s="98"/>
    </row>
    <row r="183" spans="3:12">
      <c r="C183" s="99" t="s">
        <v>75</v>
      </c>
      <c r="D183" s="151"/>
      <c r="E183" s="100">
        <v>5000</v>
      </c>
      <c r="F183" s="97">
        <f t="shared" si="16"/>
        <v>0</v>
      </c>
      <c r="G183" s="165"/>
      <c r="H183" s="101" t="s">
        <v>1014</v>
      </c>
      <c r="I183" s="101" t="str">
        <f>VLOOKUP(H183,Presupuesto!$B$11:$C$565,2,0)</f>
        <v>EQUIPO DE COMPUTACION</v>
      </c>
      <c r="J183" s="98" t="str">
        <f t="shared" si="17"/>
        <v>Desarrollo del Sistema de Educación Superior</v>
      </c>
      <c r="K183" s="98" t="s">
        <v>395</v>
      </c>
      <c r="L183" s="98"/>
    </row>
    <row r="184" spans="3:12">
      <c r="C184" s="99" t="s">
        <v>35</v>
      </c>
      <c r="D184" s="151"/>
      <c r="E184" s="100">
        <v>13000</v>
      </c>
      <c r="F184" s="97">
        <f t="shared" si="16"/>
        <v>0</v>
      </c>
      <c r="G184" s="165"/>
      <c r="H184" s="101" t="s">
        <v>1000</v>
      </c>
      <c r="I184" s="101" t="str">
        <f>VLOOKUP(H184,Presupuesto!$B$11:$C$565,2,0)</f>
        <v>EQUIPO DE TRANSPORTE TRACCION Y ELEVACION</v>
      </c>
      <c r="J184" s="98" t="str">
        <f t="shared" si="17"/>
        <v>Desarrollo del Sistema de Educación Superior</v>
      </c>
      <c r="K184" s="98" t="s">
        <v>395</v>
      </c>
      <c r="L184" s="98"/>
    </row>
    <row r="185" spans="3:12">
      <c r="C185" s="99" t="s">
        <v>76</v>
      </c>
      <c r="D185" s="151"/>
      <c r="E185" s="100">
        <v>15000</v>
      </c>
      <c r="F185" s="97">
        <f t="shared" si="16"/>
        <v>0</v>
      </c>
      <c r="G185" s="165"/>
      <c r="H185" s="101" t="s">
        <v>1000</v>
      </c>
      <c r="I185" s="101" t="str">
        <f>VLOOKUP(H185,Presupuesto!$B$11:$C$565,2,0)</f>
        <v>EQUIPO DE TRANSPORTE TRACCION Y ELEVACION</v>
      </c>
      <c r="J185" s="98" t="str">
        <f t="shared" si="17"/>
        <v>Desarrollo del Sistema de Educación Superior</v>
      </c>
      <c r="K185" s="98" t="s">
        <v>395</v>
      </c>
      <c r="L185" s="98"/>
    </row>
    <row r="186" spans="3:12">
      <c r="C186" s="99" t="s">
        <v>77</v>
      </c>
      <c r="D186" s="151"/>
      <c r="E186" s="100">
        <v>10000</v>
      </c>
      <c r="F186" s="97">
        <f t="shared" si="16"/>
        <v>0</v>
      </c>
      <c r="G186" s="165"/>
      <c r="H186" s="101" t="s">
        <v>1000</v>
      </c>
      <c r="I186" s="101" t="str">
        <f>VLOOKUP(H186,Presupuesto!$B$11:$C$565,2,0)</f>
        <v>EQUIPO DE TRANSPORTE TRACCION Y ELEVACION</v>
      </c>
      <c r="J186" s="98" t="str">
        <f t="shared" si="17"/>
        <v>Desarrollo del Sistema de Educación Superior</v>
      </c>
      <c r="K186" s="98" t="s">
        <v>403</v>
      </c>
      <c r="L186" s="98"/>
    </row>
    <row r="187" spans="3:12">
      <c r="C187" s="99" t="s">
        <v>78</v>
      </c>
      <c r="D187" s="151"/>
      <c r="E187" s="100">
        <v>10000</v>
      </c>
      <c r="F187" s="97">
        <f t="shared" si="16"/>
        <v>0</v>
      </c>
      <c r="G187" s="165"/>
      <c r="H187" s="101" t="s">
        <v>1046</v>
      </c>
      <c r="I187" s="101" t="str">
        <f>VLOOKUP(H187,Presupuesto!$B$11:$C$565,2,0)</f>
        <v>APLICACIONES INFORMATICAS</v>
      </c>
      <c r="J187" s="98" t="str">
        <f t="shared" si="17"/>
        <v>Desarrollo del Sistema de Educación Superior</v>
      </c>
      <c r="K187" s="98" t="s">
        <v>399</v>
      </c>
      <c r="L187" s="98"/>
    </row>
    <row r="188" spans="3:12">
      <c r="C188" s="109" t="s">
        <v>79</v>
      </c>
      <c r="D188" s="151"/>
      <c r="E188" s="100">
        <v>2000</v>
      </c>
      <c r="F188" s="97">
        <f t="shared" si="16"/>
        <v>0</v>
      </c>
      <c r="G188" s="165"/>
      <c r="H188" s="110" t="s">
        <v>1014</v>
      </c>
      <c r="I188" s="110" t="str">
        <f>VLOOKUP(H188,Presupuesto!$B$11:$C$565,2,0)</f>
        <v>EQUIPO DE COMPUTACION</v>
      </c>
      <c r="J188" s="98" t="str">
        <f t="shared" si="17"/>
        <v>Desarrollo del Sistema de Educación Superior</v>
      </c>
      <c r="K188" s="98" t="s">
        <v>395</v>
      </c>
      <c r="L188" s="98"/>
    </row>
    <row r="189" spans="3:12">
      <c r="C189" s="109" t="s">
        <v>1459</v>
      </c>
      <c r="D189" s="151"/>
      <c r="E189" s="100">
        <v>1500</v>
      </c>
      <c r="F189" s="97">
        <f t="shared" si="16"/>
        <v>0</v>
      </c>
      <c r="G189" s="165"/>
      <c r="H189" s="110" t="s">
        <v>946</v>
      </c>
      <c r="I189" s="110" t="str">
        <f>VLOOKUP(H189,Presupuesto!$B$11:$C$565,2,0)</f>
        <v>UTILES Y MATERIALES ELECTRICOS</v>
      </c>
      <c r="J189" s="98" t="str">
        <f t="shared" si="17"/>
        <v>Desarrollo del Sistema de Educación Superior</v>
      </c>
      <c r="K189" s="98" t="s">
        <v>395</v>
      </c>
      <c r="L189" s="98"/>
    </row>
    <row r="190" spans="3:12">
      <c r="C190" s="109" t="s">
        <v>80</v>
      </c>
      <c r="D190" s="151"/>
      <c r="E190" s="100">
        <v>1500</v>
      </c>
      <c r="F190" s="97">
        <f t="shared" si="16"/>
        <v>0</v>
      </c>
      <c r="G190" s="165"/>
      <c r="H190" s="110" t="s">
        <v>1014</v>
      </c>
      <c r="I190" s="110" t="str">
        <f>VLOOKUP(H190,Presupuesto!$B$11:$C$565,2,0)</f>
        <v>EQUIPO DE COMPUTACION</v>
      </c>
      <c r="J190" s="98" t="str">
        <f t="shared" si="17"/>
        <v>Desarrollo del Sistema de Educación Superior</v>
      </c>
      <c r="K190" s="98" t="s">
        <v>395</v>
      </c>
      <c r="L190" s="98"/>
    </row>
    <row r="191" spans="3:12">
      <c r="C191" s="109" t="s">
        <v>81</v>
      </c>
      <c r="D191" s="151"/>
      <c r="E191" s="100">
        <v>500</v>
      </c>
      <c r="F191" s="97">
        <f t="shared" si="16"/>
        <v>0</v>
      </c>
      <c r="G191" s="165"/>
      <c r="H191" s="110" t="s">
        <v>955</v>
      </c>
      <c r="I191" s="110" t="str">
        <f>VLOOKUP(H191,Presupuesto!$B$11:$C$565,2,0)</f>
        <v>OTROS RESPUESTOS Y ACCESORIOS MENORES</v>
      </c>
      <c r="J191" s="98" t="str">
        <f t="shared" si="17"/>
        <v>Desarrollo del Sistema de Educación Superior</v>
      </c>
      <c r="K191" s="98" t="s">
        <v>395</v>
      </c>
      <c r="L191" s="98"/>
    </row>
    <row r="192" spans="3:12" ht="15.75" thickBot="1">
      <c r="C192" s="102" t="s">
        <v>82</v>
      </c>
      <c r="D192" s="159"/>
      <c r="E192" s="104">
        <v>20</v>
      </c>
      <c r="F192" s="105">
        <f t="shared" si="16"/>
        <v>0</v>
      </c>
      <c r="G192" s="162"/>
      <c r="H192" s="106" t="s">
        <v>955</v>
      </c>
      <c r="I192" s="106" t="str">
        <f>VLOOKUP(H192,Presupuesto!$B$11:$C$565,2,0)</f>
        <v>OTROS RESPUESTOS Y ACCESORIOS MENORES</v>
      </c>
      <c r="J192" s="106" t="str">
        <f t="shared" si="17"/>
        <v>Desarrollo del Sistema de Educación Superior</v>
      </c>
      <c r="K192" s="124" t="s">
        <v>394</v>
      </c>
      <c r="L192"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42:G44 G133:G146 G156:G169 G179:G192 G17:G20 G30:G32 G54:G57 G67:G70 G80:G82 G92:G94 G104:G106 G116:G123">
      <formula1>$R$2:$S$2</formula1>
    </dataValidation>
    <dataValidation type="list" allowBlank="1" showInputMessage="1" showErrorMessage="1" errorTitle="¡Ingreso Inválido!" error="Seleccione una opción de la lista" promptTitle="Mes Requerido" prompt="Seleccione el mes en el que requiere el recurso." sqref="K133:K146 K156:K169 K179:K192 K17:K20 K30:K32 K42:K44 K54:K57 K67:K70 K80:K82 K92:K94 K104:K106 K116:K123">
      <formula1>$U$2:$AF$2</formula1>
    </dataValidation>
    <dataValidation type="list" allowBlank="1" showInputMessage="1" showErrorMessage="1" sqref="C17:C18 C30:C31 C42:C43 C54:C55 C67:C68 C80:C81 C92:C93 C104:C105 C116:C117 C133:C134 C156:C157 C179:C180">
      <formula1>$CB$2:$CE$2</formula1>
    </dataValidation>
    <dataValidation type="list" allowBlank="1" showInputMessage="1" showErrorMessage="1" errorTitle="¡Ingreso Inválido!" error="Verifique el valor ingresado" promptTitle="Objeto de Gasto" prompt="Ingrese el Objeto de Gasto" sqref="H133:H146 H156:H169 H179:H192 H17:H20 H30:H32 H42:H44 H54:H57 H67:H70 H80:H82 H92:H94 H104:H106 H116:H123">
      <formula1>$A$1:$UI$1</formula1>
    </dataValidation>
    <dataValidation type="list" allowBlank="1" showInputMessage="1" showErrorMessage="1" errorTitle="¡Ingreso Inválido!" error="Seleccione una opción de la lista." promptTitle="Dimensión Estratégica" prompt="Seleccione una opción de la lista." sqref="J43:J44 J134:J146 J157:J169 J180:J192 J18:J20 J31:J32 J55:J57 J68:J70 J81:J82 J93:J94 J105:J106 J117:J123">
      <formula1>$A$2:$P$2</formula1>
    </dataValidation>
    <dataValidation type="list" allowBlank="1" showInputMessage="1" showErrorMessage="1" errorTitle="¡Ingreso Inválido!" error="Seleccione una opción de la lista." promptTitle="Dimensión Estratégica" prompt="Seleccione una opción de la lista." sqref="J17 J30 J42 J54 J67 J80 J92 J104 J116 J133 J156 J17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603"/>
  <sheetViews>
    <sheetView showGridLines="0" topLeftCell="B4" zoomScale="90" zoomScaleNormal="90" workbookViewId="0">
      <selection activeCell="B620" sqref="B620"/>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64" t="s">
        <v>251</v>
      </c>
      <c r="B1" s="465" t="s">
        <v>252</v>
      </c>
      <c r="C1" s="462" t="s">
        <v>253</v>
      </c>
      <c r="D1" s="462" t="s">
        <v>496</v>
      </c>
      <c r="E1" s="462" t="s">
        <v>498</v>
      </c>
      <c r="F1" s="462" t="s">
        <v>500</v>
      </c>
      <c r="G1" s="462" t="s">
        <v>502</v>
      </c>
      <c r="H1" s="462" t="s">
        <v>504</v>
      </c>
      <c r="I1" s="462" t="s">
        <v>506</v>
      </c>
      <c r="J1" s="462" t="s">
        <v>254</v>
      </c>
      <c r="K1" s="462" t="s">
        <v>509</v>
      </c>
      <c r="L1" s="462" t="s">
        <v>255</v>
      </c>
      <c r="M1" s="462" t="s">
        <v>511</v>
      </c>
      <c r="N1" s="462" t="s">
        <v>513</v>
      </c>
      <c r="O1" s="462" t="s">
        <v>515</v>
      </c>
      <c r="P1" s="462" t="s">
        <v>256</v>
      </c>
      <c r="Q1" s="462" t="s">
        <v>516</v>
      </c>
      <c r="R1" s="462" t="s">
        <v>519</v>
      </c>
      <c r="S1" s="462" t="s">
        <v>257</v>
      </c>
      <c r="T1" s="462" t="s">
        <v>521</v>
      </c>
      <c r="U1" s="462" t="s">
        <v>258</v>
      </c>
      <c r="V1" s="462" t="s">
        <v>522</v>
      </c>
      <c r="W1" s="462" t="s">
        <v>523</v>
      </c>
      <c r="X1" s="462" t="s">
        <v>527</v>
      </c>
      <c r="Y1" s="462" t="s">
        <v>274</v>
      </c>
      <c r="Z1" s="462" t="s">
        <v>528</v>
      </c>
      <c r="AA1" s="462" t="s">
        <v>530</v>
      </c>
      <c r="AB1" s="462" t="s">
        <v>532</v>
      </c>
      <c r="AC1" s="462" t="s">
        <v>275</v>
      </c>
      <c r="AD1" s="462" t="s">
        <v>534</v>
      </c>
      <c r="AE1" s="462" t="s">
        <v>536</v>
      </c>
      <c r="AF1" s="462" t="s">
        <v>538</v>
      </c>
      <c r="AG1" s="462" t="s">
        <v>540</v>
      </c>
      <c r="AH1" s="462" t="s">
        <v>250</v>
      </c>
      <c r="AI1" s="462" t="s">
        <v>542</v>
      </c>
      <c r="AJ1" s="465" t="s">
        <v>259</v>
      </c>
      <c r="AK1" s="462" t="s">
        <v>544</v>
      </c>
      <c r="AL1" s="462" t="s">
        <v>260</v>
      </c>
      <c r="AM1" s="462" t="s">
        <v>546</v>
      </c>
      <c r="AN1" s="462" t="s">
        <v>548</v>
      </c>
      <c r="AO1" s="462" t="s">
        <v>261</v>
      </c>
      <c r="AP1" s="462" t="s">
        <v>550</v>
      </c>
      <c r="AQ1" s="462" t="s">
        <v>552</v>
      </c>
      <c r="AR1" s="462" t="s">
        <v>262</v>
      </c>
      <c r="AS1" s="462" t="s">
        <v>553</v>
      </c>
      <c r="AT1" s="462" t="s">
        <v>555</v>
      </c>
      <c r="AU1" s="462" t="s">
        <v>556</v>
      </c>
      <c r="AV1" s="462" t="s">
        <v>557</v>
      </c>
      <c r="AW1" s="462" t="s">
        <v>559</v>
      </c>
      <c r="AX1" s="462" t="s">
        <v>561</v>
      </c>
      <c r="AY1" s="462" t="s">
        <v>562</v>
      </c>
      <c r="AZ1" s="462" t="s">
        <v>263</v>
      </c>
      <c r="BA1" s="462" t="s">
        <v>564</v>
      </c>
      <c r="BB1" s="462" t="s">
        <v>566</v>
      </c>
      <c r="BC1" s="462" t="s">
        <v>568</v>
      </c>
      <c r="BD1" s="462" t="s">
        <v>570</v>
      </c>
      <c r="BE1" s="462" t="s">
        <v>572</v>
      </c>
      <c r="BF1" s="462" t="s">
        <v>574</v>
      </c>
      <c r="BG1" s="462" t="s">
        <v>576</v>
      </c>
      <c r="BH1" s="462" t="s">
        <v>578</v>
      </c>
      <c r="BI1" s="462" t="s">
        <v>276</v>
      </c>
      <c r="BJ1" s="462" t="s">
        <v>580</v>
      </c>
      <c r="BK1" s="462" t="s">
        <v>582</v>
      </c>
      <c r="BL1" s="462" t="s">
        <v>584</v>
      </c>
      <c r="BM1" s="462" t="s">
        <v>586</v>
      </c>
      <c r="BN1" s="462" t="s">
        <v>588</v>
      </c>
      <c r="BO1" s="462" t="s">
        <v>590</v>
      </c>
      <c r="BP1" s="462" t="s">
        <v>592</v>
      </c>
      <c r="BQ1" s="462" t="s">
        <v>594</v>
      </c>
      <c r="BR1" s="462" t="s">
        <v>596</v>
      </c>
      <c r="BS1" s="462" t="s">
        <v>598</v>
      </c>
      <c r="BT1" s="465" t="s">
        <v>264</v>
      </c>
      <c r="BU1" s="462" t="s">
        <v>265</v>
      </c>
      <c r="BV1" s="462" t="s">
        <v>600</v>
      </c>
      <c r="BW1" s="462" t="s">
        <v>266</v>
      </c>
      <c r="BX1" s="462" t="s">
        <v>602</v>
      </c>
      <c r="BY1" s="462" t="s">
        <v>604</v>
      </c>
      <c r="BZ1" s="465" t="s">
        <v>267</v>
      </c>
      <c r="CA1" s="462" t="s">
        <v>268</v>
      </c>
      <c r="CB1" s="462" t="s">
        <v>606</v>
      </c>
      <c r="CC1" s="462" t="s">
        <v>269</v>
      </c>
      <c r="CD1" s="462" t="s">
        <v>608</v>
      </c>
      <c r="CE1" s="462" t="s">
        <v>610</v>
      </c>
      <c r="CF1" s="462" t="s">
        <v>612</v>
      </c>
      <c r="CG1" s="465" t="s">
        <v>270</v>
      </c>
      <c r="CH1" s="462" t="s">
        <v>618</v>
      </c>
      <c r="CI1" s="462" t="s">
        <v>620</v>
      </c>
      <c r="CJ1" s="462" t="s">
        <v>271</v>
      </c>
      <c r="CK1" s="462" t="s">
        <v>614</v>
      </c>
      <c r="CL1" s="462" t="s">
        <v>616</v>
      </c>
      <c r="CM1" s="462" t="s">
        <v>272</v>
      </c>
      <c r="CN1" s="462" t="s">
        <v>622</v>
      </c>
      <c r="CO1" s="462" t="s">
        <v>273</v>
      </c>
      <c r="CP1" s="462" t="s">
        <v>623</v>
      </c>
      <c r="CQ1" s="461" t="s">
        <v>277</v>
      </c>
      <c r="CR1" s="465" t="s">
        <v>278</v>
      </c>
      <c r="CS1" s="462" t="s">
        <v>624</v>
      </c>
      <c r="CT1" s="462" t="s">
        <v>625</v>
      </c>
      <c r="CU1" s="462" t="s">
        <v>627</v>
      </c>
      <c r="CV1" s="462" t="s">
        <v>279</v>
      </c>
      <c r="CW1" s="462" t="s">
        <v>629</v>
      </c>
      <c r="CX1" s="462" t="s">
        <v>631</v>
      </c>
      <c r="CY1" s="462" t="s">
        <v>633</v>
      </c>
      <c r="CZ1" s="462" t="s">
        <v>635</v>
      </c>
      <c r="DA1" s="462" t="s">
        <v>637</v>
      </c>
      <c r="DB1" s="462" t="s">
        <v>639</v>
      </c>
      <c r="DC1" s="465" t="s">
        <v>280</v>
      </c>
      <c r="DD1" s="462" t="s">
        <v>281</v>
      </c>
      <c r="DE1" s="462" t="s">
        <v>641</v>
      </c>
      <c r="DF1" s="462" t="s">
        <v>282</v>
      </c>
      <c r="DG1" s="462" t="s">
        <v>643</v>
      </c>
      <c r="DH1" s="462" t="s">
        <v>645</v>
      </c>
      <c r="DI1" s="462" t="s">
        <v>647</v>
      </c>
      <c r="DJ1" s="462" t="s">
        <v>649</v>
      </c>
      <c r="DK1" s="462" t="s">
        <v>651</v>
      </c>
      <c r="DL1" s="462" t="s">
        <v>653</v>
      </c>
      <c r="DM1" s="462" t="s">
        <v>655</v>
      </c>
      <c r="DN1" s="462" t="s">
        <v>283</v>
      </c>
      <c r="DO1" s="462" t="s">
        <v>657</v>
      </c>
      <c r="DP1" s="462" t="s">
        <v>659</v>
      </c>
      <c r="DQ1" s="462" t="s">
        <v>661</v>
      </c>
      <c r="DR1" s="465" t="s">
        <v>284</v>
      </c>
      <c r="DS1" s="462" t="s">
        <v>663</v>
      </c>
      <c r="DT1" s="462" t="s">
        <v>285</v>
      </c>
      <c r="DU1" s="462" t="s">
        <v>665</v>
      </c>
      <c r="DV1" s="462" t="s">
        <v>286</v>
      </c>
      <c r="DW1" s="462" t="s">
        <v>667</v>
      </c>
      <c r="DX1" s="462" t="s">
        <v>669</v>
      </c>
      <c r="DY1" s="462" t="s">
        <v>671</v>
      </c>
      <c r="DZ1" s="462" t="s">
        <v>673</v>
      </c>
      <c r="EA1" s="462" t="s">
        <v>675</v>
      </c>
      <c r="EB1" s="462" t="s">
        <v>677</v>
      </c>
      <c r="EC1" s="462" t="s">
        <v>679</v>
      </c>
      <c r="ED1" s="462" t="s">
        <v>681</v>
      </c>
      <c r="EE1" s="462" t="s">
        <v>683</v>
      </c>
      <c r="EF1" s="462" t="s">
        <v>685</v>
      </c>
      <c r="EG1" s="462" t="s">
        <v>687</v>
      </c>
      <c r="EH1" s="465" t="s">
        <v>287</v>
      </c>
      <c r="EI1" s="462" t="s">
        <v>689</v>
      </c>
      <c r="EJ1" s="462" t="s">
        <v>288</v>
      </c>
      <c r="EK1" s="462" t="s">
        <v>691</v>
      </c>
      <c r="EL1" s="462" t="s">
        <v>693</v>
      </c>
      <c r="EM1" s="462" t="s">
        <v>289</v>
      </c>
      <c r="EN1" s="462" t="s">
        <v>695</v>
      </c>
      <c r="EO1" s="462" t="s">
        <v>697</v>
      </c>
      <c r="EP1" s="462" t="s">
        <v>290</v>
      </c>
      <c r="EQ1" s="462" t="s">
        <v>699</v>
      </c>
      <c r="ER1" s="462" t="s">
        <v>701</v>
      </c>
      <c r="ES1" s="462" t="s">
        <v>703</v>
      </c>
      <c r="ET1" s="462" t="s">
        <v>291</v>
      </c>
      <c r="EU1" s="462" t="s">
        <v>705</v>
      </c>
      <c r="EV1" s="462" t="s">
        <v>707</v>
      </c>
      <c r="EW1" s="465" t="s">
        <v>292</v>
      </c>
      <c r="EX1" s="462" t="s">
        <v>293</v>
      </c>
      <c r="EY1" s="462" t="s">
        <v>709</v>
      </c>
      <c r="EZ1" s="462" t="s">
        <v>711</v>
      </c>
      <c r="FA1" s="462" t="s">
        <v>713</v>
      </c>
      <c r="FB1" s="462" t="s">
        <v>715</v>
      </c>
      <c r="FC1" s="462" t="s">
        <v>294</v>
      </c>
      <c r="FD1" s="462" t="s">
        <v>717</v>
      </c>
      <c r="FE1" s="462" t="s">
        <v>719</v>
      </c>
      <c r="FF1" s="462" t="s">
        <v>721</v>
      </c>
      <c r="FG1" s="462" t="s">
        <v>723</v>
      </c>
      <c r="FH1" s="462" t="s">
        <v>725</v>
      </c>
      <c r="FI1" s="462" t="s">
        <v>295</v>
      </c>
      <c r="FJ1" s="462" t="s">
        <v>728</v>
      </c>
      <c r="FK1" s="462" t="s">
        <v>296</v>
      </c>
      <c r="FL1" s="462" t="s">
        <v>731</v>
      </c>
      <c r="FM1" s="462" t="s">
        <v>732</v>
      </c>
      <c r="FN1" s="462" t="s">
        <v>734</v>
      </c>
      <c r="FO1" s="462" t="s">
        <v>297</v>
      </c>
      <c r="FP1" s="462" t="s">
        <v>737</v>
      </c>
      <c r="FQ1" s="462" t="s">
        <v>738</v>
      </c>
      <c r="FR1" s="462" t="s">
        <v>740</v>
      </c>
      <c r="FS1" s="462" t="s">
        <v>298</v>
      </c>
      <c r="FT1" s="462" t="s">
        <v>743</v>
      </c>
      <c r="FU1" s="462" t="s">
        <v>745</v>
      </c>
      <c r="FV1" s="462" t="s">
        <v>747</v>
      </c>
      <c r="FW1" s="465" t="s">
        <v>299</v>
      </c>
      <c r="FX1" s="465" t="s">
        <v>300</v>
      </c>
      <c r="FY1" s="462" t="s">
        <v>306</v>
      </c>
      <c r="FZ1" s="462" t="s">
        <v>749</v>
      </c>
      <c r="GA1" s="462" t="s">
        <v>751</v>
      </c>
      <c r="GB1" s="462" t="s">
        <v>753</v>
      </c>
      <c r="GC1" s="462" t="s">
        <v>755</v>
      </c>
      <c r="GD1" s="462" t="s">
        <v>757</v>
      </c>
      <c r="GE1" s="462" t="s">
        <v>759</v>
      </c>
      <c r="GF1" s="465" t="s">
        <v>301</v>
      </c>
      <c r="GG1" s="462" t="s">
        <v>307</v>
      </c>
      <c r="GH1" s="462" t="s">
        <v>761</v>
      </c>
      <c r="GI1" s="462" t="s">
        <v>763</v>
      </c>
      <c r="GJ1" s="462" t="s">
        <v>764</v>
      </c>
      <c r="GK1" s="462" t="s">
        <v>308</v>
      </c>
      <c r="GL1" s="462" t="s">
        <v>767</v>
      </c>
      <c r="GM1" s="462" t="s">
        <v>768</v>
      </c>
      <c r="GN1" s="465" t="s">
        <v>302</v>
      </c>
      <c r="GO1" s="462" t="s">
        <v>303</v>
      </c>
      <c r="GP1" s="462" t="s">
        <v>770</v>
      </c>
      <c r="GQ1" s="462" t="s">
        <v>772</v>
      </c>
      <c r="GR1" s="462" t="s">
        <v>774</v>
      </c>
      <c r="GS1" s="462" t="s">
        <v>776</v>
      </c>
      <c r="GT1" s="462" t="s">
        <v>778</v>
      </c>
      <c r="GU1" s="465" t="s">
        <v>304</v>
      </c>
      <c r="GV1" s="462" t="s">
        <v>305</v>
      </c>
      <c r="GW1" s="462" t="s">
        <v>780</v>
      </c>
      <c r="GX1" s="462" t="s">
        <v>782</v>
      </c>
      <c r="GY1" s="462" t="s">
        <v>784</v>
      </c>
      <c r="GZ1" s="462" t="s">
        <v>786</v>
      </c>
      <c r="HA1" s="462" t="s">
        <v>788</v>
      </c>
      <c r="HB1" s="462" t="s">
        <v>790</v>
      </c>
      <c r="HC1" s="461" t="s">
        <v>309</v>
      </c>
      <c r="HD1" s="465" t="s">
        <v>310</v>
      </c>
      <c r="HE1" s="462" t="s">
        <v>311</v>
      </c>
      <c r="HF1" s="462" t="s">
        <v>792</v>
      </c>
      <c r="HG1" s="462" t="s">
        <v>794</v>
      </c>
      <c r="HH1" s="462" t="s">
        <v>796</v>
      </c>
      <c r="HI1" s="462" t="s">
        <v>798</v>
      </c>
      <c r="HJ1" s="462" t="s">
        <v>312</v>
      </c>
      <c r="HK1" s="462" t="s">
        <v>801</v>
      </c>
      <c r="HL1" s="462" t="s">
        <v>329</v>
      </c>
      <c r="HM1" s="462" t="s">
        <v>839</v>
      </c>
      <c r="HN1" s="462" t="s">
        <v>841</v>
      </c>
      <c r="HO1" s="462" t="s">
        <v>843</v>
      </c>
      <c r="HP1" s="465" t="s">
        <v>313</v>
      </c>
      <c r="HQ1" s="462" t="s">
        <v>803</v>
      </c>
      <c r="HR1" s="462" t="s">
        <v>805</v>
      </c>
      <c r="HS1" s="462" t="s">
        <v>314</v>
      </c>
      <c r="HT1" s="462" t="s">
        <v>808</v>
      </c>
      <c r="HU1" s="462" t="s">
        <v>810</v>
      </c>
      <c r="HV1" s="462" t="s">
        <v>811</v>
      </c>
      <c r="HW1" s="462" t="s">
        <v>813</v>
      </c>
      <c r="HX1" s="465" t="s">
        <v>315</v>
      </c>
      <c r="HY1" s="462" t="s">
        <v>815</v>
      </c>
      <c r="HZ1" s="462" t="s">
        <v>817</v>
      </c>
      <c r="IA1" s="462" t="s">
        <v>819</v>
      </c>
      <c r="IB1" s="462" t="s">
        <v>316</v>
      </c>
      <c r="IC1" s="462" t="s">
        <v>821</v>
      </c>
      <c r="ID1" s="462" t="s">
        <v>823</v>
      </c>
      <c r="IE1" s="462" t="s">
        <v>317</v>
      </c>
      <c r="IF1" s="462" t="s">
        <v>825</v>
      </c>
      <c r="IG1" s="462" t="s">
        <v>827</v>
      </c>
      <c r="IH1" s="462" t="s">
        <v>318</v>
      </c>
      <c r="II1" s="462" t="s">
        <v>829</v>
      </c>
      <c r="IJ1" s="462" t="s">
        <v>831</v>
      </c>
      <c r="IK1" s="462" t="s">
        <v>833</v>
      </c>
      <c r="IL1" s="462" t="s">
        <v>835</v>
      </c>
      <c r="IM1" s="462" t="s">
        <v>319</v>
      </c>
      <c r="IN1" s="462" t="s">
        <v>837</v>
      </c>
      <c r="IO1" s="465" t="s">
        <v>320</v>
      </c>
      <c r="IP1" s="462" t="s">
        <v>845</v>
      </c>
      <c r="IQ1" s="462" t="s">
        <v>847</v>
      </c>
      <c r="IR1" s="462" t="s">
        <v>321</v>
      </c>
      <c r="IS1" s="462" t="s">
        <v>849</v>
      </c>
      <c r="IT1" s="462" t="s">
        <v>851</v>
      </c>
      <c r="IU1" s="462" t="s">
        <v>853</v>
      </c>
      <c r="IV1" s="465" t="s">
        <v>322</v>
      </c>
      <c r="IW1" s="462" t="s">
        <v>855</v>
      </c>
      <c r="IX1" s="462" t="s">
        <v>323</v>
      </c>
      <c r="IY1" s="462" t="s">
        <v>858</v>
      </c>
      <c r="IZ1" s="462" t="s">
        <v>860</v>
      </c>
      <c r="JA1" s="462" t="s">
        <v>862</v>
      </c>
      <c r="JB1" s="462" t="s">
        <v>864</v>
      </c>
      <c r="JC1" s="462" t="s">
        <v>866</v>
      </c>
      <c r="JD1" s="462" t="s">
        <v>868</v>
      </c>
      <c r="JE1" s="462" t="s">
        <v>324</v>
      </c>
      <c r="JF1" s="462" t="s">
        <v>871</v>
      </c>
      <c r="JG1" s="462" t="s">
        <v>873</v>
      </c>
      <c r="JH1" s="462" t="s">
        <v>875</v>
      </c>
      <c r="JI1" s="462" t="s">
        <v>877</v>
      </c>
      <c r="JJ1" s="462" t="s">
        <v>879</v>
      </c>
      <c r="JK1" s="462" t="s">
        <v>881</v>
      </c>
      <c r="JL1" s="462" t="s">
        <v>883</v>
      </c>
      <c r="JM1" s="462" t="s">
        <v>885</v>
      </c>
      <c r="JN1" s="462" t="s">
        <v>325</v>
      </c>
      <c r="JO1" s="462" t="s">
        <v>888</v>
      </c>
      <c r="JP1" s="462" t="s">
        <v>890</v>
      </c>
      <c r="JQ1" s="462" t="s">
        <v>892</v>
      </c>
      <c r="JR1" s="462" t="s">
        <v>894</v>
      </c>
      <c r="JS1" s="462" t="s">
        <v>895</v>
      </c>
      <c r="JT1" s="462" t="s">
        <v>897</v>
      </c>
      <c r="JU1" s="462" t="s">
        <v>899</v>
      </c>
      <c r="JV1" s="462" t="s">
        <v>901</v>
      </c>
      <c r="JW1" s="462" t="s">
        <v>903</v>
      </c>
      <c r="JX1" s="462" t="s">
        <v>905</v>
      </c>
      <c r="JY1" s="462" t="s">
        <v>907</v>
      </c>
      <c r="JZ1" s="462" t="s">
        <v>909</v>
      </c>
      <c r="KA1" s="462" t="s">
        <v>911</v>
      </c>
      <c r="KB1" s="462" t="s">
        <v>913</v>
      </c>
      <c r="KC1" s="462" t="s">
        <v>915</v>
      </c>
      <c r="KD1" s="462" t="s">
        <v>917</v>
      </c>
      <c r="KE1" s="462" t="s">
        <v>919</v>
      </c>
      <c r="KF1" s="462" t="s">
        <v>921</v>
      </c>
      <c r="KG1" s="462" t="s">
        <v>923</v>
      </c>
      <c r="KH1" s="462" t="s">
        <v>925</v>
      </c>
      <c r="KI1" s="462" t="s">
        <v>927</v>
      </c>
      <c r="KJ1" s="462" t="s">
        <v>929</v>
      </c>
      <c r="KK1" s="462" t="s">
        <v>931</v>
      </c>
      <c r="KL1" s="462" t="s">
        <v>933</v>
      </c>
      <c r="KM1" s="462" t="s">
        <v>935</v>
      </c>
      <c r="KN1" s="462" t="s">
        <v>937</v>
      </c>
      <c r="KO1" s="465" t="s">
        <v>326</v>
      </c>
      <c r="KP1" s="462" t="s">
        <v>939</v>
      </c>
      <c r="KQ1" s="462" t="s">
        <v>327</v>
      </c>
      <c r="KR1" s="462" t="s">
        <v>942</v>
      </c>
      <c r="KS1" s="462" t="s">
        <v>944</v>
      </c>
      <c r="KT1" s="462" t="s">
        <v>946</v>
      </c>
      <c r="KU1" s="462" t="s">
        <v>948</v>
      </c>
      <c r="KV1" s="462" t="s">
        <v>328</v>
      </c>
      <c r="KW1" s="462" t="s">
        <v>951</v>
      </c>
      <c r="KX1" s="462" t="s">
        <v>953</v>
      </c>
      <c r="KY1" s="462" t="s">
        <v>955</v>
      </c>
      <c r="KZ1" s="462" t="s">
        <v>957</v>
      </c>
      <c r="LA1" s="462" t="s">
        <v>959</v>
      </c>
      <c r="LB1" s="462" t="s">
        <v>961</v>
      </c>
      <c r="LC1" s="462" t="s">
        <v>963</v>
      </c>
      <c r="LD1" s="461" t="s">
        <v>330</v>
      </c>
      <c r="LE1" s="465" t="s">
        <v>331</v>
      </c>
      <c r="LF1" s="462" t="s">
        <v>332</v>
      </c>
      <c r="LG1" s="462" t="s">
        <v>346</v>
      </c>
      <c r="LH1" s="462" t="s">
        <v>965</v>
      </c>
      <c r="LI1" s="462" t="s">
        <v>967</v>
      </c>
      <c r="LJ1" s="462" t="s">
        <v>969</v>
      </c>
      <c r="LK1" s="462" t="s">
        <v>971</v>
      </c>
      <c r="LL1" s="462" t="s">
        <v>347</v>
      </c>
      <c r="LM1" s="462" t="s">
        <v>973</v>
      </c>
      <c r="LN1" s="462" t="s">
        <v>348</v>
      </c>
      <c r="LO1" s="462" t="s">
        <v>975</v>
      </c>
      <c r="LP1" s="462" t="s">
        <v>333</v>
      </c>
      <c r="LQ1" s="462" t="s">
        <v>977</v>
      </c>
      <c r="LR1" s="462" t="s">
        <v>349</v>
      </c>
      <c r="LS1" s="462" t="s">
        <v>979</v>
      </c>
      <c r="LT1" s="462" t="s">
        <v>981</v>
      </c>
      <c r="LU1" s="462" t="s">
        <v>350</v>
      </c>
      <c r="LV1" s="465" t="s">
        <v>334</v>
      </c>
      <c r="LW1" s="462" t="s">
        <v>335</v>
      </c>
      <c r="LX1" s="462" t="s">
        <v>983</v>
      </c>
      <c r="LY1" s="462" t="s">
        <v>985</v>
      </c>
      <c r="LZ1" s="462" t="s">
        <v>986</v>
      </c>
      <c r="MA1" s="462" t="s">
        <v>988</v>
      </c>
      <c r="MB1" s="462" t="s">
        <v>989</v>
      </c>
      <c r="MC1" s="462" t="s">
        <v>991</v>
      </c>
      <c r="MD1" s="462" t="s">
        <v>993</v>
      </c>
      <c r="ME1" s="462" t="s">
        <v>995</v>
      </c>
      <c r="MF1" s="462" t="s">
        <v>997</v>
      </c>
      <c r="MG1" s="462" t="s">
        <v>336</v>
      </c>
      <c r="MH1" s="462" t="s">
        <v>1000</v>
      </c>
      <c r="MI1" s="462" t="s">
        <v>1001</v>
      </c>
      <c r="MJ1" s="462" t="s">
        <v>1003</v>
      </c>
      <c r="MK1" s="462" t="s">
        <v>337</v>
      </c>
      <c r="ML1" s="462" t="s">
        <v>1006</v>
      </c>
      <c r="MM1" s="462" t="s">
        <v>1007</v>
      </c>
      <c r="MN1" s="462" t="s">
        <v>1009</v>
      </c>
      <c r="MO1" s="462" t="s">
        <v>1011</v>
      </c>
      <c r="MP1" s="462" t="s">
        <v>338</v>
      </c>
      <c r="MQ1" s="462" t="s">
        <v>1014</v>
      </c>
      <c r="MR1" s="462" t="s">
        <v>1016</v>
      </c>
      <c r="MS1" s="462" t="s">
        <v>1018</v>
      </c>
      <c r="MT1" s="462" t="s">
        <v>1020</v>
      </c>
      <c r="MU1" s="462" t="s">
        <v>339</v>
      </c>
      <c r="MV1" s="462" t="s">
        <v>1023</v>
      </c>
      <c r="MW1" s="462" t="s">
        <v>1025</v>
      </c>
      <c r="MX1" s="462" t="s">
        <v>1027</v>
      </c>
      <c r="MY1" s="462" t="s">
        <v>1029</v>
      </c>
      <c r="MZ1" s="462" t="s">
        <v>1031</v>
      </c>
      <c r="NA1" s="462" t="s">
        <v>1033</v>
      </c>
      <c r="NB1" s="462" t="s">
        <v>1035</v>
      </c>
      <c r="NC1" s="462" t="s">
        <v>1037</v>
      </c>
      <c r="ND1" s="462" t="s">
        <v>1039</v>
      </c>
      <c r="NE1" s="462" t="s">
        <v>1041</v>
      </c>
      <c r="NF1" s="462" t="s">
        <v>1043</v>
      </c>
      <c r="NG1" s="462" t="s">
        <v>1044</v>
      </c>
      <c r="NH1" s="465" t="s">
        <v>340</v>
      </c>
      <c r="NI1" s="462" t="s">
        <v>341</v>
      </c>
      <c r="NJ1" s="462" t="s">
        <v>1046</v>
      </c>
      <c r="NK1" s="462" t="s">
        <v>1048</v>
      </c>
      <c r="NL1" s="462" t="s">
        <v>1050</v>
      </c>
      <c r="NM1" s="462" t="s">
        <v>1052</v>
      </c>
      <c r="NN1" s="465" t="s">
        <v>342</v>
      </c>
      <c r="NO1" s="462" t="s">
        <v>343</v>
      </c>
      <c r="NP1" s="462" t="s">
        <v>1053</v>
      </c>
      <c r="NQ1" s="462" t="s">
        <v>344</v>
      </c>
      <c r="NR1" s="462" t="s">
        <v>1055</v>
      </c>
      <c r="NS1" s="462" t="s">
        <v>1057</v>
      </c>
      <c r="NT1" s="462" t="s">
        <v>345</v>
      </c>
      <c r="NU1" s="462" t="s">
        <v>1059</v>
      </c>
      <c r="NV1" s="461" t="s">
        <v>351</v>
      </c>
      <c r="NW1" s="465" t="s">
        <v>352</v>
      </c>
      <c r="NX1" s="462" t="s">
        <v>353</v>
      </c>
      <c r="NY1" s="462" t="s">
        <v>1062</v>
      </c>
      <c r="NZ1" s="462" t="s">
        <v>1064</v>
      </c>
      <c r="OA1" s="462" t="s">
        <v>354</v>
      </c>
      <c r="OB1" s="462" t="s">
        <v>364</v>
      </c>
      <c r="OC1" s="462" t="s">
        <v>1066</v>
      </c>
      <c r="OD1" s="462" t="s">
        <v>1068</v>
      </c>
      <c r="OE1" s="462" t="s">
        <v>1070</v>
      </c>
      <c r="OF1" s="462" t="s">
        <v>1072</v>
      </c>
      <c r="OG1" s="462" t="s">
        <v>1074</v>
      </c>
      <c r="OH1" s="462" t="s">
        <v>1076</v>
      </c>
      <c r="OI1" s="462" t="s">
        <v>1078</v>
      </c>
      <c r="OJ1" s="462" t="s">
        <v>1080</v>
      </c>
      <c r="OK1" s="462" t="s">
        <v>1082</v>
      </c>
      <c r="OL1" s="462" t="s">
        <v>1084</v>
      </c>
      <c r="OM1" s="462" t="s">
        <v>1086</v>
      </c>
      <c r="ON1" s="462" t="s">
        <v>1088</v>
      </c>
      <c r="OO1" s="462" t="s">
        <v>1090</v>
      </c>
      <c r="OP1" s="462" t="s">
        <v>1092</v>
      </c>
      <c r="OQ1" s="462" t="s">
        <v>1094</v>
      </c>
      <c r="OR1" s="462" t="s">
        <v>1096</v>
      </c>
      <c r="OS1" s="462" t="s">
        <v>1098</v>
      </c>
      <c r="OT1" s="462" t="s">
        <v>1100</v>
      </c>
      <c r="OU1" s="462" t="s">
        <v>1102</v>
      </c>
      <c r="OV1" s="462" t="s">
        <v>1104</v>
      </c>
      <c r="OW1" s="462" t="s">
        <v>1106</v>
      </c>
      <c r="OX1" s="462" t="s">
        <v>1108</v>
      </c>
      <c r="OY1" s="462" t="s">
        <v>365</v>
      </c>
      <c r="OZ1" s="462" t="s">
        <v>1111</v>
      </c>
      <c r="PA1" s="462" t="s">
        <v>1113</v>
      </c>
      <c r="PB1" s="462" t="s">
        <v>1114</v>
      </c>
      <c r="PC1" s="462" t="s">
        <v>1116</v>
      </c>
      <c r="PD1" s="462" t="s">
        <v>1118</v>
      </c>
      <c r="PE1" s="462" t="s">
        <v>1120</v>
      </c>
      <c r="PF1" s="462" t="s">
        <v>1122</v>
      </c>
      <c r="PG1" s="462" t="s">
        <v>1124</v>
      </c>
      <c r="PH1" s="462" t="s">
        <v>1126</v>
      </c>
      <c r="PI1" s="462" t="s">
        <v>1128</v>
      </c>
      <c r="PJ1" s="462" t="s">
        <v>1130</v>
      </c>
      <c r="PK1" s="462" t="s">
        <v>1132</v>
      </c>
      <c r="PL1" s="462" t="s">
        <v>1134</v>
      </c>
      <c r="PM1" s="462" t="s">
        <v>1136</v>
      </c>
      <c r="PN1" s="462" t="s">
        <v>1138</v>
      </c>
      <c r="PO1" s="462" t="s">
        <v>1140</v>
      </c>
      <c r="PP1" s="462" t="s">
        <v>1142</v>
      </c>
      <c r="PQ1" s="462" t="s">
        <v>1144</v>
      </c>
      <c r="PR1" s="462" t="s">
        <v>1146</v>
      </c>
      <c r="PS1" s="462" t="s">
        <v>1148</v>
      </c>
      <c r="PT1" s="462" t="s">
        <v>1150</v>
      </c>
      <c r="PU1" s="462" t="s">
        <v>1152</v>
      </c>
      <c r="PV1" s="462" t="s">
        <v>1154</v>
      </c>
      <c r="PW1" s="462" t="s">
        <v>1156</v>
      </c>
      <c r="PX1" s="462" t="s">
        <v>1158</v>
      </c>
      <c r="PY1" s="462" t="s">
        <v>1160</v>
      </c>
      <c r="PZ1" s="462" t="s">
        <v>355</v>
      </c>
      <c r="QA1" s="462" t="s">
        <v>1162</v>
      </c>
      <c r="QB1" s="462" t="s">
        <v>1164</v>
      </c>
      <c r="QC1" s="462" t="s">
        <v>1166</v>
      </c>
      <c r="QD1" s="462" t="s">
        <v>1168</v>
      </c>
      <c r="QE1" s="462" t="s">
        <v>1170</v>
      </c>
      <c r="QF1" s="465" t="s">
        <v>356</v>
      </c>
      <c r="QG1" s="462" t="s">
        <v>357</v>
      </c>
      <c r="QH1" s="462" t="s">
        <v>1172</v>
      </c>
      <c r="QI1" s="462" t="s">
        <v>1174</v>
      </c>
      <c r="QJ1" s="462" t="s">
        <v>1176</v>
      </c>
      <c r="QK1" s="462" t="s">
        <v>1178</v>
      </c>
      <c r="QL1" s="462" t="s">
        <v>1180</v>
      </c>
      <c r="QM1" s="462" t="s">
        <v>1182</v>
      </c>
      <c r="QN1" s="465" t="s">
        <v>358</v>
      </c>
      <c r="QO1" s="462" t="s">
        <v>1184</v>
      </c>
      <c r="QP1" s="462" t="s">
        <v>359</v>
      </c>
      <c r="QQ1" s="462" t="s">
        <v>366</v>
      </c>
      <c r="QR1" s="462" t="s">
        <v>1186</v>
      </c>
      <c r="QS1" s="462" t="s">
        <v>1188</v>
      </c>
      <c r="QT1" s="462" t="s">
        <v>1190</v>
      </c>
      <c r="QU1" s="462" t="s">
        <v>1192</v>
      </c>
      <c r="QV1" s="462" t="s">
        <v>1194</v>
      </c>
      <c r="QW1" s="462" t="s">
        <v>1196</v>
      </c>
      <c r="QX1" s="462" t="s">
        <v>1198</v>
      </c>
      <c r="QY1" s="462" t="s">
        <v>1200</v>
      </c>
      <c r="QZ1" s="462" t="s">
        <v>1202</v>
      </c>
      <c r="RA1" s="462" t="s">
        <v>1204</v>
      </c>
      <c r="RB1" s="462" t="s">
        <v>1206</v>
      </c>
      <c r="RC1" s="462" t="s">
        <v>1208</v>
      </c>
      <c r="RD1" s="462" t="s">
        <v>1210</v>
      </c>
      <c r="RE1" s="462" t="s">
        <v>1212</v>
      </c>
      <c r="RF1" s="465" t="s">
        <v>360</v>
      </c>
      <c r="RG1" s="462" t="s">
        <v>361</v>
      </c>
      <c r="RH1" s="462" t="s">
        <v>1214</v>
      </c>
      <c r="RI1" s="462" t="s">
        <v>1216</v>
      </c>
      <c r="RJ1" s="465" t="s">
        <v>362</v>
      </c>
      <c r="RK1" s="462" t="s">
        <v>363</v>
      </c>
      <c r="RL1" s="462" t="s">
        <v>1218</v>
      </c>
      <c r="RM1" s="462" t="s">
        <v>1219</v>
      </c>
      <c r="RN1" s="462" t="s">
        <v>1220</v>
      </c>
      <c r="RO1" s="462" t="s">
        <v>1221</v>
      </c>
      <c r="RP1" s="462" t="s">
        <v>1223</v>
      </c>
      <c r="RQ1" s="462" t="s">
        <v>1224</v>
      </c>
      <c r="RR1" s="462" t="s">
        <v>1226</v>
      </c>
      <c r="RS1" s="462" t="s">
        <v>1227</v>
      </c>
      <c r="RT1" s="461" t="s">
        <v>367</v>
      </c>
      <c r="RU1" s="465" t="s">
        <v>368</v>
      </c>
      <c r="RV1" s="462" t="s">
        <v>369</v>
      </c>
      <c r="RW1" s="462" t="s">
        <v>1229</v>
      </c>
      <c r="RX1" s="462" t="s">
        <v>1231</v>
      </c>
      <c r="RY1" s="462" t="s">
        <v>370</v>
      </c>
      <c r="RZ1" s="462" t="s">
        <v>1233</v>
      </c>
      <c r="SA1" s="462" t="s">
        <v>1235</v>
      </c>
      <c r="SB1" s="462" t="s">
        <v>1237</v>
      </c>
      <c r="SC1" s="462" t="s">
        <v>1239</v>
      </c>
      <c r="SD1" s="465" t="s">
        <v>371</v>
      </c>
      <c r="SE1" s="462" t="s">
        <v>372</v>
      </c>
      <c r="SF1" s="462" t="s">
        <v>1241</v>
      </c>
      <c r="SG1" s="462" t="s">
        <v>1243</v>
      </c>
      <c r="SH1" s="462" t="s">
        <v>1245</v>
      </c>
      <c r="SI1" s="462" t="s">
        <v>1247</v>
      </c>
      <c r="SJ1" s="462" t="s">
        <v>1249</v>
      </c>
      <c r="SK1" s="462" t="s">
        <v>1251</v>
      </c>
      <c r="SL1" s="462" t="s">
        <v>1253</v>
      </c>
      <c r="SM1" s="462" t="s">
        <v>1255</v>
      </c>
      <c r="SN1" s="462" t="s">
        <v>1257</v>
      </c>
      <c r="SO1" s="462" t="s">
        <v>1259</v>
      </c>
      <c r="SP1" s="462" t="s">
        <v>1261</v>
      </c>
      <c r="SQ1" s="462" t="s">
        <v>1263</v>
      </c>
      <c r="SR1" s="462" t="s">
        <v>1265</v>
      </c>
      <c r="SS1" s="462" t="s">
        <v>1267</v>
      </c>
      <c r="ST1" s="462" t="s">
        <v>1269</v>
      </c>
      <c r="SU1" s="461" t="s">
        <v>373</v>
      </c>
      <c r="SV1" s="465" t="s">
        <v>374</v>
      </c>
      <c r="SW1" s="462" t="s">
        <v>375</v>
      </c>
      <c r="SX1" s="462" t="s">
        <v>1271</v>
      </c>
      <c r="SY1" s="462" t="s">
        <v>1273</v>
      </c>
      <c r="SZ1" s="462" t="s">
        <v>1275</v>
      </c>
      <c r="TA1" s="462" t="s">
        <v>1277</v>
      </c>
      <c r="TB1" s="462" t="s">
        <v>1279</v>
      </c>
      <c r="TC1" s="462" t="s">
        <v>376</v>
      </c>
      <c r="TD1" s="462" t="s">
        <v>1281</v>
      </c>
      <c r="TE1" s="462" t="s">
        <v>1283</v>
      </c>
      <c r="TF1" s="462" t="s">
        <v>1285</v>
      </c>
      <c r="TG1" s="462" t="s">
        <v>1287</v>
      </c>
      <c r="TH1" s="462" t="s">
        <v>1289</v>
      </c>
      <c r="TI1" s="462" t="s">
        <v>1291</v>
      </c>
      <c r="TJ1" s="465" t="s">
        <v>377</v>
      </c>
      <c r="TK1" s="462" t="s">
        <v>378</v>
      </c>
      <c r="TL1" s="462" t="s">
        <v>379</v>
      </c>
      <c r="TM1" s="462" t="s">
        <v>1293</v>
      </c>
      <c r="TN1" s="462" t="s">
        <v>1295</v>
      </c>
      <c r="TO1" s="462" t="s">
        <v>1296</v>
      </c>
      <c r="TP1" s="462" t="s">
        <v>1298</v>
      </c>
      <c r="TQ1" s="462" t="s">
        <v>1300</v>
      </c>
      <c r="TR1" s="462" t="s">
        <v>1302</v>
      </c>
      <c r="TS1" s="462" t="s">
        <v>1304</v>
      </c>
      <c r="TT1" s="462" t="s">
        <v>1306</v>
      </c>
      <c r="TU1" s="462" t="s">
        <v>1308</v>
      </c>
      <c r="TV1" s="462" t="s">
        <v>1310</v>
      </c>
      <c r="TW1" s="462" t="s">
        <v>1312</v>
      </c>
      <c r="TX1" s="462" t="s">
        <v>1314</v>
      </c>
      <c r="TY1" s="462" t="s">
        <v>1316</v>
      </c>
      <c r="TZ1" s="462" t="s">
        <v>1318</v>
      </c>
      <c r="UA1" s="462" t="s">
        <v>1320</v>
      </c>
      <c r="UB1" s="462" t="s">
        <v>1322</v>
      </c>
      <c r="UC1" s="461" t="s">
        <v>1324</v>
      </c>
      <c r="UD1" s="462" t="s">
        <v>1326</v>
      </c>
      <c r="UE1" s="462" t="s">
        <v>1328</v>
      </c>
      <c r="UF1" s="462" t="s">
        <v>1330</v>
      </c>
      <c r="UG1" s="462" t="s">
        <v>1332</v>
      </c>
      <c r="UH1" s="462" t="s">
        <v>1334</v>
      </c>
      <c r="UI1" s="463"/>
    </row>
    <row r="2" spans="1:555" s="122" customFormat="1" hidden="1">
      <c r="A2" s="459" t="s">
        <v>1357</v>
      </c>
      <c r="B2" s="459" t="s">
        <v>1359</v>
      </c>
      <c r="C2" s="459" t="s">
        <v>471</v>
      </c>
      <c r="D2" s="459" t="s">
        <v>1358</v>
      </c>
      <c r="E2" s="459" t="s">
        <v>1360</v>
      </c>
      <c r="F2" s="459" t="s">
        <v>472</v>
      </c>
      <c r="G2" s="460" t="s">
        <v>1361</v>
      </c>
      <c r="H2" s="459" t="s">
        <v>1362</v>
      </c>
      <c r="I2" s="459" t="s">
        <v>1363</v>
      </c>
      <c r="J2" s="459" t="s">
        <v>1441</v>
      </c>
      <c r="K2" s="459" t="s">
        <v>1364</v>
      </c>
      <c r="L2" s="459" t="s">
        <v>1365</v>
      </c>
      <c r="M2" s="459" t="s">
        <v>1366</v>
      </c>
      <c r="N2" s="459" t="s">
        <v>1367</v>
      </c>
      <c r="O2" s="459" t="s">
        <v>1368</v>
      </c>
      <c r="P2" s="459" t="s">
        <v>1456</v>
      </c>
      <c r="Q2" s="459" t="s">
        <v>1494</v>
      </c>
      <c r="R2" s="454" t="str">
        <f>+Presupuesto!D11</f>
        <v>Recurrente</v>
      </c>
      <c r="S2" s="454" t="str">
        <f>+Presupuesto!E11</f>
        <v>Programa / Proyecto 2016</v>
      </c>
      <c r="T2" s="459"/>
      <c r="U2" s="459" t="s">
        <v>394</v>
      </c>
      <c r="V2" s="459" t="s">
        <v>412</v>
      </c>
      <c r="W2" s="459" t="s">
        <v>395</v>
      </c>
      <c r="X2" s="459" t="s">
        <v>396</v>
      </c>
      <c r="Y2" s="459" t="s">
        <v>397</v>
      </c>
      <c r="Z2" s="459" t="s">
        <v>398</v>
      </c>
      <c r="AA2" s="459" t="s">
        <v>399</v>
      </c>
      <c r="AB2" s="459" t="s">
        <v>400</v>
      </c>
      <c r="AC2" s="459" t="s">
        <v>401</v>
      </c>
      <c r="AD2" s="459" t="s">
        <v>402</v>
      </c>
      <c r="AE2" s="459" t="s">
        <v>403</v>
      </c>
      <c r="AF2" s="459" t="s">
        <v>404</v>
      </c>
      <c r="AG2" s="459"/>
      <c r="AH2" s="459" t="s">
        <v>420</v>
      </c>
      <c r="AI2" s="459" t="s">
        <v>421</v>
      </c>
      <c r="AJ2" s="459" t="s">
        <v>422</v>
      </c>
      <c r="AK2" s="459" t="s">
        <v>423</v>
      </c>
      <c r="AL2" s="459" t="s">
        <v>424</v>
      </c>
      <c r="AM2" s="459" t="s">
        <v>427</v>
      </c>
      <c r="AN2" s="459" t="s">
        <v>425</v>
      </c>
      <c r="AO2" s="459" t="s">
        <v>426</v>
      </c>
      <c r="AP2" s="459" t="s">
        <v>428</v>
      </c>
      <c r="AQ2" s="459" t="s">
        <v>429</v>
      </c>
      <c r="AR2" s="459" t="s">
        <v>430</v>
      </c>
      <c r="AS2" s="459" t="s">
        <v>431</v>
      </c>
      <c r="AT2" s="459" t="s">
        <v>432</v>
      </c>
      <c r="AU2" s="459" t="s">
        <v>433</v>
      </c>
      <c r="AV2" s="459" t="s">
        <v>434</v>
      </c>
      <c r="AW2" s="459" t="s">
        <v>435</v>
      </c>
      <c r="AX2" s="459" t="s">
        <v>436</v>
      </c>
      <c r="AY2" s="459" t="s">
        <v>437</v>
      </c>
      <c r="AZ2" s="459" t="s">
        <v>438</v>
      </c>
      <c r="BA2" s="459" t="s">
        <v>439</v>
      </c>
      <c r="BB2" s="459" t="s">
        <v>440</v>
      </c>
      <c r="BC2" s="459" t="s">
        <v>441</v>
      </c>
      <c r="BD2" s="459" t="s">
        <v>442</v>
      </c>
      <c r="BE2" s="459" t="s">
        <v>443</v>
      </c>
      <c r="BF2" s="459" t="s">
        <v>444</v>
      </c>
      <c r="BG2" s="459" t="s">
        <v>445</v>
      </c>
      <c r="BH2" s="459" t="s">
        <v>446</v>
      </c>
      <c r="BI2" s="459" t="s">
        <v>447</v>
      </c>
      <c r="BJ2" s="459" t="s">
        <v>448</v>
      </c>
      <c r="BK2" s="459" t="s">
        <v>449</v>
      </c>
      <c r="BL2" s="459" t="s">
        <v>450</v>
      </c>
      <c r="BM2" s="459" t="s">
        <v>451</v>
      </c>
      <c r="BN2" s="459" t="s">
        <v>452</v>
      </c>
      <c r="BO2" s="459" t="s">
        <v>453</v>
      </c>
      <c r="BP2" s="459" t="s">
        <v>454</v>
      </c>
      <c r="BQ2" s="459" t="s">
        <v>455</v>
      </c>
      <c r="BR2" s="459" t="s">
        <v>456</v>
      </c>
      <c r="BS2" s="459" t="s">
        <v>457</v>
      </c>
      <c r="BT2" s="459" t="s">
        <v>458</v>
      </c>
      <c r="BU2" s="459" t="s">
        <v>459</v>
      </c>
      <c r="BV2" s="459"/>
      <c r="BW2" s="459"/>
      <c r="BX2" s="459"/>
      <c r="BY2" s="459"/>
      <c r="BZ2" s="459"/>
      <c r="CA2" s="459"/>
      <c r="CB2" s="459"/>
      <c r="CC2" s="459"/>
      <c r="CD2" s="459"/>
      <c r="CE2" s="459"/>
      <c r="CF2" s="459"/>
      <c r="CG2" s="459"/>
      <c r="CH2" s="459"/>
      <c r="CI2" s="459"/>
      <c r="CJ2" s="459"/>
      <c r="CK2" s="459"/>
      <c r="CL2" s="459"/>
      <c r="CM2" s="459"/>
      <c r="CN2" s="459"/>
      <c r="CO2" s="459"/>
      <c r="CP2" s="459"/>
      <c r="CQ2" s="459"/>
      <c r="CR2" s="459"/>
      <c r="CS2" s="459"/>
      <c r="CT2" s="459"/>
      <c r="CU2" s="459"/>
      <c r="CV2" s="459"/>
      <c r="CW2" s="459"/>
      <c r="CX2" s="459"/>
      <c r="CY2" s="459"/>
      <c r="CZ2" s="459"/>
      <c r="DA2" s="459"/>
      <c r="DB2" s="459"/>
      <c r="DC2" s="459"/>
      <c r="DD2" s="459"/>
      <c r="DE2" s="459"/>
      <c r="DF2" s="459"/>
      <c r="DG2" s="459"/>
      <c r="DH2" s="459"/>
      <c r="DI2" s="459"/>
      <c r="DJ2" s="459"/>
      <c r="DK2" s="459"/>
      <c r="DL2" s="459"/>
      <c r="DM2" s="459"/>
      <c r="DN2" s="459"/>
      <c r="DO2" s="459"/>
      <c r="DP2" s="459"/>
      <c r="DQ2" s="459"/>
      <c r="DR2" s="459"/>
      <c r="DS2" s="459"/>
      <c r="DT2" s="459"/>
      <c r="DU2" s="459"/>
      <c r="DV2" s="459"/>
      <c r="DW2" s="459"/>
      <c r="DX2" s="459"/>
      <c r="DY2" s="459"/>
      <c r="DZ2" s="459"/>
      <c r="EA2" s="459"/>
      <c r="EB2" s="459"/>
      <c r="EC2" s="459"/>
      <c r="ED2" s="459"/>
      <c r="EE2" s="459"/>
      <c r="EF2" s="459"/>
      <c r="EG2" s="459"/>
      <c r="EH2" s="459"/>
      <c r="EI2" s="459"/>
      <c r="EJ2" s="459"/>
      <c r="EK2" s="459"/>
      <c r="EL2" s="459"/>
      <c r="EM2" s="459"/>
      <c r="EN2" s="459"/>
      <c r="EO2" s="459"/>
      <c r="EP2" s="459"/>
      <c r="EQ2" s="459"/>
      <c r="ER2" s="459"/>
      <c r="ES2" s="459"/>
      <c r="ET2" s="459"/>
      <c r="EU2" s="459"/>
      <c r="EV2" s="459"/>
      <c r="EW2" s="459"/>
      <c r="EX2" s="459"/>
      <c r="EY2" s="459"/>
      <c r="EZ2" s="459"/>
      <c r="FA2" s="459"/>
      <c r="FB2" s="459"/>
      <c r="FC2" s="459"/>
      <c r="FD2" s="459"/>
      <c r="FE2" s="459"/>
      <c r="FF2" s="459"/>
      <c r="FG2" s="459"/>
      <c r="FH2" s="459"/>
      <c r="FI2" s="459"/>
      <c r="FJ2" s="459"/>
      <c r="FK2" s="459"/>
      <c r="FL2" s="459"/>
      <c r="FM2" s="459"/>
      <c r="FN2" s="459"/>
      <c r="FO2" s="459"/>
      <c r="FP2" s="459"/>
      <c r="FQ2" s="459"/>
      <c r="FR2" s="459"/>
      <c r="FS2" s="459"/>
      <c r="FT2" s="459"/>
      <c r="FU2" s="459"/>
      <c r="FV2" s="459"/>
      <c r="FW2" s="459"/>
      <c r="FX2" s="459"/>
      <c r="FY2" s="459"/>
      <c r="FZ2" s="459"/>
      <c r="GA2" s="459"/>
      <c r="GB2" s="459"/>
      <c r="GC2" s="459"/>
      <c r="GD2" s="459"/>
      <c r="GE2" s="459"/>
      <c r="GF2" s="459"/>
      <c r="GG2" s="459"/>
      <c r="GH2" s="459"/>
      <c r="GI2" s="459"/>
      <c r="GJ2" s="459"/>
      <c r="GK2" s="459"/>
      <c r="GL2" s="459"/>
      <c r="GM2" s="459"/>
      <c r="GN2" s="459"/>
      <c r="GO2" s="459"/>
      <c r="GP2" s="459"/>
      <c r="GQ2" s="459"/>
      <c r="GR2" s="459"/>
      <c r="GS2" s="459"/>
      <c r="GT2" s="459"/>
      <c r="GU2" s="459"/>
      <c r="GV2" s="459"/>
      <c r="GW2" s="459"/>
      <c r="GX2" s="459"/>
      <c r="GY2" s="459"/>
      <c r="GZ2" s="459"/>
      <c r="HA2" s="459"/>
      <c r="HB2" s="459"/>
      <c r="HC2" s="459"/>
      <c r="HD2" s="459"/>
      <c r="HE2" s="459"/>
      <c r="HF2" s="459"/>
      <c r="HG2" s="459"/>
      <c r="HH2" s="459"/>
      <c r="HI2" s="459"/>
      <c r="HJ2" s="459"/>
      <c r="HK2" s="459"/>
      <c r="HL2" s="459"/>
      <c r="HM2" s="459"/>
      <c r="HN2" s="459"/>
      <c r="HO2" s="459"/>
      <c r="HP2" s="459"/>
      <c r="HQ2" s="459"/>
      <c r="HR2" s="459"/>
      <c r="HS2" s="459"/>
      <c r="HT2" s="459"/>
      <c r="HU2" s="459"/>
      <c r="HV2" s="459"/>
      <c r="HW2" s="459"/>
      <c r="HX2" s="459"/>
      <c r="HY2" s="459"/>
      <c r="HZ2" s="459"/>
      <c r="IA2" s="459"/>
      <c r="IB2" s="459"/>
      <c r="IC2" s="459"/>
      <c r="ID2" s="459"/>
      <c r="IE2" s="459"/>
      <c r="IF2" s="459"/>
      <c r="IG2" s="459"/>
      <c r="IH2" s="459"/>
      <c r="II2" s="459"/>
      <c r="IJ2" s="459"/>
      <c r="IK2" s="459"/>
      <c r="IL2" s="459"/>
      <c r="IM2" s="459"/>
      <c r="IN2" s="459"/>
      <c r="IO2" s="459"/>
      <c r="IP2" s="459"/>
      <c r="IQ2" s="459"/>
      <c r="IR2" s="459"/>
      <c r="IS2" s="459"/>
      <c r="IT2" s="459"/>
      <c r="IU2" s="459"/>
      <c r="IV2" s="459"/>
      <c r="IW2" s="459"/>
      <c r="IX2" s="459"/>
      <c r="IY2" s="459"/>
      <c r="IZ2" s="459"/>
      <c r="JA2" s="459"/>
      <c r="JB2" s="459"/>
      <c r="JC2" s="459"/>
      <c r="JD2" s="459"/>
      <c r="JE2" s="459"/>
      <c r="JF2" s="459"/>
      <c r="JG2" s="459"/>
      <c r="JH2" s="459"/>
      <c r="JI2" s="459"/>
      <c r="JJ2" s="459"/>
      <c r="JK2" s="459"/>
      <c r="JL2" s="459"/>
      <c r="JM2" s="459"/>
      <c r="JN2" s="459"/>
      <c r="JO2" s="459"/>
      <c r="JP2" s="459"/>
      <c r="JQ2" s="459"/>
      <c r="JR2" s="459"/>
      <c r="JS2" s="459"/>
      <c r="JT2" s="459"/>
      <c r="JU2" s="459"/>
      <c r="JV2" s="459"/>
      <c r="JW2" s="459"/>
      <c r="JX2" s="459"/>
      <c r="JY2" s="459"/>
      <c r="JZ2" s="459"/>
      <c r="KA2" s="459"/>
      <c r="KB2" s="459"/>
      <c r="KC2" s="459"/>
      <c r="KD2" s="459"/>
      <c r="KE2" s="459"/>
      <c r="KF2" s="459"/>
      <c r="KG2" s="459"/>
      <c r="KH2" s="459"/>
      <c r="KI2" s="459"/>
      <c r="KJ2" s="459"/>
      <c r="KK2" s="459"/>
      <c r="KL2" s="459"/>
      <c r="KM2" s="459"/>
      <c r="KN2" s="459"/>
      <c r="KO2" s="459"/>
      <c r="KP2" s="459"/>
      <c r="KQ2" s="459"/>
      <c r="KR2" s="459"/>
      <c r="KS2" s="459"/>
      <c r="KT2" s="459"/>
      <c r="KU2" s="459"/>
      <c r="KV2" s="459"/>
      <c r="KW2" s="459"/>
      <c r="KX2" s="459"/>
      <c r="KY2" s="459"/>
      <c r="KZ2" s="459"/>
      <c r="LA2" s="459"/>
      <c r="LB2" s="459"/>
      <c r="LC2" s="459"/>
      <c r="LD2" s="459"/>
      <c r="LE2" s="459"/>
      <c r="LF2" s="459"/>
      <c r="LG2" s="459"/>
      <c r="LH2" s="459"/>
      <c r="LI2" s="459"/>
      <c r="LJ2" s="459"/>
      <c r="LK2" s="459"/>
      <c r="LL2" s="459"/>
      <c r="LM2" s="459"/>
      <c r="LN2" s="459"/>
      <c r="LO2" s="459"/>
      <c r="LP2" s="459"/>
      <c r="LQ2" s="459"/>
      <c r="LR2" s="459"/>
      <c r="LS2" s="459"/>
      <c r="LT2" s="459"/>
      <c r="LU2" s="459"/>
      <c r="LV2" s="459"/>
      <c r="LW2" s="459"/>
      <c r="LX2" s="459"/>
      <c r="LY2" s="459"/>
      <c r="LZ2" s="459"/>
      <c r="MA2" s="459"/>
      <c r="MB2" s="459"/>
      <c r="MC2" s="459"/>
      <c r="MD2" s="459"/>
      <c r="ME2" s="459"/>
      <c r="MF2" s="459"/>
      <c r="MG2" s="459"/>
      <c r="MH2" s="459"/>
      <c r="MI2" s="459"/>
      <c r="MJ2" s="459"/>
      <c r="MK2" s="459"/>
      <c r="ML2" s="459"/>
      <c r="MM2" s="459"/>
      <c r="MN2" s="459"/>
      <c r="MO2" s="459"/>
      <c r="MP2" s="459"/>
      <c r="MQ2" s="459"/>
      <c r="MR2" s="459"/>
      <c r="MS2" s="459"/>
      <c r="MT2" s="459"/>
      <c r="MU2" s="459"/>
      <c r="MV2" s="459"/>
      <c r="MW2" s="459"/>
      <c r="MX2" s="459"/>
      <c r="MY2" s="459"/>
      <c r="MZ2" s="459"/>
      <c r="NA2" s="459"/>
      <c r="NB2" s="459"/>
      <c r="NC2" s="459"/>
      <c r="ND2" s="459"/>
      <c r="NE2" s="459"/>
      <c r="NF2" s="459"/>
      <c r="NG2" s="459"/>
      <c r="NH2" s="459"/>
      <c r="NI2" s="459"/>
      <c r="NJ2" s="459"/>
      <c r="NK2" s="459"/>
      <c r="NL2" s="459"/>
      <c r="NM2" s="459"/>
      <c r="NN2" s="459"/>
      <c r="NO2" s="459"/>
      <c r="NP2" s="459"/>
      <c r="NQ2" s="459"/>
      <c r="NR2" s="459"/>
      <c r="NS2" s="459"/>
      <c r="NT2" s="459"/>
      <c r="NU2" s="459"/>
      <c r="NV2" s="459"/>
      <c r="NW2" s="459"/>
      <c r="NX2" s="459"/>
      <c r="NY2" s="459"/>
      <c r="NZ2" s="459"/>
      <c r="OA2" s="459"/>
      <c r="OB2" s="459"/>
      <c r="OC2" s="459"/>
      <c r="OD2" s="459"/>
      <c r="OE2" s="459"/>
      <c r="OF2" s="459"/>
      <c r="OG2" s="459"/>
      <c r="OH2" s="459"/>
      <c r="OI2" s="459"/>
      <c r="OJ2" s="459"/>
      <c r="OK2" s="459"/>
      <c r="OL2" s="459"/>
      <c r="OM2" s="459"/>
      <c r="ON2" s="459"/>
      <c r="OO2" s="459"/>
      <c r="OP2" s="459"/>
      <c r="OQ2" s="459"/>
      <c r="OR2" s="459"/>
      <c r="OS2" s="459"/>
      <c r="OT2" s="459"/>
      <c r="OU2" s="459"/>
      <c r="OV2" s="459"/>
      <c r="OW2" s="459"/>
      <c r="OX2" s="459"/>
      <c r="OY2" s="459"/>
      <c r="OZ2" s="459"/>
      <c r="PA2" s="459"/>
      <c r="PB2" s="459"/>
      <c r="PC2" s="459"/>
      <c r="PD2" s="459"/>
      <c r="PE2" s="459"/>
      <c r="PF2" s="459"/>
      <c r="PG2" s="459"/>
      <c r="PH2" s="459"/>
      <c r="PI2" s="459"/>
      <c r="PJ2" s="459"/>
      <c r="PK2" s="459"/>
      <c r="PL2" s="459"/>
      <c r="PM2" s="459"/>
      <c r="PN2" s="459"/>
      <c r="PO2" s="459"/>
      <c r="PP2" s="459"/>
      <c r="PQ2" s="459"/>
      <c r="PR2" s="459"/>
      <c r="PS2" s="459"/>
      <c r="PT2" s="459"/>
      <c r="PU2" s="459"/>
      <c r="PV2" s="459"/>
      <c r="PW2" s="459"/>
      <c r="PX2" s="459"/>
      <c r="PY2" s="459"/>
      <c r="PZ2" s="459"/>
      <c r="QA2" s="459"/>
      <c r="QB2" s="459"/>
      <c r="QC2" s="459"/>
      <c r="QD2" s="459"/>
      <c r="QE2" s="459"/>
      <c r="QF2" s="459"/>
      <c r="QG2" s="459"/>
      <c r="QH2" s="459"/>
      <c r="QI2" s="459"/>
      <c r="QJ2" s="459"/>
      <c r="QK2" s="459"/>
      <c r="QL2" s="459"/>
      <c r="QM2" s="459"/>
      <c r="QN2" s="459"/>
      <c r="QO2" s="459"/>
      <c r="QP2" s="459"/>
      <c r="QQ2" s="459"/>
      <c r="QR2" s="459"/>
      <c r="QS2" s="459"/>
      <c r="QT2" s="459"/>
      <c r="QU2" s="459"/>
      <c r="QV2" s="459"/>
      <c r="QW2" s="459"/>
      <c r="QX2" s="459"/>
      <c r="QY2" s="459"/>
      <c r="QZ2" s="459"/>
      <c r="RA2" s="459"/>
      <c r="RB2" s="459"/>
      <c r="RC2" s="459"/>
      <c r="RD2" s="459"/>
      <c r="RE2" s="459"/>
      <c r="RF2" s="459"/>
      <c r="RG2" s="459"/>
      <c r="RH2" s="459"/>
      <c r="RI2" s="459"/>
      <c r="RJ2" s="459"/>
      <c r="RK2" s="459"/>
      <c r="RL2" s="459"/>
      <c r="RM2" s="459"/>
      <c r="RN2" s="459"/>
      <c r="RO2" s="459"/>
      <c r="RP2" s="459"/>
      <c r="RQ2" s="459"/>
      <c r="RR2" s="459"/>
      <c r="RS2" s="459"/>
      <c r="RT2" s="459"/>
      <c r="RU2" s="459"/>
      <c r="RV2" s="459"/>
      <c r="RW2" s="459"/>
      <c r="RX2" s="459"/>
      <c r="RY2" s="459"/>
      <c r="RZ2" s="459"/>
      <c r="SA2" s="459"/>
      <c r="SB2" s="459"/>
      <c r="SC2" s="459"/>
      <c r="SD2" s="459"/>
      <c r="SE2" s="459"/>
      <c r="SF2" s="459"/>
      <c r="SG2" s="459"/>
      <c r="SH2" s="459"/>
      <c r="SI2" s="459"/>
      <c r="SJ2" s="459"/>
      <c r="SK2" s="459"/>
      <c r="SL2" s="459"/>
      <c r="SM2" s="459"/>
      <c r="SN2" s="459"/>
      <c r="SO2" s="459"/>
      <c r="SP2" s="459"/>
      <c r="SQ2" s="459"/>
      <c r="SR2" s="459"/>
      <c r="SS2" s="459"/>
      <c r="ST2" s="459"/>
      <c r="SU2" s="459"/>
      <c r="SV2" s="459"/>
      <c r="SW2" s="459"/>
      <c r="SX2" s="459"/>
      <c r="SY2" s="459"/>
      <c r="SZ2" s="459"/>
      <c r="TA2" s="459"/>
      <c r="TB2" s="459"/>
      <c r="TC2" s="459"/>
      <c r="TD2" s="459"/>
      <c r="TE2" s="459"/>
      <c r="TF2" s="459"/>
      <c r="TG2" s="459"/>
      <c r="TH2" s="459"/>
      <c r="TI2" s="459"/>
      <c r="TJ2" s="459"/>
      <c r="TK2" s="459"/>
      <c r="TL2" s="459"/>
      <c r="TM2" s="459"/>
      <c r="TN2" s="459"/>
      <c r="TO2" s="459"/>
      <c r="TP2" s="459"/>
      <c r="TQ2" s="459"/>
      <c r="TR2" s="459"/>
      <c r="TS2" s="459"/>
      <c r="TT2" s="459"/>
      <c r="TU2" s="459"/>
      <c r="TV2" s="459"/>
      <c r="TW2" s="459"/>
      <c r="TX2" s="459"/>
      <c r="TY2" s="459"/>
      <c r="TZ2" s="459"/>
      <c r="UA2" s="459"/>
      <c r="UB2" s="459"/>
      <c r="UC2" s="459"/>
      <c r="UD2" s="459"/>
      <c r="UE2" s="459"/>
      <c r="UF2" s="459"/>
      <c r="UG2" s="459"/>
      <c r="UH2" s="459"/>
      <c r="UI2" s="459"/>
    </row>
    <row r="3" spans="1:555" s="122" customFormat="1" hidden="1">
      <c r="A3" s="457"/>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c r="AC3" s="457"/>
      <c r="AD3" s="457"/>
      <c r="AE3" s="457"/>
      <c r="AF3" s="457"/>
      <c r="AG3" s="457"/>
      <c r="AH3" s="458">
        <v>2500</v>
      </c>
      <c r="AI3" s="458">
        <v>1900</v>
      </c>
      <c r="AJ3" s="458">
        <v>1650</v>
      </c>
      <c r="AK3" s="458">
        <v>1580</v>
      </c>
      <c r="AL3" s="458">
        <v>2250</v>
      </c>
      <c r="AM3" s="458">
        <v>1650</v>
      </c>
      <c r="AN3" s="458">
        <v>1400</v>
      </c>
      <c r="AO3" s="458">
        <v>1340</v>
      </c>
      <c r="AP3" s="458">
        <v>2000</v>
      </c>
      <c r="AQ3" s="458">
        <v>1400</v>
      </c>
      <c r="AR3" s="458">
        <v>1150</v>
      </c>
      <c r="AS3" s="458">
        <v>1100</v>
      </c>
      <c r="AT3" s="458">
        <v>1750</v>
      </c>
      <c r="AU3" s="458">
        <v>1150</v>
      </c>
      <c r="AV3" s="458">
        <v>900</v>
      </c>
      <c r="AW3" s="458">
        <v>860</v>
      </c>
      <c r="AX3" s="458">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6">
        <f>+'Cuadro Resumen'!C215</f>
        <v>4286.3535000000002</v>
      </c>
      <c r="BK3" s="456">
        <f>+'Cuadro Resumen'!D215</f>
        <v>3956.634</v>
      </c>
      <c r="BL3" s="456">
        <f>+'Cuadro Resumen'!E215</f>
        <v>5275.5120000000006</v>
      </c>
      <c r="BM3" s="456">
        <f>+'Cuadro Resumen'!F215</f>
        <v>4835.8860000000004</v>
      </c>
      <c r="BN3" s="456">
        <f>+'Cuadro Resumen'!C216</f>
        <v>3626.9145000000003</v>
      </c>
      <c r="BO3" s="456">
        <f>+'Cuadro Resumen'!D216</f>
        <v>3297.1950000000002</v>
      </c>
      <c r="BP3" s="456">
        <f>+'Cuadro Resumen'!E216</f>
        <v>4616.0730000000003</v>
      </c>
      <c r="BQ3" s="456">
        <f>+'Cuadro Resumen'!F216</f>
        <v>4286.3535000000002</v>
      </c>
      <c r="BR3" s="456">
        <f>+'Cuadro Resumen'!C217</f>
        <v>3187.2885000000001</v>
      </c>
      <c r="BS3" s="456">
        <f>+'Cuadro Resumen'!D217</f>
        <v>2967.4755</v>
      </c>
      <c r="BT3" s="456">
        <f>+'Cuadro Resumen'!E217</f>
        <v>4066.5405000000001</v>
      </c>
      <c r="BU3" s="456">
        <f>+'Cuadro Resumen'!F217</f>
        <v>3736.8210000000004</v>
      </c>
      <c r="BV3" s="457"/>
      <c r="BW3" s="457"/>
      <c r="BX3" s="457"/>
      <c r="BY3" s="457"/>
      <c r="BZ3" s="457"/>
      <c r="CA3" s="457"/>
      <c r="CB3" s="457"/>
      <c r="CC3" s="457"/>
      <c r="CD3" s="457"/>
      <c r="CE3" s="457"/>
      <c r="CF3" s="457"/>
      <c r="CG3" s="457"/>
      <c r="CH3" s="457"/>
      <c r="CI3" s="457"/>
      <c r="CJ3" s="457"/>
      <c r="CK3" s="457"/>
      <c r="CL3" s="457"/>
      <c r="CM3" s="457"/>
      <c r="CN3" s="457"/>
      <c r="CO3" s="457"/>
      <c r="CP3" s="457"/>
      <c r="CQ3" s="457"/>
      <c r="CR3" s="457"/>
      <c r="CS3" s="457"/>
      <c r="CT3" s="457"/>
      <c r="CU3" s="457"/>
      <c r="CV3" s="457"/>
      <c r="CW3" s="457"/>
      <c r="CX3" s="457"/>
      <c r="CY3" s="457"/>
      <c r="CZ3" s="457"/>
      <c r="DA3" s="457"/>
      <c r="DB3" s="457"/>
      <c r="DC3" s="457"/>
      <c r="DD3" s="457"/>
      <c r="DE3" s="457"/>
      <c r="DF3" s="457"/>
      <c r="DG3" s="457"/>
      <c r="DH3" s="457"/>
      <c r="DI3" s="457"/>
      <c r="DJ3" s="457"/>
      <c r="DK3" s="457"/>
      <c r="DL3" s="457"/>
      <c r="DM3" s="457"/>
      <c r="DN3" s="457"/>
      <c r="DO3" s="457"/>
      <c r="DP3" s="457"/>
      <c r="DQ3" s="457"/>
      <c r="DR3" s="457"/>
      <c r="DS3" s="457"/>
      <c r="DT3" s="457"/>
      <c r="DU3" s="457"/>
      <c r="DV3" s="457"/>
      <c r="DW3" s="457"/>
      <c r="DX3" s="457"/>
      <c r="DY3" s="457"/>
      <c r="DZ3" s="457"/>
      <c r="EA3" s="457"/>
      <c r="EB3" s="457"/>
      <c r="EC3" s="457"/>
      <c r="ED3" s="457"/>
      <c r="EE3" s="457"/>
      <c r="EF3" s="457"/>
      <c r="EG3" s="457"/>
      <c r="EH3" s="457"/>
      <c r="EI3" s="457"/>
      <c r="EJ3" s="457"/>
      <c r="EK3" s="457"/>
      <c r="EL3" s="457"/>
      <c r="EM3" s="457"/>
      <c r="EN3" s="457"/>
      <c r="EO3" s="457"/>
      <c r="EP3" s="457"/>
      <c r="EQ3" s="457"/>
      <c r="ER3" s="457"/>
      <c r="ES3" s="457"/>
      <c r="ET3" s="457"/>
      <c r="EU3" s="457"/>
      <c r="EV3" s="457"/>
      <c r="EW3" s="457"/>
      <c r="EX3" s="457"/>
      <c r="EY3" s="457"/>
      <c r="EZ3" s="457"/>
      <c r="FA3" s="457"/>
      <c r="FB3" s="457"/>
      <c r="FC3" s="457"/>
      <c r="FD3" s="457"/>
      <c r="FE3" s="457"/>
      <c r="FF3" s="457"/>
      <c r="FG3" s="457"/>
      <c r="FH3" s="457"/>
      <c r="FI3" s="457"/>
      <c r="FJ3" s="457"/>
      <c r="FK3" s="457"/>
      <c r="FL3" s="457"/>
      <c r="FM3" s="457"/>
      <c r="FN3" s="457"/>
      <c r="FO3" s="457"/>
      <c r="FP3" s="457"/>
      <c r="FQ3" s="457"/>
      <c r="FR3" s="457"/>
      <c r="FS3" s="457"/>
      <c r="FT3" s="457"/>
      <c r="FU3" s="457"/>
      <c r="FV3" s="457"/>
      <c r="FW3" s="457"/>
      <c r="FX3" s="457"/>
      <c r="FY3" s="457"/>
      <c r="FZ3" s="457"/>
      <c r="GA3" s="457"/>
      <c r="GB3" s="457"/>
      <c r="GC3" s="457"/>
      <c r="GD3" s="457"/>
      <c r="GE3" s="457"/>
      <c r="GF3" s="457"/>
      <c r="GG3" s="457"/>
      <c r="GH3" s="457"/>
      <c r="GI3" s="457"/>
      <c r="GJ3" s="457"/>
      <c r="GK3" s="457"/>
      <c r="GL3" s="457"/>
      <c r="GM3" s="457"/>
      <c r="GN3" s="457"/>
      <c r="GO3" s="457"/>
      <c r="GP3" s="457"/>
      <c r="GQ3" s="457"/>
      <c r="GR3" s="457"/>
      <c r="GS3" s="457"/>
      <c r="GT3" s="457"/>
      <c r="GU3" s="457"/>
      <c r="GV3" s="457"/>
      <c r="GW3" s="457"/>
      <c r="GX3" s="457"/>
      <c r="GY3" s="457"/>
      <c r="GZ3" s="457"/>
      <c r="HA3" s="457"/>
      <c r="HB3" s="457"/>
      <c r="HC3" s="457"/>
      <c r="HD3" s="457"/>
      <c r="HE3" s="457"/>
      <c r="HF3" s="457"/>
      <c r="HG3" s="457"/>
      <c r="HH3" s="457"/>
      <c r="HI3" s="457"/>
      <c r="HJ3" s="457"/>
      <c r="HK3" s="457"/>
      <c r="HL3" s="457"/>
      <c r="HM3" s="457"/>
      <c r="HN3" s="457"/>
      <c r="HO3" s="457"/>
      <c r="HP3" s="457"/>
      <c r="HQ3" s="457"/>
      <c r="HR3" s="457"/>
      <c r="HS3" s="457"/>
      <c r="HT3" s="457"/>
      <c r="HU3" s="457"/>
      <c r="HV3" s="457"/>
      <c r="HW3" s="457"/>
      <c r="HX3" s="457"/>
      <c r="HY3" s="457"/>
      <c r="HZ3" s="457"/>
      <c r="IA3" s="457"/>
      <c r="IB3" s="457"/>
      <c r="IC3" s="457"/>
      <c r="ID3" s="457"/>
      <c r="IE3" s="457"/>
      <c r="IF3" s="457"/>
      <c r="IG3" s="457"/>
      <c r="IH3" s="457"/>
      <c r="II3" s="457"/>
      <c r="IJ3" s="457"/>
      <c r="IK3" s="457"/>
      <c r="IL3" s="457"/>
      <c r="IM3" s="457"/>
      <c r="IN3" s="457"/>
      <c r="IO3" s="457"/>
      <c r="IP3" s="457"/>
      <c r="IQ3" s="457"/>
      <c r="IR3" s="457"/>
      <c r="IS3" s="457"/>
      <c r="IT3" s="457"/>
      <c r="IU3" s="457"/>
      <c r="IV3" s="457"/>
      <c r="IW3" s="457"/>
      <c r="IX3" s="457"/>
      <c r="IY3" s="457"/>
      <c r="IZ3" s="457"/>
      <c r="JA3" s="457"/>
      <c r="JB3" s="457"/>
      <c r="JC3" s="457"/>
      <c r="JD3" s="457"/>
      <c r="JE3" s="457"/>
      <c r="JF3" s="457"/>
      <c r="JG3" s="457"/>
      <c r="JH3" s="457"/>
      <c r="JI3" s="457"/>
      <c r="JJ3" s="457"/>
      <c r="JK3" s="457"/>
      <c r="JL3" s="457"/>
      <c r="JM3" s="457"/>
      <c r="JN3" s="457"/>
      <c r="JO3" s="457"/>
      <c r="JP3" s="457"/>
      <c r="JQ3" s="457"/>
      <c r="JR3" s="457"/>
      <c r="JS3" s="457"/>
      <c r="JT3" s="457"/>
      <c r="JU3" s="457"/>
      <c r="JV3" s="457"/>
      <c r="JW3" s="457"/>
      <c r="JX3" s="457"/>
      <c r="JY3" s="457"/>
      <c r="JZ3" s="457"/>
      <c r="KA3" s="457"/>
      <c r="KB3" s="457"/>
      <c r="KC3" s="457"/>
      <c r="KD3" s="457"/>
      <c r="KE3" s="457"/>
      <c r="KF3" s="457"/>
      <c r="KG3" s="457"/>
      <c r="KH3" s="457"/>
      <c r="KI3" s="457"/>
      <c r="KJ3" s="457"/>
      <c r="KK3" s="457"/>
      <c r="KL3" s="457"/>
      <c r="KM3" s="457"/>
      <c r="KN3" s="457"/>
      <c r="KO3" s="457"/>
      <c r="KP3" s="457"/>
      <c r="KQ3" s="457"/>
      <c r="KR3" s="457"/>
      <c r="KS3" s="457"/>
      <c r="KT3" s="457"/>
      <c r="KU3" s="457"/>
      <c r="KV3" s="457"/>
      <c r="KW3" s="457"/>
      <c r="KX3" s="457"/>
      <c r="KY3" s="457"/>
      <c r="KZ3" s="457"/>
      <c r="LA3" s="457"/>
      <c r="LB3" s="457"/>
      <c r="LC3" s="457"/>
      <c r="LD3" s="457"/>
      <c r="LE3" s="457"/>
      <c r="LF3" s="457"/>
      <c r="LG3" s="457"/>
      <c r="LH3" s="457"/>
      <c r="LI3" s="457"/>
      <c r="LJ3" s="457"/>
      <c r="LK3" s="457"/>
      <c r="LL3" s="457"/>
      <c r="LM3" s="457"/>
      <c r="LN3" s="457"/>
      <c r="LO3" s="457"/>
      <c r="LP3" s="457"/>
      <c r="LQ3" s="457"/>
      <c r="LR3" s="457"/>
      <c r="LS3" s="457"/>
      <c r="LT3" s="457"/>
      <c r="LU3" s="457"/>
      <c r="LV3" s="457"/>
      <c r="LW3" s="457"/>
      <c r="LX3" s="457"/>
      <c r="LY3" s="457"/>
      <c r="LZ3" s="457"/>
      <c r="MA3" s="457"/>
      <c r="MB3" s="457"/>
      <c r="MC3" s="457"/>
      <c r="MD3" s="457"/>
      <c r="ME3" s="457"/>
      <c r="MF3" s="457"/>
      <c r="MG3" s="457"/>
      <c r="MH3" s="457"/>
      <c r="MI3" s="457"/>
      <c r="MJ3" s="457"/>
      <c r="MK3" s="457"/>
      <c r="ML3" s="457"/>
      <c r="MM3" s="457"/>
      <c r="MN3" s="457"/>
      <c r="MO3" s="457"/>
      <c r="MP3" s="457"/>
      <c r="MQ3" s="457"/>
      <c r="MR3" s="457"/>
      <c r="MS3" s="457"/>
      <c r="MT3" s="457"/>
      <c r="MU3" s="457"/>
      <c r="MV3" s="457"/>
      <c r="MW3" s="457"/>
      <c r="MX3" s="457"/>
      <c r="MY3" s="457"/>
      <c r="MZ3" s="457"/>
      <c r="NA3" s="457"/>
      <c r="NB3" s="457"/>
      <c r="NC3" s="457"/>
      <c r="ND3" s="457"/>
      <c r="NE3" s="457"/>
      <c r="NF3" s="457"/>
      <c r="NG3" s="457"/>
      <c r="NH3" s="457"/>
      <c r="NI3" s="457"/>
      <c r="NJ3" s="457"/>
      <c r="NK3" s="457"/>
      <c r="NL3" s="457"/>
      <c r="NM3" s="457"/>
      <c r="NN3" s="457"/>
      <c r="NO3" s="457"/>
      <c r="NP3" s="457"/>
      <c r="NQ3" s="457"/>
      <c r="NR3" s="457"/>
      <c r="NS3" s="457"/>
      <c r="NT3" s="457"/>
      <c r="NU3" s="457"/>
      <c r="NV3" s="457"/>
      <c r="NW3" s="457"/>
      <c r="NX3" s="457"/>
      <c r="NY3" s="457"/>
      <c r="NZ3" s="457"/>
      <c r="OA3" s="457"/>
      <c r="OB3" s="457"/>
      <c r="OC3" s="457"/>
      <c r="OD3" s="457"/>
      <c r="OE3" s="457"/>
      <c r="OF3" s="457"/>
      <c r="OG3" s="457"/>
      <c r="OH3" s="457"/>
      <c r="OI3" s="457"/>
      <c r="OJ3" s="457"/>
      <c r="OK3" s="457"/>
      <c r="OL3" s="457"/>
      <c r="OM3" s="457"/>
      <c r="ON3" s="457"/>
      <c r="OO3" s="457"/>
      <c r="OP3" s="457"/>
      <c r="OQ3" s="457"/>
      <c r="OR3" s="457"/>
      <c r="OS3" s="457"/>
      <c r="OT3" s="457"/>
      <c r="OU3" s="457"/>
      <c r="OV3" s="457"/>
      <c r="OW3" s="457"/>
      <c r="OX3" s="457"/>
      <c r="OY3" s="457"/>
      <c r="OZ3" s="457"/>
      <c r="PA3" s="457"/>
      <c r="PB3" s="457"/>
      <c r="PC3" s="457"/>
      <c r="PD3" s="457"/>
      <c r="PE3" s="457"/>
      <c r="PF3" s="457"/>
      <c r="PG3" s="457"/>
      <c r="PH3" s="457"/>
      <c r="PI3" s="457"/>
      <c r="PJ3" s="457"/>
      <c r="PK3" s="457"/>
      <c r="PL3" s="457"/>
      <c r="PM3" s="457"/>
      <c r="PN3" s="457"/>
      <c r="PO3" s="457"/>
      <c r="PP3" s="457"/>
      <c r="PQ3" s="457"/>
      <c r="PR3" s="457"/>
      <c r="PS3" s="457"/>
      <c r="PT3" s="457"/>
      <c r="PU3" s="457"/>
      <c r="PV3" s="457"/>
      <c r="PW3" s="457"/>
      <c r="PX3" s="457"/>
      <c r="PY3" s="457"/>
      <c r="PZ3" s="457"/>
      <c r="QA3" s="457"/>
      <c r="QB3" s="457"/>
      <c r="QC3" s="457"/>
      <c r="QD3" s="457"/>
      <c r="QE3" s="457"/>
      <c r="QF3" s="457"/>
      <c r="QG3" s="457"/>
      <c r="QH3" s="457"/>
      <c r="QI3" s="457"/>
      <c r="QJ3" s="457"/>
      <c r="QK3" s="457"/>
      <c r="QL3" s="457"/>
      <c r="QM3" s="457"/>
      <c r="QN3" s="457"/>
      <c r="QO3" s="457"/>
      <c r="QP3" s="457"/>
      <c r="QQ3" s="457"/>
      <c r="QR3" s="457"/>
      <c r="QS3" s="457"/>
      <c r="QT3" s="457"/>
      <c r="QU3" s="457"/>
      <c r="QV3" s="457"/>
      <c r="QW3" s="457"/>
      <c r="QX3" s="457"/>
      <c r="QY3" s="457"/>
      <c r="QZ3" s="457"/>
      <c r="RA3" s="457"/>
      <c r="RB3" s="457"/>
      <c r="RC3" s="457"/>
      <c r="RD3" s="457"/>
      <c r="RE3" s="457"/>
      <c r="RF3" s="457"/>
      <c r="RG3" s="457"/>
      <c r="RH3" s="457"/>
      <c r="RI3" s="457"/>
      <c r="RJ3" s="457"/>
      <c r="RK3" s="457"/>
      <c r="RL3" s="457"/>
      <c r="RM3" s="457"/>
      <c r="RN3" s="457"/>
      <c r="RO3" s="457"/>
      <c r="RP3" s="457"/>
      <c r="RQ3" s="457"/>
      <c r="RR3" s="457"/>
      <c r="RS3" s="457"/>
      <c r="RT3" s="457"/>
      <c r="RU3" s="457"/>
      <c r="RV3" s="457"/>
      <c r="RW3" s="457"/>
      <c r="RX3" s="457"/>
      <c r="RY3" s="457"/>
      <c r="RZ3" s="457"/>
      <c r="SA3" s="457"/>
      <c r="SB3" s="457"/>
      <c r="SC3" s="457"/>
      <c r="SD3" s="457"/>
      <c r="SE3" s="457"/>
      <c r="SF3" s="457"/>
      <c r="SG3" s="457"/>
      <c r="SH3" s="457"/>
      <c r="SI3" s="457"/>
      <c r="SJ3" s="457"/>
      <c r="SK3" s="457"/>
      <c r="SL3" s="457"/>
      <c r="SM3" s="457"/>
      <c r="SN3" s="457"/>
      <c r="SO3" s="457"/>
      <c r="SP3" s="457"/>
      <c r="SQ3" s="457"/>
      <c r="SR3" s="457"/>
      <c r="SS3" s="457"/>
      <c r="ST3" s="457"/>
      <c r="SU3" s="457"/>
      <c r="SV3" s="457"/>
      <c r="SW3" s="457"/>
      <c r="SX3" s="457"/>
      <c r="SY3" s="457"/>
      <c r="SZ3" s="457"/>
      <c r="TA3" s="457"/>
      <c r="TB3" s="457"/>
      <c r="TC3" s="457"/>
      <c r="TD3" s="457"/>
      <c r="TE3" s="457"/>
      <c r="TF3" s="457"/>
      <c r="TG3" s="457"/>
      <c r="TH3" s="457"/>
      <c r="TI3" s="457"/>
      <c r="TJ3" s="457"/>
      <c r="TK3" s="457"/>
      <c r="TL3" s="457"/>
      <c r="TM3" s="457"/>
      <c r="TN3" s="457"/>
      <c r="TO3" s="457"/>
      <c r="TP3" s="457"/>
      <c r="TQ3" s="457"/>
      <c r="TR3" s="457"/>
      <c r="TS3" s="457"/>
      <c r="TT3" s="457"/>
      <c r="TU3" s="457"/>
      <c r="TV3" s="457"/>
      <c r="TW3" s="457"/>
      <c r="TX3" s="457"/>
      <c r="TY3" s="457"/>
      <c r="TZ3" s="457"/>
      <c r="UA3" s="457"/>
      <c r="UB3" s="457"/>
      <c r="UC3" s="457"/>
      <c r="UD3" s="457"/>
      <c r="UE3" s="457"/>
      <c r="UF3" s="457"/>
      <c r="UG3" s="457"/>
      <c r="UH3" s="457"/>
      <c r="UI3" s="457"/>
    </row>
    <row r="4" spans="1:555" ht="15.75" thickBot="1"/>
    <row r="5" spans="1:555" ht="53.25" thickBot="1">
      <c r="C5" s="87" t="s">
        <v>385</v>
      </c>
      <c r="D5" s="198">
        <f>SUMIF(C:C,$C$10,D:D)</f>
        <v>10360492.874603491</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5">
        <f>SUM(F17:F18)</f>
        <v>15300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t="s">
        <v>1529</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Diagnóstico y plan de factibilidad de la zona oriental para la apertura de la Carrera Técnico en Administración de Empresas Cafetaleras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220" t="s">
        <v>428</v>
      </c>
      <c r="D17" s="221">
        <f>0.75*3*3</f>
        <v>6.75</v>
      </c>
      <c r="E17" s="219">
        <v>2000</v>
      </c>
      <c r="F17" s="97">
        <f t="shared" ref="F17" si="0">D17*E17</f>
        <v>13500</v>
      </c>
      <c r="G17" s="161" t="s">
        <v>129</v>
      </c>
      <c r="H17" s="142" t="s">
        <v>301</v>
      </c>
      <c r="I17" s="130" t="str">
        <f>VLOOKUP(H17,Presupuesto!$B$11:$C$565,2,0)</f>
        <v>VIATICOS (26200-00)</v>
      </c>
      <c r="J17" s="218" t="s">
        <v>1357</v>
      </c>
      <c r="K17" s="98" t="s">
        <v>395</v>
      </c>
    </row>
    <row r="18" spans="3:11">
      <c r="C18" s="141" t="s">
        <v>872</v>
      </c>
      <c r="D18" s="158">
        <v>3</v>
      </c>
      <c r="E18" s="123">
        <v>600</v>
      </c>
      <c r="F18" s="97">
        <f t="shared" ref="F18" si="1">D18*E18</f>
        <v>1800</v>
      </c>
      <c r="G18" s="161" t="s">
        <v>129</v>
      </c>
      <c r="H18" s="142" t="s">
        <v>871</v>
      </c>
      <c r="I18" s="130" t="str">
        <f>VLOOKUP(H18,Presupuesto!$B$11:$C$565,2,0)</f>
        <v>GASOLINA</v>
      </c>
      <c r="J18" s="98" t="str">
        <f t="shared" ref="J18" si="2">$J$17</f>
        <v>Desarrollo e Innovación Curricular</v>
      </c>
      <c r="K18" s="98" t="s">
        <v>395</v>
      </c>
    </row>
    <row r="20" spans="3:11" s="458" customFormat="1" ht="15.75" thickBot="1">
      <c r="G20" s="445"/>
    </row>
    <row r="21" spans="3:11" s="458" customFormat="1" ht="15.75" thickBot="1">
      <c r="C21" s="157" t="s">
        <v>53</v>
      </c>
      <c r="D21" s="365">
        <f>SUM(F28:F29)</f>
        <v>7200</v>
      </c>
      <c r="F21" s="70"/>
      <c r="G21" s="79"/>
      <c r="H21" s="70"/>
      <c r="I21" s="70"/>
    </row>
    <row r="22" spans="3:11" s="458" customFormat="1">
      <c r="C22" s="70"/>
      <c r="D22" s="31"/>
      <c r="E22" s="93"/>
      <c r="F22" s="93"/>
      <c r="G22" s="93"/>
      <c r="H22" s="76"/>
      <c r="I22" s="76"/>
      <c r="J22" s="76"/>
      <c r="K22" s="112"/>
    </row>
    <row r="23" spans="3:11" s="458" customFormat="1">
      <c r="C23" s="70"/>
      <c r="D23" s="31"/>
      <c r="E23" s="93"/>
      <c r="F23" s="93"/>
      <c r="G23" s="93"/>
      <c r="H23" s="76"/>
      <c r="I23" s="76"/>
      <c r="J23" s="76"/>
      <c r="K23" s="112"/>
    </row>
    <row r="24" spans="3:11" s="458" customFormat="1" ht="15.75">
      <c r="C24" s="202" t="s">
        <v>392</v>
      </c>
      <c r="D24" s="361" t="s">
        <v>1535</v>
      </c>
      <c r="E24" s="93"/>
      <c r="F24" s="93"/>
      <c r="G24" s="93"/>
      <c r="H24" s="76"/>
      <c r="I24" s="76"/>
      <c r="J24" s="76"/>
      <c r="K24" s="112"/>
    </row>
    <row r="25" spans="3:11" s="458" customFormat="1" ht="18.75">
      <c r="C25" s="210"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Gestionar junto a la DAFT, la ampliaccion  del Técnico Universitario en Administración de Empresas Cafetaleras en UNAH-TEC-DANLÍ,  por parte del Consejo Universitario.</v>
      </c>
      <c r="D25" s="31"/>
      <c r="E25" s="93"/>
      <c r="F25" s="93"/>
      <c r="G25" s="93"/>
      <c r="H25" s="76"/>
      <c r="I25" s="76"/>
      <c r="J25" s="76"/>
      <c r="K25" s="112"/>
    </row>
    <row r="26" spans="3:11" s="458" customFormat="1" ht="15.75" thickBot="1">
      <c r="F26" s="93"/>
      <c r="G26" s="76"/>
      <c r="H26" s="76"/>
      <c r="I26" s="76"/>
    </row>
    <row r="27" spans="3:11" s="458" customFormat="1" ht="30.75" thickBot="1">
      <c r="C27" s="129" t="s">
        <v>44</v>
      </c>
      <c r="D27" s="129" t="s">
        <v>55</v>
      </c>
      <c r="E27" s="136" t="s">
        <v>57</v>
      </c>
      <c r="F27" s="135" t="s">
        <v>27</v>
      </c>
      <c r="G27" s="133" t="s">
        <v>131</v>
      </c>
      <c r="H27" s="136" t="s">
        <v>46</v>
      </c>
      <c r="I27" s="133" t="s">
        <v>132</v>
      </c>
      <c r="J27" s="133" t="s">
        <v>410</v>
      </c>
      <c r="K27" s="133" t="s">
        <v>411</v>
      </c>
    </row>
    <row r="28" spans="3:11" s="458" customFormat="1">
      <c r="C28" s="220" t="s">
        <v>428</v>
      </c>
      <c r="D28" s="221">
        <f>0.75*2*2</f>
        <v>3</v>
      </c>
      <c r="E28" s="219">
        <v>2000</v>
      </c>
      <c r="F28" s="97">
        <f t="shared" ref="F28:F29" si="3">D28*E28</f>
        <v>6000</v>
      </c>
      <c r="G28" s="161" t="s">
        <v>129</v>
      </c>
      <c r="H28" s="142" t="s">
        <v>301</v>
      </c>
      <c r="I28" s="130" t="str">
        <f>VLOOKUP(H28,Presupuesto!$B$11:$C$565,2,0)</f>
        <v>VIATICOS (26200-00)</v>
      </c>
      <c r="J28" s="218" t="s">
        <v>1357</v>
      </c>
      <c r="K28" s="98" t="s">
        <v>395</v>
      </c>
    </row>
    <row r="29" spans="3:11" s="458" customFormat="1">
      <c r="C29" s="141" t="s">
        <v>872</v>
      </c>
      <c r="D29" s="158">
        <v>2</v>
      </c>
      <c r="E29" s="123">
        <v>600</v>
      </c>
      <c r="F29" s="97">
        <f t="shared" si="3"/>
        <v>1200</v>
      </c>
      <c r="G29" s="161" t="s">
        <v>129</v>
      </c>
      <c r="H29" s="142" t="s">
        <v>871</v>
      </c>
      <c r="I29" s="130" t="str">
        <f>VLOOKUP(H29,Presupuesto!$B$11:$C$565,2,0)</f>
        <v>GASOLINA</v>
      </c>
      <c r="J29" s="98" t="str">
        <f t="shared" ref="J29" si="4">$J$17</f>
        <v>Desarrollo e Innovación Curricular</v>
      </c>
      <c r="K29" s="98" t="s">
        <v>395</v>
      </c>
    </row>
    <row r="30" spans="3:11" s="458" customFormat="1" ht="15.75" thickBot="1">
      <c r="G30" s="445"/>
    </row>
    <row r="31" spans="3:11" s="458" customFormat="1" ht="15.75" thickBot="1">
      <c r="C31" s="157" t="s">
        <v>53</v>
      </c>
      <c r="D31" s="365">
        <f>SUM(F38:F39)</f>
        <v>1000</v>
      </c>
      <c r="F31" s="70"/>
      <c r="G31" s="79"/>
      <c r="H31" s="70"/>
      <c r="I31" s="70"/>
    </row>
    <row r="32" spans="3:11" s="458" customFormat="1">
      <c r="C32" s="70"/>
      <c r="D32" s="31"/>
      <c r="E32" s="93"/>
      <c r="F32" s="93"/>
      <c r="G32" s="93"/>
      <c r="H32" s="76"/>
      <c r="I32" s="76"/>
      <c r="J32" s="76"/>
      <c r="K32" s="112"/>
    </row>
    <row r="33" spans="3:11" s="458" customFormat="1">
      <c r="C33" s="70"/>
      <c r="D33" s="31"/>
      <c r="E33" s="93"/>
      <c r="F33" s="93"/>
      <c r="G33" s="93"/>
      <c r="H33" s="76"/>
      <c r="I33" s="76"/>
      <c r="J33" s="76"/>
      <c r="K33" s="112"/>
    </row>
    <row r="34" spans="3:11" s="458" customFormat="1" ht="15.75">
      <c r="C34" s="202" t="s">
        <v>392</v>
      </c>
      <c r="D34" s="361" t="s">
        <v>1548</v>
      </c>
      <c r="E34" s="93"/>
      <c r="F34" s="93"/>
      <c r="G34" s="93"/>
      <c r="H34" s="76"/>
      <c r="I34" s="76"/>
      <c r="J34" s="76"/>
      <c r="K34" s="112"/>
    </row>
    <row r="35" spans="3:11" s="458" customFormat="1" ht="18.75">
      <c r="C35" s="210" t="str">
        <f>IFERROR(VLOOKUP(D34,'1. Desarrollo e Innov. Curricu.'!$E:$F,2,FALSE),IFERROR(VLOOKUP(D34,'2. Investigación Científica'!$E:$F,2,FALSE),IFERROR(VLOOKUP(D34,'3. Vinculación Univ. Sociedad'!$E:$F,2,FALSE),IFERROR(VLOOKUP(D34,'4. Docencia y Profesorado Univ.'!$E:$F,2,FALSE),IFERROR(VLOOKUP(D34,'5. Estudiantes y Graduados'!$E:$F,2,FALSE),IFERROR(VLOOKUP(D34,'11. Gestion Administrativa'!$E:$F,2,FALSE),IFERROR(VLOOKUP(D34,'13. Gestión Académica'!$E:$F,2,FALSE),IFERROR(VLOOKUP(D34,'8. Asegura. de la Calid. y M'!$E:$F,2,FALSE),IFERROR(VLOOKUP(D34,'6. Gestión del Conocimiento'!$E:$F,2,FALSE),IFERROR(VLOOKUP(D34,'15. Gobernabilidad y Proceso...'!$E:$F,2,FALSE),IFERROR(VLOOKUP(D34,'12. Gestión del Talento Humano'!$E:$F,2,FALSE),IFERROR(VLOOKUP(D34,'14. Internacional... de la E.S.'!$E:$F,2,FALSE),IFERROR(VLOOKUP(D34,'10. Posgrado'!$E:$F,2,FALSE),IFERROR(VLOOKUP(D34,'17. Gestión TIC'!$E:$F,2,FALSE),IFERROR(VLOOKUP(D34,'16. Desa. del Sistema Educ.Sup.'!$E:$F,2,FALSE),IFERROR(VLOOKUP(D34,'9. Cultura de Inno. Insti...'!$E:$F,2,FALSE),VLOOKUP(D34,'7. Lo Esencial de la Reforma U.'!$E:$F,2,0)))))))))))))))))</f>
        <v>Brindar Capacitaciones a los alumnos de último año de la Escuela Agrotécnia de Oriente, Dr. Reinaldo Salinas López, Municipio de Jacaleapa en las areas  que se detallan a continuacion: .1. Capacitació en 5S y calidad total, 2. Motivación Empresarial                                         3.  Costos  de producción            4. Administración básica y Mercadotecnia          5 Regístros de contabilidad                              . 6.Economía y finanzas     7 Rural Pro.</v>
      </c>
      <c r="D35" s="31"/>
      <c r="E35" s="93"/>
      <c r="F35" s="93"/>
      <c r="G35" s="93"/>
      <c r="H35" s="76"/>
      <c r="I35" s="76"/>
      <c r="J35" s="76"/>
      <c r="K35" s="112"/>
    </row>
    <row r="36" spans="3:11" s="458" customFormat="1" ht="15.75" thickBot="1">
      <c r="F36" s="93"/>
      <c r="G36" s="76"/>
      <c r="H36" s="76"/>
      <c r="I36" s="76"/>
    </row>
    <row r="37" spans="3:11" s="458" customFormat="1" ht="30.75" thickBot="1">
      <c r="C37" s="129" t="s">
        <v>44</v>
      </c>
      <c r="D37" s="129" t="s">
        <v>55</v>
      </c>
      <c r="E37" s="136" t="s">
        <v>57</v>
      </c>
      <c r="F37" s="135" t="s">
        <v>27</v>
      </c>
      <c r="G37" s="133" t="s">
        <v>131</v>
      </c>
      <c r="H37" s="136" t="s">
        <v>46</v>
      </c>
      <c r="I37" s="133" t="s">
        <v>132</v>
      </c>
      <c r="J37" s="133" t="s">
        <v>410</v>
      </c>
      <c r="K37" s="133" t="s">
        <v>411</v>
      </c>
    </row>
    <row r="38" spans="3:11" s="458" customFormat="1">
      <c r="C38" s="220" t="s">
        <v>430</v>
      </c>
      <c r="D38" s="221"/>
      <c r="E38" s="219">
        <v>2000</v>
      </c>
      <c r="F38" s="97">
        <f t="shared" ref="F38:F39" si="5">D38*E38</f>
        <v>0</v>
      </c>
      <c r="G38" s="161"/>
      <c r="H38" s="142"/>
      <c r="I38" s="130" t="e">
        <f>VLOOKUP(H38,Presupuesto!$B$11:$C$565,2,0)</f>
        <v>#N/A</v>
      </c>
      <c r="J38" s="218" t="s">
        <v>1357</v>
      </c>
      <c r="K38" s="98"/>
    </row>
    <row r="39" spans="3:11" s="458" customFormat="1">
      <c r="C39" s="141" t="s">
        <v>872</v>
      </c>
      <c r="D39" s="158">
        <v>2</v>
      </c>
      <c r="E39" s="123">
        <v>500</v>
      </c>
      <c r="F39" s="97">
        <f t="shared" si="5"/>
        <v>1000</v>
      </c>
      <c r="G39" s="161" t="s">
        <v>129</v>
      </c>
      <c r="H39" s="142" t="s">
        <v>871</v>
      </c>
      <c r="I39" s="130" t="str">
        <f>VLOOKUP(H39,Presupuesto!$B$11:$C$565,2,0)</f>
        <v>GASOLINA</v>
      </c>
      <c r="J39" s="98" t="s">
        <v>471</v>
      </c>
      <c r="K39" s="98" t="s">
        <v>395</v>
      </c>
    </row>
    <row r="40" spans="3:11" s="458" customFormat="1">
      <c r="G40" s="445"/>
    </row>
    <row r="41" spans="3:11" s="458" customFormat="1">
      <c r="G41" s="445"/>
    </row>
    <row r="42" spans="3:11" ht="15.75" thickBot="1">
      <c r="F42" s="90"/>
      <c r="G42" s="89"/>
      <c r="H42" s="90"/>
      <c r="I42" s="90"/>
    </row>
    <row r="43" spans="3:11" ht="15.75" thickBot="1">
      <c r="C43" s="157" t="s">
        <v>53</v>
      </c>
      <c r="D43" s="365">
        <f>SUM(F50:F72)</f>
        <v>40200</v>
      </c>
      <c r="F43" s="70"/>
      <c r="G43" s="79"/>
      <c r="H43" s="70"/>
      <c r="I43" s="70"/>
    </row>
    <row r="44" spans="3:11">
      <c r="C44" s="70"/>
      <c r="D44" s="31"/>
      <c r="E44" s="93"/>
      <c r="F44" s="93"/>
      <c r="G44" s="93"/>
      <c r="H44" s="76"/>
      <c r="I44" s="76"/>
      <c r="J44" s="76"/>
      <c r="K44" s="112"/>
    </row>
    <row r="45" spans="3:11">
      <c r="C45" s="70"/>
      <c r="D45" s="31"/>
      <c r="E45" s="93"/>
      <c r="F45" s="93"/>
      <c r="G45" s="93"/>
      <c r="H45" s="76"/>
      <c r="I45" s="76"/>
      <c r="J45" s="76"/>
      <c r="K45" s="112"/>
    </row>
    <row r="46" spans="3:11" ht="15.75">
      <c r="C46" s="202" t="s">
        <v>392</v>
      </c>
      <c r="D46" s="361" t="s">
        <v>1563</v>
      </c>
      <c r="E46" s="93"/>
      <c r="F46" s="93"/>
      <c r="G46" s="93"/>
      <c r="H46" s="76"/>
      <c r="I46" s="76"/>
      <c r="J46" s="76"/>
      <c r="K46" s="112"/>
    </row>
    <row r="47" spans="3:11" ht="18.75">
      <c r="C47" s="210" t="str">
        <f>IFERROR(VLOOKUP(D46,'1. Desarrollo e Innov. Curricu.'!$E:$F,2,FALSE),IFERROR(VLOOKUP(D46,'2. Investigación Científica'!$E:$F,2,FALSE),IFERROR(VLOOKUP(D46,'3. Vinculación Univ. Sociedad'!$E:$F,2,FALSE),IFERROR(VLOOKUP(D46,'4. Docencia y Profesorado Univ.'!$E:$F,2,FALSE),IFERROR(VLOOKUP(D46,'5. Estudiantes y Graduados'!$E:$F,2,FALSE),IFERROR(VLOOKUP(D46,'11. Gestion Administrativa'!$E:$F,2,FALSE),IFERROR(VLOOKUP(D46,'13. Gestión Académica'!$E:$F,2,FALSE),IFERROR(VLOOKUP(D46,'8. Asegura. de la Calid. y M'!$E:$F,2,FALSE),IFERROR(VLOOKUP(D46,'6. Gestión del Conocimiento'!$E:$F,2,FALSE),IFERROR(VLOOKUP(D46,'15. Gobernabilidad y Proceso...'!$E:$F,2,FALSE),IFERROR(VLOOKUP(D46,'12. Gestión del Talento Humano'!$E:$F,2,FALSE),IFERROR(VLOOKUP(D46,'14. Internacional... de la E.S.'!$E:$F,2,FALSE),IFERROR(VLOOKUP(D46,'10. Posgrado'!$E:$F,2,FALSE),IFERROR(VLOOKUP(D46,'17. Gestión TIC'!$E:$F,2,FALSE),IFERROR(VLOOKUP(D46,'16. Desa. del Sistema Educ.Sup.'!$E:$F,2,FALSE),IFERROR(VLOOKUP(D46,'9. Cultura de Inno. Insti...'!$E:$F,2,FALSE),VLOOKUP(D46,'7. Lo Esencial de la Reforma U.'!$E:$F,2,0)))))))))))))))))</f>
        <v xml:space="preserve">Gestionar la Dotación material de estudio (textos) Economo-Administrativo para la biblioteca Alfredo León Gomez </v>
      </c>
      <c r="D47" s="31"/>
      <c r="E47" s="93"/>
      <c r="F47" s="93"/>
      <c r="G47" s="93"/>
      <c r="H47" s="76"/>
      <c r="I47" s="76"/>
      <c r="J47" s="76"/>
      <c r="K47" s="112"/>
    </row>
    <row r="48" spans="3:11" ht="15.75" thickBot="1">
      <c r="F48" s="93"/>
      <c r="G48" s="76"/>
      <c r="H48" s="76"/>
      <c r="I48" s="76"/>
    </row>
    <row r="49" spans="3:11" ht="30.75" thickBot="1">
      <c r="C49" s="129" t="s">
        <v>44</v>
      </c>
      <c r="D49" s="129" t="s">
        <v>55</v>
      </c>
      <c r="E49" s="136" t="s">
        <v>57</v>
      </c>
      <c r="F49" s="135" t="s">
        <v>27</v>
      </c>
      <c r="G49" s="133" t="s">
        <v>131</v>
      </c>
      <c r="H49" s="136" t="s">
        <v>46</v>
      </c>
      <c r="I49" s="133" t="s">
        <v>132</v>
      </c>
      <c r="J49" s="133" t="s">
        <v>410</v>
      </c>
      <c r="K49" s="133" t="s">
        <v>411</v>
      </c>
    </row>
    <row r="50" spans="3:11">
      <c r="C50" s="220" t="s">
        <v>428</v>
      </c>
      <c r="D50" s="221"/>
      <c r="E50" s="219">
        <f>HLOOKUP(C50,$AH$2:$BU$3,2,0)</f>
        <v>2000</v>
      </c>
      <c r="F50" s="97">
        <f t="shared" ref="F50:F72" si="6">D50*E50</f>
        <v>0</v>
      </c>
      <c r="G50" s="161" t="s">
        <v>129</v>
      </c>
      <c r="H50" s="142" t="s">
        <v>825</v>
      </c>
      <c r="I50" s="130" t="str">
        <f>VLOOKUP(H50,Presupuesto!$B$11:$C$565,2,0)</f>
        <v>LIBROS REVISTAS Y PERIODICOS</v>
      </c>
      <c r="J50" s="218" t="s">
        <v>1364</v>
      </c>
      <c r="K50" s="98" t="s">
        <v>398</v>
      </c>
    </row>
    <row r="51" spans="3:11">
      <c r="C51" s="143" t="s">
        <v>1568</v>
      </c>
      <c r="D51" s="158">
        <v>3</v>
      </c>
      <c r="E51" s="123">
        <v>600</v>
      </c>
      <c r="F51" s="97">
        <f t="shared" si="6"/>
        <v>1800</v>
      </c>
      <c r="G51" s="161" t="s">
        <v>129</v>
      </c>
      <c r="H51" s="142" t="s">
        <v>825</v>
      </c>
      <c r="I51" s="130" t="str">
        <f>VLOOKUP(H51,Presupuesto!$B$11:$C$565,2,0)</f>
        <v>LIBROS REVISTAS Y PERIODICOS</v>
      </c>
      <c r="J51" s="98" t="str">
        <f>$J$50</f>
        <v>Gestión Administrativa y  financiera en apoyo al Desarrollo Académico</v>
      </c>
      <c r="K51" s="98" t="s">
        <v>398</v>
      </c>
    </row>
    <row r="52" spans="3:11">
      <c r="C52" s="143" t="s">
        <v>1569</v>
      </c>
      <c r="D52" s="158">
        <v>3</v>
      </c>
      <c r="E52" s="123">
        <v>600</v>
      </c>
      <c r="F52" s="97">
        <f t="shared" si="6"/>
        <v>1800</v>
      </c>
      <c r="G52" s="161" t="s">
        <v>129</v>
      </c>
      <c r="H52" s="142" t="s">
        <v>825</v>
      </c>
      <c r="I52" s="130" t="str">
        <f>VLOOKUP(H52,Presupuesto!$B$11:$C$565,2,0)</f>
        <v>LIBROS REVISTAS Y PERIODICOS</v>
      </c>
      <c r="J52" s="98" t="str">
        <f t="shared" ref="J52:J72" si="7">$J$50</f>
        <v>Gestión Administrativa y  financiera en apoyo al Desarrollo Académico</v>
      </c>
      <c r="K52" s="98" t="s">
        <v>398</v>
      </c>
    </row>
    <row r="53" spans="3:11">
      <c r="C53" s="143" t="s">
        <v>1569</v>
      </c>
      <c r="D53" s="158">
        <v>3</v>
      </c>
      <c r="E53" s="123">
        <v>600</v>
      </c>
      <c r="F53" s="97">
        <f t="shared" si="6"/>
        <v>1800</v>
      </c>
      <c r="G53" s="161" t="s">
        <v>129</v>
      </c>
      <c r="H53" s="142" t="s">
        <v>825</v>
      </c>
      <c r="I53" s="130" t="str">
        <f>VLOOKUP(H53,Presupuesto!$B$11:$C$565,2,0)</f>
        <v>LIBROS REVISTAS Y PERIODICOS</v>
      </c>
      <c r="J53" s="98" t="str">
        <f t="shared" si="7"/>
        <v>Gestión Administrativa y  financiera en apoyo al Desarrollo Académico</v>
      </c>
      <c r="K53" s="98" t="s">
        <v>398</v>
      </c>
    </row>
    <row r="54" spans="3:11">
      <c r="C54" s="143" t="s">
        <v>1569</v>
      </c>
      <c r="D54" s="158">
        <v>3</v>
      </c>
      <c r="E54" s="123">
        <v>600</v>
      </c>
      <c r="F54" s="97">
        <f t="shared" si="6"/>
        <v>1800</v>
      </c>
      <c r="G54" s="161" t="s">
        <v>129</v>
      </c>
      <c r="H54" s="142" t="s">
        <v>825</v>
      </c>
      <c r="I54" s="130" t="str">
        <f>VLOOKUP(H54,Presupuesto!$B$11:$C$565,2,0)</f>
        <v>LIBROS REVISTAS Y PERIODICOS</v>
      </c>
      <c r="J54" s="98" t="str">
        <f t="shared" si="7"/>
        <v>Gestión Administrativa y  financiera en apoyo al Desarrollo Académico</v>
      </c>
      <c r="K54" s="98" t="s">
        <v>398</v>
      </c>
    </row>
    <row r="55" spans="3:11">
      <c r="C55" s="143" t="s">
        <v>1570</v>
      </c>
      <c r="D55" s="158">
        <v>3</v>
      </c>
      <c r="E55" s="123">
        <v>600</v>
      </c>
      <c r="F55" s="97">
        <f t="shared" si="6"/>
        <v>1800</v>
      </c>
      <c r="G55" s="161" t="s">
        <v>129</v>
      </c>
      <c r="H55" s="142" t="s">
        <v>825</v>
      </c>
      <c r="I55" s="130" t="str">
        <f>VLOOKUP(H55,Presupuesto!$B$11:$C$565,2,0)</f>
        <v>LIBROS REVISTAS Y PERIODICOS</v>
      </c>
      <c r="J55" s="98" t="str">
        <f t="shared" si="7"/>
        <v>Gestión Administrativa y  financiera en apoyo al Desarrollo Académico</v>
      </c>
      <c r="K55" s="98" t="s">
        <v>398</v>
      </c>
    </row>
    <row r="56" spans="3:11">
      <c r="C56" s="143" t="s">
        <v>1571</v>
      </c>
      <c r="D56" s="158">
        <v>3</v>
      </c>
      <c r="E56" s="123">
        <v>600</v>
      </c>
      <c r="F56" s="97">
        <f t="shared" si="6"/>
        <v>1800</v>
      </c>
      <c r="G56" s="161" t="s">
        <v>129</v>
      </c>
      <c r="H56" s="142" t="s">
        <v>825</v>
      </c>
      <c r="I56" s="130" t="str">
        <f>VLOOKUP(H56,Presupuesto!$B$11:$C$565,2,0)</f>
        <v>LIBROS REVISTAS Y PERIODICOS</v>
      </c>
      <c r="J56" s="98" t="str">
        <f t="shared" si="7"/>
        <v>Gestión Administrativa y  financiera en apoyo al Desarrollo Académico</v>
      </c>
      <c r="K56" s="98" t="s">
        <v>398</v>
      </c>
    </row>
    <row r="57" spans="3:11">
      <c r="C57" s="143" t="s">
        <v>1571</v>
      </c>
      <c r="D57" s="158">
        <v>3</v>
      </c>
      <c r="E57" s="123">
        <v>600</v>
      </c>
      <c r="F57" s="97">
        <f t="shared" si="6"/>
        <v>1800</v>
      </c>
      <c r="G57" s="161" t="s">
        <v>129</v>
      </c>
      <c r="H57" s="142" t="s">
        <v>825</v>
      </c>
      <c r="I57" s="130" t="str">
        <f>VLOOKUP(H57,Presupuesto!$B$11:$C$565,2,0)</f>
        <v>LIBROS REVISTAS Y PERIODICOS</v>
      </c>
      <c r="J57" s="98" t="str">
        <f t="shared" si="7"/>
        <v>Gestión Administrativa y  financiera en apoyo al Desarrollo Académico</v>
      </c>
      <c r="K57" s="98" t="s">
        <v>398</v>
      </c>
    </row>
    <row r="58" spans="3:11">
      <c r="C58" s="143" t="s">
        <v>1572</v>
      </c>
      <c r="D58" s="158">
        <v>3</v>
      </c>
      <c r="E58" s="123">
        <v>600</v>
      </c>
      <c r="F58" s="97">
        <f t="shared" si="6"/>
        <v>1800</v>
      </c>
      <c r="G58" s="161" t="s">
        <v>129</v>
      </c>
      <c r="H58" s="142" t="s">
        <v>825</v>
      </c>
      <c r="I58" s="130" t="str">
        <f>VLOOKUP(H58,Presupuesto!$B$11:$C$565,2,0)</f>
        <v>LIBROS REVISTAS Y PERIODICOS</v>
      </c>
      <c r="J58" s="98" t="str">
        <f t="shared" si="7"/>
        <v>Gestión Administrativa y  financiera en apoyo al Desarrollo Académico</v>
      </c>
      <c r="K58" s="98" t="s">
        <v>398</v>
      </c>
    </row>
    <row r="59" spans="3:11">
      <c r="C59" s="143" t="s">
        <v>1573</v>
      </c>
      <c r="D59" s="158">
        <v>3</v>
      </c>
      <c r="E59" s="123">
        <v>600</v>
      </c>
      <c r="F59" s="97">
        <f t="shared" si="6"/>
        <v>1800</v>
      </c>
      <c r="G59" s="161" t="s">
        <v>129</v>
      </c>
      <c r="H59" s="142" t="s">
        <v>825</v>
      </c>
      <c r="I59" s="130" t="str">
        <f>VLOOKUP(H59,Presupuesto!$B$11:$C$565,2,0)</f>
        <v>LIBROS REVISTAS Y PERIODICOS</v>
      </c>
      <c r="J59" s="98" t="str">
        <f t="shared" si="7"/>
        <v>Gestión Administrativa y  financiera en apoyo al Desarrollo Académico</v>
      </c>
      <c r="K59" s="98" t="s">
        <v>398</v>
      </c>
    </row>
    <row r="60" spans="3:11">
      <c r="C60" s="143" t="s">
        <v>1574</v>
      </c>
      <c r="D60" s="158">
        <v>3</v>
      </c>
      <c r="E60" s="123">
        <v>600</v>
      </c>
      <c r="F60" s="97">
        <f t="shared" si="6"/>
        <v>1800</v>
      </c>
      <c r="G60" s="161" t="s">
        <v>129</v>
      </c>
      <c r="H60" s="142" t="s">
        <v>825</v>
      </c>
      <c r="I60" s="130" t="str">
        <f>VLOOKUP(H60,Presupuesto!$B$11:$C$565,2,0)</f>
        <v>LIBROS REVISTAS Y PERIODICOS</v>
      </c>
      <c r="J60" s="98" t="str">
        <f t="shared" si="7"/>
        <v>Gestión Administrativa y  financiera en apoyo al Desarrollo Académico</v>
      </c>
      <c r="K60" s="98" t="s">
        <v>398</v>
      </c>
    </row>
    <row r="61" spans="3:11">
      <c r="C61" s="143" t="s">
        <v>1575</v>
      </c>
      <c r="D61" s="158">
        <v>3</v>
      </c>
      <c r="E61" s="123">
        <v>600</v>
      </c>
      <c r="F61" s="97">
        <f t="shared" si="6"/>
        <v>1800</v>
      </c>
      <c r="G61" s="161" t="s">
        <v>129</v>
      </c>
      <c r="H61" s="142" t="s">
        <v>825</v>
      </c>
      <c r="I61" s="130" t="str">
        <f>VLOOKUP(H61,Presupuesto!$B$11:$C$565,2,0)</f>
        <v>LIBROS REVISTAS Y PERIODICOS</v>
      </c>
      <c r="J61" s="98" t="str">
        <f t="shared" si="7"/>
        <v>Gestión Administrativa y  financiera en apoyo al Desarrollo Académico</v>
      </c>
      <c r="K61" s="98" t="s">
        <v>398</v>
      </c>
    </row>
    <row r="62" spans="3:11" ht="30">
      <c r="C62" s="497" t="s">
        <v>1576</v>
      </c>
      <c r="D62" s="158">
        <v>4</v>
      </c>
      <c r="E62" s="123">
        <v>600</v>
      </c>
      <c r="F62" s="97">
        <f t="shared" si="6"/>
        <v>2400</v>
      </c>
      <c r="G62" s="161" t="s">
        <v>129</v>
      </c>
      <c r="H62" s="142" t="s">
        <v>825</v>
      </c>
      <c r="I62" s="130" t="str">
        <f>VLOOKUP(H62,Presupuesto!$B$11:$C$565,2,0)</f>
        <v>LIBROS REVISTAS Y PERIODICOS</v>
      </c>
      <c r="J62" s="98" t="str">
        <f t="shared" si="7"/>
        <v>Gestión Administrativa y  financiera en apoyo al Desarrollo Académico</v>
      </c>
      <c r="K62" s="98" t="s">
        <v>398</v>
      </c>
    </row>
    <row r="63" spans="3:11" ht="30">
      <c r="C63" s="498" t="s">
        <v>1576</v>
      </c>
      <c r="D63" s="158">
        <v>3</v>
      </c>
      <c r="E63" s="123">
        <v>600</v>
      </c>
      <c r="F63" s="97">
        <f t="shared" si="6"/>
        <v>1800</v>
      </c>
      <c r="G63" s="161" t="s">
        <v>129</v>
      </c>
      <c r="H63" s="142" t="s">
        <v>825</v>
      </c>
      <c r="I63" s="130" t="str">
        <f>VLOOKUP(H63,Presupuesto!$B$11:$C$565,2,0)</f>
        <v>LIBROS REVISTAS Y PERIODICOS</v>
      </c>
      <c r="J63" s="98" t="str">
        <f t="shared" si="7"/>
        <v>Gestión Administrativa y  financiera en apoyo al Desarrollo Académico</v>
      </c>
      <c r="K63" s="98" t="s">
        <v>398</v>
      </c>
    </row>
    <row r="64" spans="3:11">
      <c r="C64" s="143" t="s">
        <v>1577</v>
      </c>
      <c r="D64" s="158">
        <v>3</v>
      </c>
      <c r="E64" s="123">
        <v>600</v>
      </c>
      <c r="F64" s="97">
        <f t="shared" si="6"/>
        <v>1800</v>
      </c>
      <c r="G64" s="161" t="s">
        <v>129</v>
      </c>
      <c r="H64" s="142" t="s">
        <v>825</v>
      </c>
      <c r="I64" s="130" t="str">
        <f>VLOOKUP(H64,Presupuesto!$B$11:$C$565,2,0)</f>
        <v>LIBROS REVISTAS Y PERIODICOS</v>
      </c>
      <c r="J64" s="98" t="str">
        <f t="shared" si="7"/>
        <v>Gestión Administrativa y  financiera en apoyo al Desarrollo Académico</v>
      </c>
      <c r="K64" s="98" t="s">
        <v>398</v>
      </c>
    </row>
    <row r="65" spans="3:11">
      <c r="C65" s="143" t="s">
        <v>1578</v>
      </c>
      <c r="D65" s="158">
        <v>3</v>
      </c>
      <c r="E65" s="123">
        <v>600</v>
      </c>
      <c r="F65" s="97">
        <f t="shared" si="6"/>
        <v>1800</v>
      </c>
      <c r="G65" s="161" t="s">
        <v>129</v>
      </c>
      <c r="H65" s="142" t="s">
        <v>825</v>
      </c>
      <c r="I65" s="130" t="str">
        <f>VLOOKUP(H65,Presupuesto!$B$11:$C$565,2,0)</f>
        <v>LIBROS REVISTAS Y PERIODICOS</v>
      </c>
      <c r="J65" s="98" t="str">
        <f t="shared" si="7"/>
        <v>Gestión Administrativa y  financiera en apoyo al Desarrollo Académico</v>
      </c>
      <c r="K65" s="98" t="s">
        <v>398</v>
      </c>
    </row>
    <row r="66" spans="3:11">
      <c r="C66" s="143" t="s">
        <v>1578</v>
      </c>
      <c r="D66" s="158">
        <v>3</v>
      </c>
      <c r="E66" s="123">
        <v>600</v>
      </c>
      <c r="F66" s="97">
        <f t="shared" si="6"/>
        <v>1800</v>
      </c>
      <c r="G66" s="161" t="s">
        <v>129</v>
      </c>
      <c r="H66" s="142" t="s">
        <v>825</v>
      </c>
      <c r="I66" s="130" t="str">
        <f>VLOOKUP(H66,Presupuesto!$B$11:$C$565,2,0)</f>
        <v>LIBROS REVISTAS Y PERIODICOS</v>
      </c>
      <c r="J66" s="98" t="str">
        <f t="shared" si="7"/>
        <v>Gestión Administrativa y  financiera en apoyo al Desarrollo Académico</v>
      </c>
      <c r="K66" s="98" t="s">
        <v>398</v>
      </c>
    </row>
    <row r="67" spans="3:11">
      <c r="C67" s="143" t="s">
        <v>1579</v>
      </c>
      <c r="D67" s="158">
        <v>3</v>
      </c>
      <c r="E67" s="123">
        <v>600</v>
      </c>
      <c r="F67" s="97">
        <f t="shared" si="6"/>
        <v>1800</v>
      </c>
      <c r="G67" s="161" t="s">
        <v>129</v>
      </c>
      <c r="H67" s="142" t="s">
        <v>825</v>
      </c>
      <c r="I67" s="130" t="str">
        <f>VLOOKUP(H67,Presupuesto!$B$11:$C$565,2,0)</f>
        <v>LIBROS REVISTAS Y PERIODICOS</v>
      </c>
      <c r="J67" s="98" t="str">
        <f t="shared" si="7"/>
        <v>Gestión Administrativa y  financiera en apoyo al Desarrollo Académico</v>
      </c>
      <c r="K67" s="98" t="s">
        <v>398</v>
      </c>
    </row>
    <row r="68" spans="3:11">
      <c r="C68" s="143" t="s">
        <v>1580</v>
      </c>
      <c r="D68" s="158">
        <v>3</v>
      </c>
      <c r="E68" s="123">
        <v>600</v>
      </c>
      <c r="F68" s="97">
        <f t="shared" si="6"/>
        <v>1800</v>
      </c>
      <c r="G68" s="161" t="s">
        <v>129</v>
      </c>
      <c r="H68" s="142" t="s">
        <v>825</v>
      </c>
      <c r="I68" s="130" t="str">
        <f>VLOOKUP(H68,Presupuesto!$B$11:$C$565,2,0)</f>
        <v>LIBROS REVISTAS Y PERIODICOS</v>
      </c>
      <c r="J68" s="98" t="str">
        <f t="shared" si="7"/>
        <v>Gestión Administrativa y  financiera en apoyo al Desarrollo Académico</v>
      </c>
      <c r="K68" s="98" t="s">
        <v>398</v>
      </c>
    </row>
    <row r="69" spans="3:11">
      <c r="C69" s="143" t="s">
        <v>1581</v>
      </c>
      <c r="D69" s="158">
        <v>3</v>
      </c>
      <c r="E69" s="123">
        <v>600</v>
      </c>
      <c r="F69" s="97">
        <f t="shared" si="6"/>
        <v>1800</v>
      </c>
      <c r="G69" s="161" t="s">
        <v>129</v>
      </c>
      <c r="H69" s="142" t="s">
        <v>825</v>
      </c>
      <c r="I69" s="130" t="str">
        <f>VLOOKUP(H69,Presupuesto!$B$11:$C$565,2,0)</f>
        <v>LIBROS REVISTAS Y PERIODICOS</v>
      </c>
      <c r="J69" s="98" t="str">
        <f t="shared" si="7"/>
        <v>Gestión Administrativa y  financiera en apoyo al Desarrollo Académico</v>
      </c>
      <c r="K69" s="98" t="s">
        <v>398</v>
      </c>
    </row>
    <row r="70" spans="3:11">
      <c r="C70" s="143" t="s">
        <v>1582</v>
      </c>
      <c r="D70" s="158">
        <v>3</v>
      </c>
      <c r="E70" s="123">
        <v>600</v>
      </c>
      <c r="F70" s="97">
        <f t="shared" si="6"/>
        <v>1800</v>
      </c>
      <c r="G70" s="161" t="s">
        <v>129</v>
      </c>
      <c r="H70" s="142" t="s">
        <v>825</v>
      </c>
      <c r="I70" s="130" t="str">
        <f>VLOOKUP(H70,Presupuesto!$B$11:$C$565,2,0)</f>
        <v>LIBROS REVISTAS Y PERIODICOS</v>
      </c>
      <c r="J70" s="98" t="str">
        <f t="shared" si="7"/>
        <v>Gestión Administrativa y  financiera en apoyo al Desarrollo Académico</v>
      </c>
      <c r="K70" s="98" t="s">
        <v>398</v>
      </c>
    </row>
    <row r="71" spans="3:11">
      <c r="C71" s="143" t="s">
        <v>1583</v>
      </c>
      <c r="D71" s="158">
        <v>3</v>
      </c>
      <c r="E71" s="123">
        <v>600</v>
      </c>
      <c r="F71" s="97">
        <f t="shared" si="6"/>
        <v>1800</v>
      </c>
      <c r="G71" s="161" t="s">
        <v>129</v>
      </c>
      <c r="H71" s="142" t="s">
        <v>825</v>
      </c>
      <c r="I71" s="130" t="str">
        <f>VLOOKUP(H71,Presupuesto!$B$11:$C$565,2,0)</f>
        <v>LIBROS REVISTAS Y PERIODICOS</v>
      </c>
      <c r="J71" s="98" t="str">
        <f t="shared" si="7"/>
        <v>Gestión Administrativa y  financiera en apoyo al Desarrollo Académico</v>
      </c>
      <c r="K71" s="98" t="s">
        <v>398</v>
      </c>
    </row>
    <row r="72" spans="3:11">
      <c r="C72" s="143" t="s">
        <v>1584</v>
      </c>
      <c r="D72" s="151">
        <v>3</v>
      </c>
      <c r="E72" s="118">
        <v>600</v>
      </c>
      <c r="F72" s="97">
        <f t="shared" si="6"/>
        <v>1800</v>
      </c>
      <c r="G72" s="161" t="s">
        <v>129</v>
      </c>
      <c r="H72" s="142" t="s">
        <v>825</v>
      </c>
      <c r="I72" s="130" t="str">
        <f>VLOOKUP(H72,Presupuesto!$B$11:$C$565,2,0)</f>
        <v>LIBROS REVISTAS Y PERIODICOS</v>
      </c>
      <c r="J72" s="98" t="str">
        <f t="shared" si="7"/>
        <v>Gestión Administrativa y  financiera en apoyo al Desarrollo Académico</v>
      </c>
      <c r="K72" s="98" t="s">
        <v>398</v>
      </c>
    </row>
    <row r="74" spans="3:11" ht="15.75" thickBot="1"/>
    <row r="75" spans="3:11" ht="15.75" thickBot="1">
      <c r="C75" s="157" t="s">
        <v>53</v>
      </c>
      <c r="D75" s="365">
        <f>SUM(F82:F85)</f>
        <v>6500</v>
      </c>
      <c r="F75" s="70"/>
      <c r="G75" s="79"/>
      <c r="H75" s="70"/>
      <c r="I75" s="70"/>
    </row>
    <row r="76" spans="3:11">
      <c r="C76" s="70"/>
      <c r="D76" s="31"/>
      <c r="E76" s="93"/>
      <c r="F76" s="93"/>
      <c r="G76" s="93"/>
      <c r="H76" s="76"/>
      <c r="I76" s="76"/>
      <c r="J76" s="76"/>
      <c r="K76" s="112"/>
    </row>
    <row r="77" spans="3:11">
      <c r="C77" s="70"/>
      <c r="D77" s="31"/>
      <c r="E77" s="93"/>
      <c r="F77" s="93"/>
      <c r="G77" s="93"/>
      <c r="H77" s="76"/>
      <c r="I77" s="76"/>
      <c r="J77" s="76"/>
      <c r="K77" s="112"/>
    </row>
    <row r="78" spans="3:11" ht="15.75">
      <c r="C78" s="202" t="s">
        <v>392</v>
      </c>
      <c r="D78" s="361" t="s">
        <v>1620</v>
      </c>
      <c r="E78" s="507"/>
      <c r="F78" s="93"/>
      <c r="G78" s="93"/>
      <c r="H78" s="76"/>
      <c r="I78" s="76"/>
      <c r="J78" s="76"/>
      <c r="K78" s="112"/>
    </row>
    <row r="79" spans="3:11" ht="18.75">
      <c r="C79" s="210" t="str">
        <f>IFERROR(VLOOKUP(D78,'1. Desarrollo e Innov. Curricu.'!$E:$F,2,FALSE),IFERROR(VLOOKUP(D78,'2. Investigación Científica'!$E:$F,2,FALSE),IFERROR(VLOOKUP(D78,'3. Vinculación Univ. Sociedad'!$E:$F,2,FALSE),IFERROR(VLOOKUP(D78,'4. Docencia y Profesorado Univ.'!$E:$F,2,FALSE),IFERROR(VLOOKUP(D78,'5. Estudiantes y Graduados'!$E:$F,2,FALSE),IFERROR(VLOOKUP(D78,'11. Gestion Administrativa'!$E:$F,2,FALSE),IFERROR(VLOOKUP(D78,'13. Gestión Académica'!$E:$F,2,FALSE),IFERROR(VLOOKUP(D78,'8. Asegura. de la Calid. y M'!$E:$F,2,FALSE),IFERROR(VLOOKUP(D78,'6. Gestión del Conocimiento'!$E:$F,2,FALSE),IFERROR(VLOOKUP(D78,'15. Gobernabilidad y Proceso...'!$E:$F,2,FALSE),IFERROR(VLOOKUP(D78,'12. Gestión del Talento Humano'!$E:$F,2,FALSE),IFERROR(VLOOKUP(D78,'14. Internacional... de la E.S.'!$E:$F,2,FALSE),IFERROR(VLOOKUP(D78,'10. Posgrado'!$E:$F,2,FALSE),IFERROR(VLOOKUP(D78,'17. Gestión TIC'!$E:$F,2,FALSE),IFERROR(VLOOKUP(D78,'16. Desa. del Sistema Educ.Sup.'!$E:$F,2,FALSE),IFERROR(VLOOKUP(D78,'9. Cultura de Inno. Insti...'!$E:$F,2,FALSE),VLOOKUP(D78,'7. Lo Esencial de la Reforma U.'!$E:$F,2,0)))))))))))))))))</f>
        <v xml:space="preserve">Jornada de intercambio de cpnocimiento de especialistas en el area de informatica </v>
      </c>
      <c r="D79" s="400"/>
      <c r="E79" s="93"/>
      <c r="F79" s="93"/>
      <c r="G79" s="93"/>
      <c r="H79" s="76"/>
      <c r="I79" s="76"/>
      <c r="J79" s="76"/>
      <c r="K79" s="112"/>
    </row>
    <row r="80" spans="3:11" ht="15.75" thickBot="1">
      <c r="F80" s="93"/>
      <c r="G80" s="76"/>
      <c r="H80" s="76"/>
      <c r="I80" s="76"/>
    </row>
    <row r="81" spans="3:11" ht="30.75" thickBot="1">
      <c r="C81" s="129" t="s">
        <v>44</v>
      </c>
      <c r="D81" s="129" t="s">
        <v>55</v>
      </c>
      <c r="E81" s="136" t="s">
        <v>57</v>
      </c>
      <c r="F81" s="135" t="s">
        <v>27</v>
      </c>
      <c r="G81" s="133" t="s">
        <v>131</v>
      </c>
      <c r="H81" s="136" t="s">
        <v>46</v>
      </c>
      <c r="I81" s="133" t="s">
        <v>132</v>
      </c>
      <c r="J81" s="133" t="s">
        <v>410</v>
      </c>
      <c r="K81" s="133" t="s">
        <v>411</v>
      </c>
    </row>
    <row r="82" spans="3:11">
      <c r="C82" s="220" t="s">
        <v>439</v>
      </c>
      <c r="D82" s="221"/>
      <c r="E82" s="219">
        <f>HLOOKUP(C82,$AH$2:$BU$3,2,0)</f>
        <v>620</v>
      </c>
      <c r="F82" s="97">
        <f t="shared" ref="F82:F85" si="8">D82*E82</f>
        <v>0</v>
      </c>
      <c r="G82" s="161"/>
      <c r="H82" s="142"/>
      <c r="I82" s="130" t="e">
        <f>VLOOKUP(H82,Presupuesto!$B$11:$C$565,2,0)</f>
        <v>#N/A</v>
      </c>
      <c r="J82" s="218" t="s">
        <v>1456</v>
      </c>
      <c r="K82" s="98" t="s">
        <v>394</v>
      </c>
    </row>
    <row r="83" spans="3:11">
      <c r="C83" s="141" t="s">
        <v>1626</v>
      </c>
      <c r="D83" s="158">
        <v>330</v>
      </c>
      <c r="E83" s="123">
        <v>10</v>
      </c>
      <c r="F83" s="97">
        <f t="shared" si="8"/>
        <v>3300</v>
      </c>
      <c r="G83" s="161" t="s">
        <v>129</v>
      </c>
      <c r="H83" s="142" t="s">
        <v>717</v>
      </c>
      <c r="I83" s="130" t="str">
        <f>VLOOKUP(H83,Presupuesto!$B$11:$C$565,2,0)</f>
        <v>SERVICIOS DE IMPRENTA PUBLIC.Y REPRODUCCION</v>
      </c>
      <c r="J83" s="98" t="s">
        <v>1359</v>
      </c>
      <c r="K83" s="98" t="s">
        <v>398</v>
      </c>
    </row>
    <row r="84" spans="3:11">
      <c r="C84" s="141" t="s">
        <v>1627</v>
      </c>
      <c r="D84" s="158">
        <v>6</v>
      </c>
      <c r="E84" s="123">
        <v>200</v>
      </c>
      <c r="F84" s="97">
        <f t="shared" si="8"/>
        <v>1200</v>
      </c>
      <c r="G84" s="161" t="s">
        <v>129</v>
      </c>
      <c r="H84" s="142" t="s">
        <v>661</v>
      </c>
      <c r="I84" s="130" t="str">
        <f>VLOOKUP(H84,Presupuesto!$B$11:$C$565,2,0)</f>
        <v>OTROS ALQUILERES</v>
      </c>
      <c r="J84" s="98" t="s">
        <v>1359</v>
      </c>
      <c r="K84" s="98" t="s">
        <v>398</v>
      </c>
    </row>
    <row r="85" spans="3:11">
      <c r="C85" s="141" t="s">
        <v>1628</v>
      </c>
      <c r="D85" s="158">
        <v>1</v>
      </c>
      <c r="E85" s="123">
        <v>2000</v>
      </c>
      <c r="F85" s="97">
        <f t="shared" si="8"/>
        <v>2000</v>
      </c>
      <c r="G85" s="161" t="s">
        <v>129</v>
      </c>
      <c r="H85" s="142" t="s">
        <v>661</v>
      </c>
      <c r="I85" s="130" t="str">
        <f>VLOOKUP(H85,Presupuesto!$B$11:$C$565,2,0)</f>
        <v>OTROS ALQUILERES</v>
      </c>
      <c r="J85" s="98" t="s">
        <v>1359</v>
      </c>
      <c r="K85" s="98" t="s">
        <v>398</v>
      </c>
    </row>
    <row r="87" spans="3:11" ht="15.75" thickBot="1">
      <c r="F87" s="90"/>
      <c r="G87" s="89"/>
      <c r="H87" s="90"/>
      <c r="I87" s="90"/>
    </row>
    <row r="88" spans="3:11" ht="15.75" thickBot="1">
      <c r="C88" s="157" t="s">
        <v>53</v>
      </c>
      <c r="D88" s="365">
        <f>SUM(F95:F106)</f>
        <v>345000</v>
      </c>
      <c r="F88" s="70"/>
      <c r="G88" s="79"/>
      <c r="H88" s="70"/>
      <c r="I88" s="70"/>
    </row>
    <row r="89" spans="3:11">
      <c r="C89" s="70"/>
      <c r="D89" s="31"/>
      <c r="E89" s="93"/>
      <c r="F89" s="93"/>
      <c r="G89" s="93"/>
      <c r="H89" s="76"/>
      <c r="I89" s="76"/>
      <c r="J89" s="76"/>
      <c r="K89" s="112"/>
    </row>
    <row r="90" spans="3:11">
      <c r="C90" s="70"/>
      <c r="D90" s="31"/>
      <c r="E90" s="93"/>
      <c r="F90" s="93"/>
      <c r="G90" s="93"/>
      <c r="H90" s="76"/>
      <c r="I90" s="76"/>
      <c r="J90" s="76"/>
      <c r="K90" s="112"/>
    </row>
    <row r="91" spans="3:11" ht="15.75">
      <c r="C91" s="202" t="s">
        <v>392</v>
      </c>
      <c r="D91" s="361" t="str">
        <f>+'11. Gestion Administrativa'!E15</f>
        <v xml:space="preserve">11.3.4.CIA </v>
      </c>
      <c r="E91" s="93"/>
      <c r="F91" s="93"/>
      <c r="G91" s="93"/>
      <c r="H91" s="76"/>
      <c r="I91" s="76"/>
      <c r="J91" s="76"/>
      <c r="K91" s="112"/>
    </row>
    <row r="92" spans="3:11" ht="18.75">
      <c r="C92" s="210" t="str">
        <f>IFERROR(VLOOKUP(D91,'1. Desarrollo e Innov. Curricu.'!$E:$F,2,FALSE),IFERROR(VLOOKUP(D91,'2. Investigación Científica'!$E:$F,2,FALSE),IFERROR(VLOOKUP(D91,'3. Vinculación Univ. Sociedad'!$E:$F,2,FALSE),IFERROR(VLOOKUP(D91,'4. Docencia y Profesorado Univ.'!$E:$F,2,FALSE),IFERROR(VLOOKUP(D91,'5. Estudiantes y Graduados'!$E:$F,2,FALSE),IFERROR(VLOOKUP(D91,'11. Gestion Administrativa'!$E:$F,2,FALSE),IFERROR(VLOOKUP(D91,'13. Gestión Académica'!$E:$F,2,FALSE),IFERROR(VLOOKUP(D91,'8. Asegura. de la Calid. y M'!$E:$F,2,FALSE),IFERROR(VLOOKUP(D91,'6. Gestión del Conocimiento'!$E:$F,2,FALSE),IFERROR(VLOOKUP(D91,'15. Gobernabilidad y Proceso...'!$E:$F,2,FALSE),IFERROR(VLOOKUP(D91,'12. Gestión del Talento Humano'!$E:$F,2,FALSE),IFERROR(VLOOKUP(D91,'14. Internacional... de la E.S.'!$E:$F,2,FALSE),IFERROR(VLOOKUP(D91,'10. Posgrado'!$E:$F,2,FALSE),IFERROR(VLOOKUP(D91,'17. Gestión TIC'!$E:$F,2,FALSE),IFERROR(VLOOKUP(D91,'16. Desa. del Sistema Educ.Sup.'!$E:$F,2,FALSE),IFERROR(VLOOKUP(D91,'9. Cultura de Inno. Insti...'!$E:$F,2,FALSE),VLOOKUP(D91,'7. Lo Esencial de la Reforma U.'!$E:$F,2,0)))))))))))))))))</f>
        <v>Gestionar la adquisicion de un servidor, rack, cableado UTP, router y un switch para diferentes clases</v>
      </c>
      <c r="D92" s="31"/>
      <c r="E92" s="93"/>
      <c r="F92" s="93"/>
      <c r="G92" s="93"/>
      <c r="H92" s="76"/>
      <c r="I92" s="76"/>
      <c r="J92" s="76"/>
      <c r="K92" s="112"/>
    </row>
    <row r="93" spans="3:11" ht="15.75" thickBot="1">
      <c r="F93" s="93"/>
      <c r="G93" s="76"/>
      <c r="H93" s="76"/>
      <c r="I93" s="76"/>
    </row>
    <row r="94" spans="3:11" ht="30.75" thickBot="1">
      <c r="C94" s="129" t="s">
        <v>44</v>
      </c>
      <c r="D94" s="129" t="s">
        <v>55</v>
      </c>
      <c r="E94" s="136" t="s">
        <v>57</v>
      </c>
      <c r="F94" s="135" t="s">
        <v>27</v>
      </c>
      <c r="G94" s="133" t="s">
        <v>131</v>
      </c>
      <c r="H94" s="136" t="s">
        <v>46</v>
      </c>
      <c r="I94" s="133" t="s">
        <v>132</v>
      </c>
      <c r="J94" s="133" t="s">
        <v>410</v>
      </c>
      <c r="K94" s="133" t="s">
        <v>411</v>
      </c>
    </row>
    <row r="95" spans="3:11">
      <c r="C95" s="220" t="s">
        <v>439</v>
      </c>
      <c r="D95" s="221"/>
      <c r="E95" s="219">
        <f>HLOOKUP(C95,$AH$2:$BU$3,2,0)</f>
        <v>620</v>
      </c>
      <c r="F95" s="97">
        <f t="shared" ref="F95:F106" si="9">D95*E95</f>
        <v>0</v>
      </c>
      <c r="G95" s="161"/>
      <c r="H95" s="142"/>
      <c r="I95" s="130" t="e">
        <f>VLOOKUP(H95,Presupuesto!$B$11:$C$565,2,0)</f>
        <v>#N/A</v>
      </c>
      <c r="J95" s="218" t="s">
        <v>1456</v>
      </c>
      <c r="K95" s="98" t="s">
        <v>394</v>
      </c>
    </row>
    <row r="96" spans="3:11">
      <c r="C96" s="141" t="s">
        <v>1642</v>
      </c>
      <c r="D96" s="158">
        <v>2</v>
      </c>
      <c r="E96" s="123">
        <v>5000</v>
      </c>
      <c r="F96" s="97">
        <f t="shared" si="9"/>
        <v>10000</v>
      </c>
      <c r="G96" s="161" t="s">
        <v>1486</v>
      </c>
      <c r="H96" s="142" t="s">
        <v>1014</v>
      </c>
      <c r="I96" s="130" t="str">
        <f>VLOOKUP(H96,Presupuesto!$B$11:$C$565,2,0)</f>
        <v>EQUIPO DE COMPUTACION</v>
      </c>
      <c r="J96" s="98" t="s">
        <v>1364</v>
      </c>
      <c r="K96" s="98" t="s">
        <v>412</v>
      </c>
    </row>
    <row r="97" spans="3:11" ht="18" customHeight="1">
      <c r="C97" s="141" t="s">
        <v>1643</v>
      </c>
      <c r="D97" s="158">
        <v>2</v>
      </c>
      <c r="E97" s="123">
        <v>3000</v>
      </c>
      <c r="F97" s="97">
        <f t="shared" si="9"/>
        <v>6000</v>
      </c>
      <c r="G97" s="161" t="s">
        <v>1486</v>
      </c>
      <c r="H97" s="142" t="s">
        <v>1014</v>
      </c>
      <c r="I97" s="130" t="str">
        <f>VLOOKUP(H97,Presupuesto!$B$11:$C$565,2,0)</f>
        <v>EQUIPO DE COMPUTACION</v>
      </c>
      <c r="J97" s="98" t="s">
        <v>1364</v>
      </c>
      <c r="K97" s="98" t="s">
        <v>412</v>
      </c>
    </row>
    <row r="98" spans="3:11">
      <c r="C98" s="141" t="s">
        <v>1641</v>
      </c>
      <c r="D98" s="158">
        <v>3</v>
      </c>
      <c r="E98" s="123">
        <v>30000</v>
      </c>
      <c r="F98" s="97">
        <f t="shared" si="9"/>
        <v>90000</v>
      </c>
      <c r="G98" s="161" t="s">
        <v>1486</v>
      </c>
      <c r="H98" s="142" t="s">
        <v>1014</v>
      </c>
      <c r="I98" s="130" t="str">
        <f>VLOOKUP(H98,Presupuesto!$B$11:$C$565,2,0)</f>
        <v>EQUIPO DE COMPUTACION</v>
      </c>
      <c r="J98" s="98" t="s">
        <v>1364</v>
      </c>
      <c r="K98" s="98" t="s">
        <v>412</v>
      </c>
    </row>
    <row r="99" spans="3:11">
      <c r="C99" s="141" t="s">
        <v>1644</v>
      </c>
      <c r="D99" s="158">
        <v>2</v>
      </c>
      <c r="E99" s="123">
        <v>20000</v>
      </c>
      <c r="F99" s="97">
        <f t="shared" si="9"/>
        <v>40000</v>
      </c>
      <c r="G99" s="161" t="s">
        <v>1486</v>
      </c>
      <c r="H99" s="142" t="s">
        <v>1014</v>
      </c>
      <c r="I99" s="130" t="str">
        <f>VLOOKUP(H99,Presupuesto!$B$11:$C$565,2,0)</f>
        <v>EQUIPO DE COMPUTACION</v>
      </c>
      <c r="J99" s="98" t="s">
        <v>1364</v>
      </c>
      <c r="K99" s="98" t="s">
        <v>412</v>
      </c>
    </row>
    <row r="100" spans="3:11">
      <c r="C100" s="141" t="s">
        <v>1645</v>
      </c>
      <c r="D100" s="158">
        <v>2</v>
      </c>
      <c r="E100" s="123">
        <v>30000</v>
      </c>
      <c r="F100" s="97">
        <f t="shared" si="9"/>
        <v>60000</v>
      </c>
      <c r="G100" s="161" t="s">
        <v>1486</v>
      </c>
      <c r="H100" s="142" t="s">
        <v>1014</v>
      </c>
      <c r="I100" s="130" t="str">
        <f>VLOOKUP(H100,Presupuesto!$B$11:$C$565,2,0)</f>
        <v>EQUIPO DE COMPUTACION</v>
      </c>
      <c r="J100" s="98" t="s">
        <v>1364</v>
      </c>
      <c r="K100" s="98" t="s">
        <v>401</v>
      </c>
    </row>
    <row r="101" spans="3:11">
      <c r="C101" s="141" t="s">
        <v>1637</v>
      </c>
      <c r="D101" s="158">
        <v>5</v>
      </c>
      <c r="E101" s="123">
        <v>5000</v>
      </c>
      <c r="F101" s="97">
        <f t="shared" si="9"/>
        <v>25000</v>
      </c>
      <c r="G101" s="161" t="s">
        <v>1486</v>
      </c>
      <c r="H101" s="142" t="s">
        <v>1014</v>
      </c>
      <c r="I101" s="130" t="str">
        <f>VLOOKUP(H101,Presupuesto!$B$11:$C$565,2,0)</f>
        <v>EQUIPO DE COMPUTACION</v>
      </c>
      <c r="J101" s="98" t="s">
        <v>1364</v>
      </c>
      <c r="K101" s="98" t="s">
        <v>412</v>
      </c>
    </row>
    <row r="102" spans="3:11">
      <c r="C102" s="141" t="s">
        <v>1638</v>
      </c>
      <c r="D102" s="158">
        <v>1000</v>
      </c>
      <c r="E102" s="123">
        <v>4</v>
      </c>
      <c r="F102" s="97">
        <f t="shared" si="9"/>
        <v>4000</v>
      </c>
      <c r="G102" s="161" t="s">
        <v>1486</v>
      </c>
      <c r="H102" s="142" t="s">
        <v>1014</v>
      </c>
      <c r="I102" s="130" t="str">
        <f>VLOOKUP(H102,Presupuesto!$B$11:$C$565,2,0)</f>
        <v>EQUIPO DE COMPUTACION</v>
      </c>
      <c r="J102" s="98" t="s">
        <v>1364</v>
      </c>
      <c r="K102" s="98" t="s">
        <v>412</v>
      </c>
    </row>
    <row r="103" spans="3:11">
      <c r="C103" s="141" t="s">
        <v>1639</v>
      </c>
      <c r="D103" s="158">
        <v>5</v>
      </c>
      <c r="E103" s="123">
        <v>5000</v>
      </c>
      <c r="F103" s="97">
        <f t="shared" si="9"/>
        <v>25000</v>
      </c>
      <c r="G103" s="161" t="s">
        <v>1486</v>
      </c>
      <c r="H103" s="142" t="s">
        <v>1014</v>
      </c>
      <c r="I103" s="130" t="str">
        <f>VLOOKUP(H103,Presupuesto!$B$11:$C$565,2,0)</f>
        <v>EQUIPO DE COMPUTACION</v>
      </c>
      <c r="J103" s="98" t="s">
        <v>1364</v>
      </c>
      <c r="K103" s="98" t="s">
        <v>412</v>
      </c>
    </row>
    <row r="104" spans="3:11">
      <c r="C104" s="141" t="s">
        <v>1640</v>
      </c>
      <c r="D104" s="158">
        <v>1</v>
      </c>
      <c r="E104" s="123">
        <v>5000</v>
      </c>
      <c r="F104" s="97">
        <f t="shared" si="9"/>
        <v>5000</v>
      </c>
      <c r="G104" s="161" t="s">
        <v>1486</v>
      </c>
      <c r="H104" s="142" t="s">
        <v>1014</v>
      </c>
      <c r="I104" s="130" t="str">
        <f>VLOOKUP(H104,Presupuesto!$B$11:$C$565,2,0)</f>
        <v>EQUIPO DE COMPUTACION</v>
      </c>
      <c r="J104" s="98" t="s">
        <v>1364</v>
      </c>
      <c r="K104" s="98" t="s">
        <v>412</v>
      </c>
    </row>
    <row r="105" spans="3:11">
      <c r="C105" s="141" t="s">
        <v>1646</v>
      </c>
      <c r="D105" s="158">
        <v>1</v>
      </c>
      <c r="E105" s="123">
        <v>20000</v>
      </c>
      <c r="F105" s="97">
        <f t="shared" si="9"/>
        <v>20000</v>
      </c>
      <c r="G105" s="161" t="s">
        <v>1486</v>
      </c>
      <c r="H105" s="142" t="s">
        <v>1014</v>
      </c>
      <c r="I105" s="130" t="str">
        <f>VLOOKUP(H105,Presupuesto!$B$11:$C$565,2,0)</f>
        <v>EQUIPO DE COMPUTACION</v>
      </c>
      <c r="J105" s="98" t="s">
        <v>1364</v>
      </c>
      <c r="K105" s="98" t="s">
        <v>412</v>
      </c>
    </row>
    <row r="106" spans="3:11">
      <c r="C106" s="141" t="s">
        <v>1647</v>
      </c>
      <c r="D106" s="158">
        <v>1</v>
      </c>
      <c r="E106" s="123">
        <v>60000</v>
      </c>
      <c r="F106" s="97">
        <f t="shared" si="9"/>
        <v>60000</v>
      </c>
      <c r="G106" s="161" t="s">
        <v>1486</v>
      </c>
      <c r="H106" s="142" t="s">
        <v>1014</v>
      </c>
      <c r="I106" s="130" t="str">
        <f>VLOOKUP(H106,Presupuesto!$B$11:$C$565,2,0)</f>
        <v>EQUIPO DE COMPUTACION</v>
      </c>
      <c r="J106" s="98" t="s">
        <v>1364</v>
      </c>
      <c r="K106" s="98" t="s">
        <v>412</v>
      </c>
    </row>
    <row r="108" spans="3:11" ht="15.75" thickBot="1"/>
    <row r="109" spans="3:11" ht="15.75" thickBot="1">
      <c r="C109" s="157" t="s">
        <v>53</v>
      </c>
      <c r="D109" s="365">
        <f>SUM(F116:F117)</f>
        <v>7200</v>
      </c>
      <c r="F109" s="70"/>
      <c r="G109" s="79"/>
      <c r="H109" s="70"/>
      <c r="I109" s="70"/>
    </row>
    <row r="110" spans="3:11">
      <c r="C110" s="70"/>
      <c r="D110" s="31"/>
      <c r="E110" s="93"/>
      <c r="F110" s="93"/>
      <c r="G110" s="93"/>
      <c r="H110" s="76"/>
      <c r="I110" s="76"/>
      <c r="J110" s="76"/>
      <c r="K110" s="112"/>
    </row>
    <row r="111" spans="3:11">
      <c r="C111" s="70"/>
      <c r="D111" s="31"/>
      <c r="E111" s="93"/>
      <c r="F111" s="93"/>
      <c r="G111" s="93"/>
      <c r="H111" s="76"/>
      <c r="I111" s="76"/>
      <c r="J111" s="76"/>
      <c r="K111" s="112"/>
    </row>
    <row r="112" spans="3:11" ht="15.75">
      <c r="C112" s="202" t="s">
        <v>392</v>
      </c>
      <c r="D112" s="361" t="s">
        <v>1711</v>
      </c>
      <c r="E112" s="93"/>
      <c r="F112" s="93"/>
      <c r="G112" s="93"/>
      <c r="H112" s="76"/>
      <c r="I112" s="76"/>
      <c r="J112" s="76"/>
      <c r="K112" s="112"/>
    </row>
    <row r="113" spans="3:11" ht="18.75">
      <c r="C113" s="210" t="str">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Posgrado'!$E:$F,2,FALSE),IFERROR(VLOOKUP(D112,'17. Gestión TIC'!$E:$F,2,FALSE),IFERROR(VLOOKUP(D112,'16. Desa. del Sistema Educ.Sup.'!$E:$F,2,FALSE),IFERROR(VLOOKUP(D112,'9. Cultura de Inno. Insti...'!$E:$F,2,FALSE),VLOOKUP(D112,'7. Lo Esencial de la Reforma U.'!$E:$F,2,0)))))))))))))))))</f>
        <v>Gestionar junto a la DAFT, la ampleación  del Técnico Universitario Gestión de la Calidad de Aguas en UNAH-TEC-DANLÍ,  por parte del Consejo Universitario.</v>
      </c>
      <c r="D113" s="31"/>
      <c r="E113" s="93"/>
      <c r="F113" s="93"/>
      <c r="G113" s="93"/>
      <c r="H113" s="76"/>
      <c r="I113" s="76"/>
      <c r="J113" s="76"/>
      <c r="K113" s="112"/>
    </row>
    <row r="114" spans="3:11" ht="15.75" thickBot="1">
      <c r="F114" s="93"/>
      <c r="G114" s="76"/>
      <c r="H114" s="76"/>
      <c r="I114" s="76"/>
    </row>
    <row r="115" spans="3:11" ht="30.75" thickBot="1">
      <c r="C115" s="129" t="s">
        <v>44</v>
      </c>
      <c r="D115" s="129" t="s">
        <v>55</v>
      </c>
      <c r="E115" s="136" t="s">
        <v>57</v>
      </c>
      <c r="F115" s="135" t="s">
        <v>27</v>
      </c>
      <c r="G115" s="133" t="s">
        <v>131</v>
      </c>
      <c r="H115" s="136" t="s">
        <v>46</v>
      </c>
      <c r="I115" s="133" t="s">
        <v>132</v>
      </c>
      <c r="J115" s="133" t="s">
        <v>410</v>
      </c>
      <c r="K115" s="133" t="s">
        <v>411</v>
      </c>
    </row>
    <row r="116" spans="3:11">
      <c r="C116" s="220" t="s">
        <v>428</v>
      </c>
      <c r="D116" s="221">
        <f>0.75*2*2</f>
        <v>3</v>
      </c>
      <c r="E116" s="219">
        <v>2000</v>
      </c>
      <c r="F116" s="97">
        <f t="shared" ref="F116:F117" si="10">D116*E116</f>
        <v>6000</v>
      </c>
      <c r="G116" s="161" t="s">
        <v>129</v>
      </c>
      <c r="H116" s="142" t="s">
        <v>301</v>
      </c>
      <c r="I116" s="130" t="str">
        <f>VLOOKUP(H116,Presupuesto!$B$11:$C$565,2,0)</f>
        <v>VIATICOS (26200-00)</v>
      </c>
      <c r="J116" s="218" t="s">
        <v>1357</v>
      </c>
      <c r="K116" s="98" t="s">
        <v>395</v>
      </c>
    </row>
    <row r="117" spans="3:11">
      <c r="C117" s="141" t="s">
        <v>872</v>
      </c>
      <c r="D117" s="158">
        <v>2</v>
      </c>
      <c r="E117" s="123">
        <v>600</v>
      </c>
      <c r="F117" s="97">
        <f t="shared" si="10"/>
        <v>1200</v>
      </c>
      <c r="G117" s="161" t="s">
        <v>129</v>
      </c>
      <c r="H117" s="142" t="s">
        <v>871</v>
      </c>
      <c r="I117" s="130" t="str">
        <f>VLOOKUP(H117,Presupuesto!$B$11:$C$565,2,0)</f>
        <v>GASOLINA</v>
      </c>
      <c r="J117" s="98" t="str">
        <f t="shared" ref="J117" si="11">$J$17</f>
        <v>Desarrollo e Innovación Curricular</v>
      </c>
      <c r="K117" s="98" t="s">
        <v>395</v>
      </c>
    </row>
    <row r="119" spans="3:11" ht="15.75" thickBot="1">
      <c r="F119" s="90"/>
      <c r="G119" s="89"/>
      <c r="H119" s="90"/>
      <c r="I119" s="90"/>
    </row>
    <row r="120" spans="3:11" ht="15.75" thickBot="1">
      <c r="C120" s="157" t="s">
        <v>53</v>
      </c>
      <c r="D120" s="365">
        <f>SUM(F127:F129)</f>
        <v>19000</v>
      </c>
      <c r="F120" s="70"/>
      <c r="G120" s="79"/>
      <c r="H120" s="70"/>
      <c r="I120" s="70"/>
    </row>
    <row r="121" spans="3:11">
      <c r="C121" s="70"/>
      <c r="D121" s="31"/>
      <c r="E121" s="93"/>
      <c r="F121" s="93"/>
      <c r="G121" s="93"/>
      <c r="H121" s="76"/>
      <c r="I121" s="76"/>
      <c r="J121" s="76"/>
      <c r="K121" s="112"/>
    </row>
    <row r="122" spans="3:11">
      <c r="C122" s="70"/>
      <c r="D122" s="31"/>
      <c r="E122" s="93"/>
      <c r="F122" s="93"/>
      <c r="G122" s="93"/>
      <c r="H122" s="76"/>
      <c r="I122" s="76"/>
      <c r="J122" s="76"/>
      <c r="K122" s="112"/>
    </row>
    <row r="123" spans="3:11" ht="15.75">
      <c r="C123" s="202" t="s">
        <v>392</v>
      </c>
      <c r="D123" s="361" t="s">
        <v>1744</v>
      </c>
      <c r="E123" s="93"/>
      <c r="F123" s="93"/>
      <c r="G123" s="93"/>
      <c r="H123" s="76"/>
      <c r="I123" s="76"/>
      <c r="J123" s="76"/>
      <c r="K123" s="112"/>
    </row>
    <row r="124" spans="3:11" ht="18.75">
      <c r="C124" s="210" t="str">
        <f>IFERROR(VLOOKUP(D123,'1. Desarrollo e Innov. Curricu.'!$E:$F,2,FALSE),IFERROR(VLOOKUP(D123,'2. Investigación Científica'!$E:$F,2,FALSE),IFERROR(VLOOKUP(D123,'3. Vinculación Univ. Sociedad'!$E:$F,2,FALSE),IFERROR(VLOOKUP(D123,'4. Docencia y Profesorado Univ.'!$E:$F,2,FALSE),IFERROR(VLOOKUP(D123,'5. Estudiantes y Graduados'!$E:$F,2,FALSE),IFERROR(VLOOKUP(D123,'11. Gestion Administrativa'!$E:$F,2,FALSE),IFERROR(VLOOKUP(D123,'13. Gestión Académica'!$E:$F,2,FALSE),IFERROR(VLOOKUP(D123,'8. Asegura. de la Calid. y M'!$E:$F,2,FALSE),IFERROR(VLOOKUP(D123,'6. Gestión del Conocimiento'!$E:$F,2,FALSE),IFERROR(VLOOKUP(D123,'15. Gobernabilidad y Proceso...'!$E:$F,2,FALSE),IFERROR(VLOOKUP(D123,'12. Gestión del Talento Humano'!$E:$F,2,FALSE),IFERROR(VLOOKUP(D123,'14. Internacional... de la E.S.'!$E:$F,2,FALSE),IFERROR(VLOOKUP(D123,'10. Posgrado'!$E:$F,2,FALSE),IFERROR(VLOOKUP(D123,'17. Gestión TIC'!$E:$F,2,FALSE),IFERROR(VLOOKUP(D123,'16. Desa. del Sistema Educ.Sup.'!$E:$F,2,FALSE),IFERROR(VLOOKUP(D123,'9. Cultura de Inno. Insti...'!$E:$F,2,FALSE),VLOOKUP(D123,'7. Lo Esencial de la Reforma U.'!$E:$F,2,0)))))))))))))))))</f>
        <v xml:space="preserve">Asesoramiento a los estudiantes de la Carrera de Enfermeria en la producción de medicamentos naturales , jarabes, jabones, tinturas , unguentos para el proyecto de vinculación en la asignatura de Enfermeria y Sociedad y Ecología </v>
      </c>
      <c r="D124" s="31"/>
      <c r="E124" s="93"/>
      <c r="F124" s="93"/>
      <c r="G124" s="93"/>
      <c r="H124" s="76"/>
      <c r="I124" s="76"/>
      <c r="J124" s="76"/>
      <c r="K124" s="112"/>
    </row>
    <row r="125" spans="3:11" ht="15.75" thickBot="1">
      <c r="F125" s="93"/>
      <c r="G125" s="76"/>
      <c r="H125" s="76"/>
      <c r="I125" s="76"/>
    </row>
    <row r="126" spans="3:11" ht="30.75" thickBot="1">
      <c r="C126" s="129" t="s">
        <v>44</v>
      </c>
      <c r="D126" s="129" t="s">
        <v>55</v>
      </c>
      <c r="E126" s="136" t="s">
        <v>57</v>
      </c>
      <c r="F126" s="135" t="s">
        <v>27</v>
      </c>
      <c r="G126" s="133" t="s">
        <v>131</v>
      </c>
      <c r="H126" s="136" t="s">
        <v>46</v>
      </c>
      <c r="I126" s="133" t="s">
        <v>132</v>
      </c>
      <c r="J126" s="133" t="s">
        <v>410</v>
      </c>
      <c r="K126" s="133" t="s">
        <v>411</v>
      </c>
    </row>
    <row r="127" spans="3:11">
      <c r="C127" s="220" t="s">
        <v>439</v>
      </c>
      <c r="D127" s="221"/>
      <c r="E127" s="219">
        <f>HLOOKUP(C127,$AH$2:$BU$3,2,0)</f>
        <v>620</v>
      </c>
      <c r="F127" s="97">
        <f t="shared" ref="F127:F129" si="12">D127*E127</f>
        <v>0</v>
      </c>
      <c r="G127" s="161"/>
      <c r="H127" s="142"/>
      <c r="I127" s="130" t="e">
        <f>VLOOKUP(H127,Presupuesto!$B$11:$C$565,2,0)</f>
        <v>#N/A</v>
      </c>
      <c r="J127" s="218" t="s">
        <v>1456</v>
      </c>
      <c r="K127" s="98" t="s">
        <v>394</v>
      </c>
    </row>
    <row r="128" spans="3:11">
      <c r="C128" s="141" t="s">
        <v>1742</v>
      </c>
      <c r="D128" s="158">
        <v>200</v>
      </c>
      <c r="E128" s="123">
        <v>20</v>
      </c>
      <c r="F128" s="97">
        <f t="shared" si="12"/>
        <v>4000</v>
      </c>
      <c r="G128" s="161" t="s">
        <v>129</v>
      </c>
      <c r="H128" s="142" t="s">
        <v>885</v>
      </c>
      <c r="I128" s="130" t="str">
        <f>VLOOKUP(H128,Presupuesto!$B$11:$C$565,2,0)</f>
        <v>PRODUCTOS DE MATERIAL PLASTICO.</v>
      </c>
      <c r="J128" s="98" t="s">
        <v>471</v>
      </c>
      <c r="K128" s="98" t="s">
        <v>398</v>
      </c>
    </row>
    <row r="129" spans="3:11">
      <c r="C129" s="141" t="s">
        <v>1743</v>
      </c>
      <c r="D129" s="158">
        <v>1</v>
      </c>
      <c r="E129" s="123">
        <v>15000</v>
      </c>
      <c r="F129" s="97">
        <f t="shared" si="12"/>
        <v>15000</v>
      </c>
      <c r="G129" s="161" t="s">
        <v>129</v>
      </c>
      <c r="H129" s="142" t="s">
        <v>858</v>
      </c>
      <c r="I129" s="130" t="str">
        <f>VLOOKUP(H129,Presupuesto!$B$11:$C$565,2,0)</f>
        <v>PRODUCTOS FARMACEUTICO Y MEDICINALES</v>
      </c>
      <c r="J129" s="98" t="s">
        <v>471</v>
      </c>
      <c r="K129" s="98" t="s">
        <v>398</v>
      </c>
    </row>
    <row r="131" spans="3:11" ht="15.75" thickBot="1"/>
    <row r="132" spans="3:11" ht="15.75" thickBot="1">
      <c r="C132" s="157" t="s">
        <v>53</v>
      </c>
      <c r="D132" s="365">
        <f>SUM(F139:F144)</f>
        <v>9600</v>
      </c>
      <c r="F132" s="70"/>
      <c r="G132" s="79"/>
      <c r="H132" s="70"/>
      <c r="I132" s="70"/>
    </row>
    <row r="133" spans="3:11">
      <c r="C133" s="70"/>
      <c r="D133" s="31"/>
      <c r="E133" s="93"/>
      <c r="F133" s="93"/>
      <c r="G133" s="93"/>
      <c r="H133" s="76"/>
      <c r="I133" s="76"/>
      <c r="J133" s="76"/>
      <c r="K133" s="112"/>
    </row>
    <row r="134" spans="3:11">
      <c r="C134" s="70"/>
      <c r="D134" s="31"/>
      <c r="E134" s="93"/>
      <c r="F134" s="93"/>
      <c r="G134" s="93"/>
      <c r="H134" s="76"/>
      <c r="I134" s="76"/>
      <c r="J134" s="76"/>
      <c r="K134" s="112"/>
    </row>
    <row r="135" spans="3:11" ht="15.75">
      <c r="C135" s="202" t="s">
        <v>392</v>
      </c>
      <c r="D135" s="361" t="s">
        <v>1748</v>
      </c>
      <c r="E135" s="93"/>
      <c r="F135" s="93"/>
      <c r="G135" s="93"/>
      <c r="H135" s="76"/>
      <c r="I135" s="76"/>
      <c r="J135" s="76"/>
      <c r="K135" s="112"/>
    </row>
    <row r="136" spans="3:11" ht="18.75">
      <c r="C136" s="210" t="str">
        <f>IFERROR(VLOOKUP(D135,'1. Desarrollo e Innov. Curricu.'!$E:$F,2,FALSE),IFERROR(VLOOKUP(D135,'2. Investigación Científica'!$E:$F,2,FALSE),IFERROR(VLOOKUP(D135,'3. Vinculación Univ. Sociedad'!$E:$F,2,FALSE),IFERROR(VLOOKUP(D135,'4. Docencia y Profesorado Univ.'!$E:$F,2,FALSE),IFERROR(VLOOKUP(D135,'5. Estudiantes y Graduados'!$E:$F,2,FALSE),IFERROR(VLOOKUP(D135,'11. Gestion Administrativa'!$E:$F,2,FALSE),IFERROR(VLOOKUP(D135,'13. Gestión Académica'!$E:$F,2,FALSE),IFERROR(VLOOKUP(D135,'8. Asegura. de la Calid. y M'!$E:$F,2,FALSE),IFERROR(VLOOKUP(D135,'6. Gestión del Conocimiento'!$E:$F,2,FALSE),IFERROR(VLOOKUP(D135,'15. Gobernabilidad y Proceso...'!$E:$F,2,FALSE),IFERROR(VLOOKUP(D135,'12. Gestión del Talento Humano'!$E:$F,2,FALSE),IFERROR(VLOOKUP(D135,'14. Internacional... de la E.S.'!$E:$F,2,FALSE),IFERROR(VLOOKUP(D135,'10. Posgrado'!$E:$F,2,FALSE),IFERROR(VLOOKUP(D135,'17. Gestión TIC'!$E:$F,2,FALSE),IFERROR(VLOOKUP(D135,'16. Desa. del Sistema Educ.Sup.'!$E:$F,2,FALSE),IFERROR(VLOOKUP(D135,'9. Cultura de Inno. Insti...'!$E:$F,2,FALSE),VLOOKUP(D135,'7. Lo Esencial de la Reforma U.'!$E:$F,2,0)))))))))))))))))</f>
        <v>Desarrollo de Recital poético "A cuatro voces" diriguido a la comunidad literiaria de la Región Oriental</v>
      </c>
      <c r="D136" s="31"/>
      <c r="E136" s="93"/>
      <c r="F136" s="93"/>
      <c r="G136" s="93"/>
      <c r="H136" s="76"/>
      <c r="I136" s="76"/>
      <c r="J136" s="76"/>
      <c r="K136" s="112"/>
    </row>
    <row r="137" spans="3:11" ht="15.75" thickBot="1">
      <c r="F137" s="93"/>
      <c r="G137" s="76"/>
      <c r="H137" s="76"/>
      <c r="I137" s="76"/>
    </row>
    <row r="138" spans="3:11" ht="30.75" thickBot="1">
      <c r="C138" s="129" t="s">
        <v>44</v>
      </c>
      <c r="D138" s="129" t="s">
        <v>55</v>
      </c>
      <c r="E138" s="136" t="s">
        <v>57</v>
      </c>
      <c r="F138" s="135" t="s">
        <v>27</v>
      </c>
      <c r="G138" s="133" t="s">
        <v>131</v>
      </c>
      <c r="H138" s="136" t="s">
        <v>46</v>
      </c>
      <c r="I138" s="133" t="s">
        <v>132</v>
      </c>
      <c r="J138" s="133" t="s">
        <v>410</v>
      </c>
      <c r="K138" s="133" t="s">
        <v>411</v>
      </c>
    </row>
    <row r="139" spans="3:11">
      <c r="C139" s="220" t="s">
        <v>439</v>
      </c>
      <c r="D139" s="221"/>
      <c r="E139" s="219">
        <f>HLOOKUP(C139,$AH$2:$BU$3,2,0)</f>
        <v>620</v>
      </c>
      <c r="F139" s="97">
        <f t="shared" ref="F139:F144" si="13">D139*E139</f>
        <v>0</v>
      </c>
      <c r="G139" s="161"/>
      <c r="H139" s="142"/>
      <c r="I139" s="130" t="e">
        <f>VLOOKUP(H139,Presupuesto!$B$11:$C$565,2,0)</f>
        <v>#N/A</v>
      </c>
      <c r="J139" s="218" t="s">
        <v>1456</v>
      </c>
      <c r="K139" s="98" t="s">
        <v>394</v>
      </c>
    </row>
    <row r="140" spans="3:11">
      <c r="C140" s="141" t="s">
        <v>1755</v>
      </c>
      <c r="D140" s="158">
        <v>12</v>
      </c>
      <c r="E140" s="123">
        <v>100</v>
      </c>
      <c r="F140" s="97">
        <f t="shared" si="13"/>
        <v>1200</v>
      </c>
      <c r="G140" s="161" t="s">
        <v>129</v>
      </c>
      <c r="H140" s="142" t="s">
        <v>792</v>
      </c>
      <c r="I140" s="130" t="str">
        <f>VLOOKUP(H140,Presupuesto!$B$11:$C$565,2,0)</f>
        <v>ALIMENTOS B EBIDAS PARA PERSONAS</v>
      </c>
      <c r="J140" s="98" t="s">
        <v>471</v>
      </c>
      <c r="K140" s="98" t="s">
        <v>398</v>
      </c>
    </row>
    <row r="141" spans="3:11">
      <c r="C141" s="141" t="s">
        <v>1756</v>
      </c>
      <c r="D141" s="158">
        <v>120</v>
      </c>
      <c r="E141" s="123">
        <v>50</v>
      </c>
      <c r="F141" s="97">
        <f t="shared" si="13"/>
        <v>6000</v>
      </c>
      <c r="G141" s="161" t="s">
        <v>129</v>
      </c>
      <c r="H141" s="142" t="s">
        <v>792</v>
      </c>
      <c r="I141" s="130" t="str">
        <f>VLOOKUP(H141,Presupuesto!$B$11:$C$565,2,0)</f>
        <v>ALIMENTOS B EBIDAS PARA PERSONAS</v>
      </c>
      <c r="J141" s="98" t="s">
        <v>471</v>
      </c>
      <c r="K141" s="98" t="s">
        <v>398</v>
      </c>
    </row>
    <row r="142" spans="3:11">
      <c r="C142" s="141" t="s">
        <v>1757</v>
      </c>
      <c r="D142" s="158">
        <v>1</v>
      </c>
      <c r="E142" s="123">
        <v>1200</v>
      </c>
      <c r="F142" s="97">
        <f t="shared" si="13"/>
        <v>1200</v>
      </c>
      <c r="G142" s="161" t="s">
        <v>129</v>
      </c>
      <c r="H142" s="142" t="s">
        <v>871</v>
      </c>
      <c r="I142" s="130" t="str">
        <f>VLOOKUP(H142,Presupuesto!$B$11:$C$565,2,0)</f>
        <v>GASOLINA</v>
      </c>
      <c r="J142" s="98" t="s">
        <v>471</v>
      </c>
      <c r="K142" s="98" t="s">
        <v>398</v>
      </c>
    </row>
    <row r="143" spans="3:11">
      <c r="C143" s="141" t="s">
        <v>1758</v>
      </c>
      <c r="D143" s="158">
        <v>20</v>
      </c>
      <c r="E143" s="123">
        <v>40</v>
      </c>
      <c r="F143" s="97">
        <f t="shared" si="13"/>
        <v>800</v>
      </c>
      <c r="G143" s="161" t="s">
        <v>129</v>
      </c>
      <c r="H143" s="142" t="s">
        <v>717</v>
      </c>
      <c r="I143" s="130" t="str">
        <f>VLOOKUP(H143,Presupuesto!$B$11:$C$565,2,0)</f>
        <v>SERVICIOS DE IMPRENTA PUBLIC.Y REPRODUCCION</v>
      </c>
      <c r="J143" s="98" t="s">
        <v>471</v>
      </c>
      <c r="K143" s="98" t="s">
        <v>398</v>
      </c>
    </row>
    <row r="144" spans="3:11">
      <c r="C144" s="141" t="s">
        <v>1759</v>
      </c>
      <c r="D144" s="158">
        <v>1</v>
      </c>
      <c r="E144" s="123">
        <v>400</v>
      </c>
      <c r="F144" s="97">
        <f t="shared" si="13"/>
        <v>400</v>
      </c>
      <c r="G144" s="161" t="s">
        <v>129</v>
      </c>
      <c r="H144" s="142" t="s">
        <v>661</v>
      </c>
      <c r="I144" s="130" t="str">
        <f>VLOOKUP(H144,Presupuesto!$B$11:$C$565,2,0)</f>
        <v>OTROS ALQUILERES</v>
      </c>
      <c r="J144" s="98" t="s">
        <v>471</v>
      </c>
      <c r="K144" s="98" t="s">
        <v>398</v>
      </c>
    </row>
    <row r="146" spans="3:11" s="458" customFormat="1" ht="15.75" thickBot="1">
      <c r="G146" s="445"/>
    </row>
    <row r="147" spans="3:11" s="458" customFormat="1" ht="15.75" thickBot="1">
      <c r="C147" s="157" t="s">
        <v>53</v>
      </c>
      <c r="D147" s="365">
        <f>SUM(F154:F155)</f>
        <v>6000</v>
      </c>
      <c r="F147" s="70"/>
      <c r="G147" s="79"/>
      <c r="H147" s="70"/>
      <c r="I147" s="70"/>
    </row>
    <row r="148" spans="3:11" s="458" customFormat="1">
      <c r="C148" s="70"/>
      <c r="D148" s="31"/>
      <c r="E148" s="93"/>
      <c r="F148" s="93"/>
      <c r="G148" s="93"/>
      <c r="H148" s="76"/>
      <c r="I148" s="76"/>
      <c r="J148" s="76"/>
      <c r="K148" s="112"/>
    </row>
    <row r="149" spans="3:11" s="458" customFormat="1">
      <c r="C149" s="70"/>
      <c r="D149" s="31"/>
      <c r="E149" s="93"/>
      <c r="F149" s="93"/>
      <c r="G149" s="93"/>
      <c r="H149" s="76"/>
      <c r="I149" s="76"/>
      <c r="J149" s="76"/>
      <c r="K149" s="112"/>
    </row>
    <row r="150" spans="3:11" s="458" customFormat="1" ht="15.75">
      <c r="C150" s="202" t="s">
        <v>392</v>
      </c>
      <c r="D150" s="361" t="s">
        <v>1765</v>
      </c>
      <c r="E150" s="93"/>
      <c r="F150" s="93"/>
      <c r="G150" s="93"/>
      <c r="H150" s="76"/>
      <c r="I150" s="76"/>
      <c r="J150" s="76"/>
      <c r="K150" s="112"/>
    </row>
    <row r="151" spans="3:11" s="458" customFormat="1" ht="18.75">
      <c r="C151" s="210" t="str">
        <f>IFERROR(VLOOKUP(D150,'1. Desarrollo e Innov. Curricu.'!$E:$F,2,FALSE),IFERROR(VLOOKUP(D150,'2. Investigación Científica'!$E:$F,2,FALSE),IFERROR(VLOOKUP(D150,'3. Vinculación Univ. Sociedad'!$E:$F,2,FALSE),IFERROR(VLOOKUP(D150,'4. Docencia y Profesorado Univ.'!$E:$F,2,FALSE),IFERROR(VLOOKUP(D150,'5. Estudiantes y Graduados'!$E:$F,2,FALSE),IFERROR(VLOOKUP(D150,'11. Gestion Administrativa'!$E:$F,2,FALSE),IFERROR(VLOOKUP(D150,'13. Gestión Académica'!$E:$F,2,FALSE),IFERROR(VLOOKUP(D150,'8. Asegura. de la Calid. y M'!$E:$F,2,FALSE),IFERROR(VLOOKUP(D150,'6. Gestión del Conocimiento'!$E:$F,2,FALSE),IFERROR(VLOOKUP(D150,'15. Gobernabilidad y Proceso...'!$E:$F,2,FALSE),IFERROR(VLOOKUP(D150,'12. Gestión del Talento Humano'!$E:$F,2,FALSE),IFERROR(VLOOKUP(D150,'14. Internacional... de la E.S.'!$E:$F,2,FALSE),IFERROR(VLOOKUP(D150,'10. Posgrado'!$E:$F,2,FALSE),IFERROR(VLOOKUP(D150,'17. Gestión TIC'!$E:$F,2,FALSE),IFERROR(VLOOKUP(D150,'16. Desa. del Sistema Educ.Sup.'!$E:$F,2,FALSE),IFERROR(VLOOKUP(D150,'9. Cultura de Inno. Insti...'!$E:$F,2,FALSE),VLOOKUP(D150,'7. Lo Esencial de la Reforma U.'!$E:$F,2,0)))))))))))))))))</f>
        <v>Enseñar a jugar ajedrez a estudiantes de UNAH-TEC, mediante la realizacionde tres torneos elementales de ajedrez en el año.</v>
      </c>
      <c r="D151" s="31"/>
      <c r="E151" s="93"/>
      <c r="F151" s="93"/>
      <c r="G151" s="93"/>
      <c r="H151" s="76"/>
      <c r="I151" s="76"/>
      <c r="J151" s="76"/>
      <c r="K151" s="112"/>
    </row>
    <row r="152" spans="3:11" s="458" customFormat="1" ht="15.75" thickBot="1">
      <c r="F152" s="93"/>
      <c r="G152" s="76"/>
      <c r="H152" s="76"/>
      <c r="I152" s="76"/>
    </row>
    <row r="153" spans="3:11" s="458" customFormat="1" ht="30.75" thickBot="1">
      <c r="C153" s="129" t="s">
        <v>44</v>
      </c>
      <c r="D153" s="129" t="s">
        <v>55</v>
      </c>
      <c r="E153" s="136" t="s">
        <v>57</v>
      </c>
      <c r="F153" s="135" t="s">
        <v>27</v>
      </c>
      <c r="G153" s="133" t="s">
        <v>131</v>
      </c>
      <c r="H153" s="136" t="s">
        <v>46</v>
      </c>
      <c r="I153" s="133" t="s">
        <v>132</v>
      </c>
      <c r="J153" s="133" t="s">
        <v>410</v>
      </c>
      <c r="K153" s="133" t="s">
        <v>411</v>
      </c>
    </row>
    <row r="154" spans="3:11" s="458" customFormat="1">
      <c r="C154" s="220" t="s">
        <v>439</v>
      </c>
      <c r="D154" s="221"/>
      <c r="E154" s="219">
        <f>HLOOKUP(C154,$AH$2:$BU$3,2,0)</f>
        <v>620</v>
      </c>
      <c r="F154" s="97">
        <f t="shared" ref="F154:F155" si="14">D154*E154</f>
        <v>0</v>
      </c>
      <c r="G154" s="161"/>
      <c r="H154" s="142"/>
      <c r="I154" s="130" t="e">
        <f>VLOOKUP(H154,Presupuesto!$B$11:$C$565,2,0)</f>
        <v>#N/A</v>
      </c>
      <c r="J154" s="218" t="s">
        <v>1456</v>
      </c>
      <c r="K154" s="98" t="s">
        <v>394</v>
      </c>
    </row>
    <row r="155" spans="3:11" s="458" customFormat="1">
      <c r="C155" s="141" t="s">
        <v>1756</v>
      </c>
      <c r="D155" s="158">
        <v>240</v>
      </c>
      <c r="E155" s="123">
        <v>25</v>
      </c>
      <c r="F155" s="97">
        <f t="shared" si="14"/>
        <v>6000</v>
      </c>
      <c r="G155" s="161" t="s">
        <v>129</v>
      </c>
      <c r="H155" s="142" t="s">
        <v>792</v>
      </c>
      <c r="I155" s="130" t="str">
        <f>VLOOKUP(H155,Presupuesto!$B$11:$C$565,2,0)</f>
        <v>ALIMENTOS B EBIDAS PARA PERSONAS</v>
      </c>
      <c r="J155" s="98" t="s">
        <v>472</v>
      </c>
      <c r="K155" s="98" t="s">
        <v>398</v>
      </c>
    </row>
    <row r="156" spans="3:11" s="458" customFormat="1">
      <c r="G156" s="445"/>
    </row>
    <row r="157" spans="3:11" s="458" customFormat="1">
      <c r="G157" s="445"/>
    </row>
    <row r="158" spans="3:11" ht="15.75" thickBot="1">
      <c r="F158" s="90"/>
      <c r="G158" s="89"/>
      <c r="H158" s="90"/>
      <c r="I158" s="90"/>
    </row>
    <row r="159" spans="3:11" ht="15.75" thickBot="1">
      <c r="C159" s="157" t="s">
        <v>53</v>
      </c>
      <c r="D159" s="365">
        <f>SUM(F166:F186)</f>
        <v>80250</v>
      </c>
      <c r="F159" s="538"/>
      <c r="G159" s="79"/>
      <c r="H159" s="70"/>
      <c r="I159" s="70"/>
    </row>
    <row r="160" spans="3:11">
      <c r="C160" s="70"/>
      <c r="D160" s="31"/>
      <c r="E160" s="93"/>
      <c r="F160" s="93"/>
      <c r="G160" s="93"/>
      <c r="H160" s="76"/>
      <c r="I160" s="76"/>
      <c r="J160" s="76"/>
      <c r="K160" s="112"/>
    </row>
    <row r="161" spans="3:11">
      <c r="C161" s="70"/>
      <c r="D161" s="31"/>
      <c r="E161" s="93"/>
      <c r="F161" s="93"/>
      <c r="G161" s="93"/>
      <c r="H161" s="76"/>
      <c r="I161" s="76"/>
      <c r="J161" s="76"/>
      <c r="K161" s="112"/>
    </row>
    <row r="162" spans="3:11" ht="15.75">
      <c r="C162" s="202" t="s">
        <v>392</v>
      </c>
      <c r="D162" s="361" t="s">
        <v>1799</v>
      </c>
      <c r="E162" s="93"/>
      <c r="F162" s="93"/>
      <c r="G162" s="93"/>
      <c r="H162" s="76"/>
      <c r="I162" s="76"/>
      <c r="J162" s="76"/>
      <c r="K162" s="112"/>
    </row>
    <row r="163" spans="3:11" ht="18.75">
      <c r="C163" s="210" t="str">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 xml:space="preserve">Gestionar la Dotación material de estudio (textos) enlas areas de enfermeria, quimica y ciencias para la biblioteca Alfredo León Gomez </v>
      </c>
      <c r="D163" s="31"/>
      <c r="E163" s="93"/>
      <c r="F163" s="93"/>
      <c r="G163" s="93"/>
      <c r="H163" s="76"/>
      <c r="I163" s="76"/>
      <c r="J163" s="76"/>
      <c r="K163" s="112"/>
    </row>
    <row r="164" spans="3:11" ht="15.75" thickBot="1">
      <c r="F164" s="93"/>
      <c r="G164" s="76"/>
      <c r="H164" s="76"/>
      <c r="I164" s="76"/>
    </row>
    <row r="165" spans="3:11" ht="30.75" thickBot="1">
      <c r="C165" s="129" t="s">
        <v>44</v>
      </c>
      <c r="D165" s="129" t="s">
        <v>55</v>
      </c>
      <c r="E165" s="136" t="s">
        <v>57</v>
      </c>
      <c r="F165" s="135" t="s">
        <v>27</v>
      </c>
      <c r="G165" s="133" t="s">
        <v>131</v>
      </c>
      <c r="H165" s="136" t="s">
        <v>46</v>
      </c>
      <c r="I165" s="133" t="s">
        <v>132</v>
      </c>
      <c r="J165" s="133" t="s">
        <v>410</v>
      </c>
      <c r="K165" s="133" t="s">
        <v>411</v>
      </c>
    </row>
    <row r="166" spans="3:11">
      <c r="C166" s="220" t="s">
        <v>439</v>
      </c>
      <c r="D166" s="221"/>
      <c r="E166" s="219">
        <f>HLOOKUP(C166,$AH$2:$BU$3,2,0)</f>
        <v>620</v>
      </c>
      <c r="F166" s="97">
        <f t="shared" ref="F166:F186" si="15">D166*E166</f>
        <v>0</v>
      </c>
      <c r="G166" s="161"/>
      <c r="H166" s="142"/>
      <c r="I166" s="130" t="e">
        <f>VLOOKUP(H166,Presupuesto!$B$11:$C$565,2,0)</f>
        <v>#N/A</v>
      </c>
      <c r="J166" s="218" t="s">
        <v>1364</v>
      </c>
      <c r="K166" s="98" t="s">
        <v>394</v>
      </c>
    </row>
    <row r="167" spans="3:11">
      <c r="C167" s="141" t="s">
        <v>1801</v>
      </c>
      <c r="D167" s="158">
        <v>3</v>
      </c>
      <c r="E167" s="123">
        <v>2500</v>
      </c>
      <c r="F167" s="97">
        <f t="shared" si="15"/>
        <v>7500</v>
      </c>
      <c r="G167" s="161" t="s">
        <v>129</v>
      </c>
      <c r="H167" s="142" t="s">
        <v>825</v>
      </c>
      <c r="I167" s="130" t="str">
        <f>VLOOKUP(H167,Presupuesto!$B$11:$C$565,2,0)</f>
        <v>LIBROS REVISTAS Y PERIODICOS</v>
      </c>
      <c r="J167" s="98" t="str">
        <f>$J$166</f>
        <v>Gestión Administrativa y  financiera en apoyo al Desarrollo Académico</v>
      </c>
      <c r="K167" s="98" t="s">
        <v>398</v>
      </c>
    </row>
    <row r="168" spans="3:11" ht="45">
      <c r="C168" s="537" t="s">
        <v>1802</v>
      </c>
      <c r="D168" s="158">
        <v>4</v>
      </c>
      <c r="E168" s="123">
        <v>300</v>
      </c>
      <c r="F168" s="97">
        <f t="shared" si="15"/>
        <v>1200</v>
      </c>
      <c r="G168" s="161" t="s">
        <v>129</v>
      </c>
      <c r="H168" s="142" t="s">
        <v>825</v>
      </c>
      <c r="I168" s="130" t="str">
        <f>VLOOKUP(H168,Presupuesto!$B$11:$C$565,2,0)</f>
        <v>LIBROS REVISTAS Y PERIODICOS</v>
      </c>
      <c r="J168" s="98" t="str">
        <f t="shared" ref="J168:J186" si="16">$J$166</f>
        <v>Gestión Administrativa y  financiera en apoyo al Desarrollo Académico</v>
      </c>
      <c r="K168" s="98" t="s">
        <v>398</v>
      </c>
    </row>
    <row r="169" spans="3:11" ht="60">
      <c r="C169" s="537" t="s">
        <v>1803</v>
      </c>
      <c r="D169" s="158">
        <v>4</v>
      </c>
      <c r="E169" s="123">
        <v>1000</v>
      </c>
      <c r="F169" s="97">
        <f t="shared" si="15"/>
        <v>4000</v>
      </c>
      <c r="G169" s="161" t="s">
        <v>129</v>
      </c>
      <c r="H169" s="142" t="s">
        <v>825</v>
      </c>
      <c r="I169" s="130" t="str">
        <f>VLOOKUP(H169,Presupuesto!$B$11:$C$565,2,0)</f>
        <v>LIBROS REVISTAS Y PERIODICOS</v>
      </c>
      <c r="J169" s="98" t="str">
        <f t="shared" si="16"/>
        <v>Gestión Administrativa y  financiera en apoyo al Desarrollo Académico</v>
      </c>
      <c r="K169" s="98" t="s">
        <v>398</v>
      </c>
    </row>
    <row r="170" spans="3:11">
      <c r="C170" s="537" t="s">
        <v>1804</v>
      </c>
      <c r="D170" s="158">
        <v>4</v>
      </c>
      <c r="E170" s="123">
        <v>1000</v>
      </c>
      <c r="F170" s="97">
        <f t="shared" si="15"/>
        <v>4000</v>
      </c>
      <c r="G170" s="161" t="s">
        <v>129</v>
      </c>
      <c r="H170" s="142" t="s">
        <v>825</v>
      </c>
      <c r="I170" s="130" t="str">
        <f>VLOOKUP(H170,Presupuesto!$B$11:$C$565,2,0)</f>
        <v>LIBROS REVISTAS Y PERIODICOS</v>
      </c>
      <c r="J170" s="98" t="str">
        <f t="shared" si="16"/>
        <v>Gestión Administrativa y  financiera en apoyo al Desarrollo Académico</v>
      </c>
      <c r="K170" s="98" t="s">
        <v>398</v>
      </c>
    </row>
    <row r="171" spans="3:11">
      <c r="C171" s="537" t="s">
        <v>1805</v>
      </c>
      <c r="D171" s="158">
        <v>4</v>
      </c>
      <c r="E171" s="123">
        <v>1000</v>
      </c>
      <c r="F171" s="97">
        <f t="shared" si="15"/>
        <v>4000</v>
      </c>
      <c r="G171" s="161" t="s">
        <v>129</v>
      </c>
      <c r="H171" s="142" t="s">
        <v>825</v>
      </c>
      <c r="I171" s="130" t="str">
        <f>VLOOKUP(H171,Presupuesto!$B$11:$C$565,2,0)</f>
        <v>LIBROS REVISTAS Y PERIODICOS</v>
      </c>
      <c r="J171" s="98" t="str">
        <f t="shared" si="16"/>
        <v>Gestión Administrativa y  financiera en apoyo al Desarrollo Académico</v>
      </c>
      <c r="K171" s="98" t="s">
        <v>398</v>
      </c>
    </row>
    <row r="172" spans="3:11" ht="30">
      <c r="C172" s="537" t="s">
        <v>1806</v>
      </c>
      <c r="D172" s="158">
        <v>6</v>
      </c>
      <c r="E172" s="123">
        <v>500</v>
      </c>
      <c r="F172" s="97">
        <f t="shared" si="15"/>
        <v>3000</v>
      </c>
      <c r="G172" s="161" t="s">
        <v>129</v>
      </c>
      <c r="H172" s="142" t="s">
        <v>825</v>
      </c>
      <c r="I172" s="130" t="str">
        <f>VLOOKUP(H172,Presupuesto!$B$11:$C$565,2,0)</f>
        <v>LIBROS REVISTAS Y PERIODICOS</v>
      </c>
      <c r="J172" s="98" t="str">
        <f t="shared" si="16"/>
        <v>Gestión Administrativa y  financiera en apoyo al Desarrollo Académico</v>
      </c>
      <c r="K172" s="98" t="s">
        <v>398</v>
      </c>
    </row>
    <row r="173" spans="3:11">
      <c r="C173" s="141" t="s">
        <v>1807</v>
      </c>
      <c r="D173" s="158">
        <v>3</v>
      </c>
      <c r="E173" s="123">
        <v>600</v>
      </c>
      <c r="F173" s="97">
        <f t="shared" si="15"/>
        <v>1800</v>
      </c>
      <c r="G173" s="161" t="s">
        <v>129</v>
      </c>
      <c r="H173" s="142" t="s">
        <v>825</v>
      </c>
      <c r="I173" s="130" t="str">
        <f>VLOOKUP(H173,Presupuesto!$B$11:$C$565,2,0)</f>
        <v>LIBROS REVISTAS Y PERIODICOS</v>
      </c>
      <c r="J173" s="98" t="str">
        <f t="shared" si="16"/>
        <v>Gestión Administrativa y  financiera en apoyo al Desarrollo Académico</v>
      </c>
      <c r="K173" s="98" t="s">
        <v>398</v>
      </c>
    </row>
    <row r="174" spans="3:11">
      <c r="C174" s="141" t="s">
        <v>1808</v>
      </c>
      <c r="D174" s="158">
        <v>3</v>
      </c>
      <c r="E174" s="123">
        <v>1500</v>
      </c>
      <c r="F174" s="97">
        <f t="shared" si="15"/>
        <v>4500</v>
      </c>
      <c r="G174" s="161" t="s">
        <v>129</v>
      </c>
      <c r="H174" s="142" t="s">
        <v>825</v>
      </c>
      <c r="I174" s="130" t="str">
        <f>VLOOKUP(H174,Presupuesto!$B$11:$C$565,2,0)</f>
        <v>LIBROS REVISTAS Y PERIODICOS</v>
      </c>
      <c r="J174" s="98" t="str">
        <f t="shared" si="16"/>
        <v>Gestión Administrativa y  financiera en apoyo al Desarrollo Académico</v>
      </c>
      <c r="K174" s="98" t="s">
        <v>398</v>
      </c>
    </row>
    <row r="175" spans="3:11">
      <c r="C175" s="141" t="s">
        <v>1809</v>
      </c>
      <c r="D175" s="158">
        <v>3</v>
      </c>
      <c r="E175" s="123">
        <v>600</v>
      </c>
      <c r="F175" s="97">
        <f t="shared" si="15"/>
        <v>1800</v>
      </c>
      <c r="G175" s="161" t="s">
        <v>129</v>
      </c>
      <c r="H175" s="142" t="s">
        <v>825</v>
      </c>
      <c r="I175" s="130" t="str">
        <f>VLOOKUP(H175,Presupuesto!$B$11:$C$565,2,0)</f>
        <v>LIBROS REVISTAS Y PERIODICOS</v>
      </c>
      <c r="J175" s="98" t="str">
        <f t="shared" si="16"/>
        <v>Gestión Administrativa y  financiera en apoyo al Desarrollo Académico</v>
      </c>
      <c r="K175" s="98" t="s">
        <v>398</v>
      </c>
    </row>
    <row r="176" spans="3:11">
      <c r="C176" s="141" t="s">
        <v>1810</v>
      </c>
      <c r="D176" s="158">
        <v>3</v>
      </c>
      <c r="E176" s="123">
        <v>1550</v>
      </c>
      <c r="F176" s="97">
        <f t="shared" si="15"/>
        <v>4650</v>
      </c>
      <c r="G176" s="161" t="s">
        <v>129</v>
      </c>
      <c r="H176" s="142" t="s">
        <v>825</v>
      </c>
      <c r="I176" s="130" t="str">
        <f>VLOOKUP(H176,Presupuesto!$B$11:$C$565,2,0)</f>
        <v>LIBROS REVISTAS Y PERIODICOS</v>
      </c>
      <c r="J176" s="98" t="str">
        <f t="shared" si="16"/>
        <v>Gestión Administrativa y  financiera en apoyo al Desarrollo Académico</v>
      </c>
      <c r="K176" s="98" t="s">
        <v>398</v>
      </c>
    </row>
    <row r="177" spans="3:11">
      <c r="C177" s="141" t="s">
        <v>1811</v>
      </c>
      <c r="D177" s="158">
        <v>3</v>
      </c>
      <c r="E177" s="123">
        <v>1000</v>
      </c>
      <c r="F177" s="97">
        <f t="shared" si="15"/>
        <v>3000</v>
      </c>
      <c r="G177" s="161" t="s">
        <v>129</v>
      </c>
      <c r="H177" s="142" t="s">
        <v>825</v>
      </c>
      <c r="I177" s="130" t="str">
        <f>VLOOKUP(H177,Presupuesto!$B$11:$C$565,2,0)</f>
        <v>LIBROS REVISTAS Y PERIODICOS</v>
      </c>
      <c r="J177" s="98" t="str">
        <f t="shared" si="16"/>
        <v>Gestión Administrativa y  financiera en apoyo al Desarrollo Académico</v>
      </c>
      <c r="K177" s="98" t="s">
        <v>398</v>
      </c>
    </row>
    <row r="178" spans="3:11">
      <c r="C178" s="141" t="s">
        <v>1812</v>
      </c>
      <c r="D178" s="158">
        <v>4</v>
      </c>
      <c r="E178" s="123">
        <v>1500</v>
      </c>
      <c r="F178" s="97">
        <f t="shared" si="15"/>
        <v>6000</v>
      </c>
      <c r="G178" s="161" t="s">
        <v>129</v>
      </c>
      <c r="H178" s="142" t="s">
        <v>825</v>
      </c>
      <c r="I178" s="130" t="str">
        <f>VLOOKUP(H178,Presupuesto!$B$11:$C$565,2,0)</f>
        <v>LIBROS REVISTAS Y PERIODICOS</v>
      </c>
      <c r="J178" s="98" t="str">
        <f t="shared" si="16"/>
        <v>Gestión Administrativa y  financiera en apoyo al Desarrollo Académico</v>
      </c>
      <c r="K178" s="98" t="s">
        <v>398</v>
      </c>
    </row>
    <row r="179" spans="3:11">
      <c r="C179" s="141" t="s">
        <v>1813</v>
      </c>
      <c r="D179" s="158">
        <v>4</v>
      </c>
      <c r="E179" s="123">
        <v>1000</v>
      </c>
      <c r="F179" s="97">
        <f t="shared" si="15"/>
        <v>4000</v>
      </c>
      <c r="G179" s="161" t="s">
        <v>129</v>
      </c>
      <c r="H179" s="142" t="s">
        <v>825</v>
      </c>
      <c r="I179" s="130" t="str">
        <f>VLOOKUP(H179,Presupuesto!$B$11:$C$565,2,0)</f>
        <v>LIBROS REVISTAS Y PERIODICOS</v>
      </c>
      <c r="J179" s="98" t="str">
        <f t="shared" si="16"/>
        <v>Gestión Administrativa y  financiera en apoyo al Desarrollo Académico</v>
      </c>
      <c r="K179" s="98" t="s">
        <v>398</v>
      </c>
    </row>
    <row r="180" spans="3:11">
      <c r="C180" s="141" t="s">
        <v>1814</v>
      </c>
      <c r="D180" s="158">
        <v>4</v>
      </c>
      <c r="E180" s="123">
        <v>1000</v>
      </c>
      <c r="F180" s="97">
        <f t="shared" si="15"/>
        <v>4000</v>
      </c>
      <c r="G180" s="161" t="s">
        <v>129</v>
      </c>
      <c r="H180" s="142" t="s">
        <v>825</v>
      </c>
      <c r="I180" s="130" t="str">
        <f>VLOOKUP(H180,Presupuesto!$B$11:$C$565,2,0)</f>
        <v>LIBROS REVISTAS Y PERIODICOS</v>
      </c>
      <c r="J180" s="98" t="str">
        <f t="shared" si="16"/>
        <v>Gestión Administrativa y  financiera en apoyo al Desarrollo Académico</v>
      </c>
      <c r="K180" s="98" t="s">
        <v>398</v>
      </c>
    </row>
    <row r="181" spans="3:11">
      <c r="C181" s="141" t="s">
        <v>1815</v>
      </c>
      <c r="D181" s="158">
        <v>4</v>
      </c>
      <c r="E181" s="123">
        <v>700</v>
      </c>
      <c r="F181" s="97">
        <f t="shared" si="15"/>
        <v>2800</v>
      </c>
      <c r="G181" s="161" t="s">
        <v>129</v>
      </c>
      <c r="H181" s="142" t="s">
        <v>825</v>
      </c>
      <c r="I181" s="130" t="str">
        <f>VLOOKUP(H181,Presupuesto!$B$11:$C$565,2,0)</f>
        <v>LIBROS REVISTAS Y PERIODICOS</v>
      </c>
      <c r="J181" s="98" t="str">
        <f t="shared" si="16"/>
        <v>Gestión Administrativa y  financiera en apoyo al Desarrollo Académico</v>
      </c>
      <c r="K181" s="98" t="s">
        <v>398</v>
      </c>
    </row>
    <row r="182" spans="3:11">
      <c r="C182" s="141" t="s">
        <v>1816</v>
      </c>
      <c r="D182" s="158">
        <v>4</v>
      </c>
      <c r="E182" s="123">
        <v>1000</v>
      </c>
      <c r="F182" s="97">
        <f t="shared" si="15"/>
        <v>4000</v>
      </c>
      <c r="G182" s="161" t="s">
        <v>129</v>
      </c>
      <c r="H182" s="142" t="s">
        <v>825</v>
      </c>
      <c r="I182" s="130" t="str">
        <f>VLOOKUP(H182,Presupuesto!$B$11:$C$565,2,0)</f>
        <v>LIBROS REVISTAS Y PERIODICOS</v>
      </c>
      <c r="J182" s="98" t="str">
        <f t="shared" si="16"/>
        <v>Gestión Administrativa y  financiera en apoyo al Desarrollo Académico</v>
      </c>
      <c r="K182" s="98" t="s">
        <v>398</v>
      </c>
    </row>
    <row r="183" spans="3:11">
      <c r="C183" s="141" t="s">
        <v>1817</v>
      </c>
      <c r="D183" s="158">
        <v>4</v>
      </c>
      <c r="E183" s="123">
        <v>1000</v>
      </c>
      <c r="F183" s="97">
        <f t="shared" si="15"/>
        <v>4000</v>
      </c>
      <c r="G183" s="161" t="s">
        <v>129</v>
      </c>
      <c r="H183" s="142" t="s">
        <v>825</v>
      </c>
      <c r="I183" s="130" t="str">
        <f>VLOOKUP(H183,Presupuesto!$B$11:$C$565,2,0)</f>
        <v>LIBROS REVISTAS Y PERIODICOS</v>
      </c>
      <c r="J183" s="98" t="str">
        <f t="shared" si="16"/>
        <v>Gestión Administrativa y  financiera en apoyo al Desarrollo Académico</v>
      </c>
      <c r="K183" s="98" t="s">
        <v>398</v>
      </c>
    </row>
    <row r="184" spans="3:11">
      <c r="C184" s="141" t="s">
        <v>1818</v>
      </c>
      <c r="D184" s="158">
        <v>4</v>
      </c>
      <c r="E184" s="123">
        <v>1000</v>
      </c>
      <c r="F184" s="97">
        <f t="shared" si="15"/>
        <v>4000</v>
      </c>
      <c r="G184" s="161" t="s">
        <v>129</v>
      </c>
      <c r="H184" s="142" t="s">
        <v>825</v>
      </c>
      <c r="I184" s="130" t="str">
        <f>VLOOKUP(H184,Presupuesto!$B$11:$C$565,2,0)</f>
        <v>LIBROS REVISTAS Y PERIODICOS</v>
      </c>
      <c r="J184" s="98" t="str">
        <f t="shared" si="16"/>
        <v>Gestión Administrativa y  financiera en apoyo al Desarrollo Académico</v>
      </c>
      <c r="K184" s="98" t="s">
        <v>398</v>
      </c>
    </row>
    <row r="185" spans="3:11" ht="30">
      <c r="C185" s="537" t="s">
        <v>1819</v>
      </c>
      <c r="D185" s="158">
        <v>4</v>
      </c>
      <c r="E185" s="123">
        <v>1000</v>
      </c>
      <c r="F185" s="97">
        <f t="shared" si="15"/>
        <v>4000</v>
      </c>
      <c r="G185" s="161" t="s">
        <v>129</v>
      </c>
      <c r="H185" s="142" t="s">
        <v>825</v>
      </c>
      <c r="I185" s="130" t="str">
        <f>VLOOKUP(H185,Presupuesto!$B$11:$C$565,2,0)</f>
        <v>LIBROS REVISTAS Y PERIODICOS</v>
      </c>
      <c r="J185" s="98" t="str">
        <f t="shared" si="16"/>
        <v>Gestión Administrativa y  financiera en apoyo al Desarrollo Académico</v>
      </c>
      <c r="K185" s="98" t="s">
        <v>398</v>
      </c>
    </row>
    <row r="186" spans="3:11">
      <c r="C186" s="141" t="s">
        <v>1820</v>
      </c>
      <c r="D186" s="158">
        <v>2</v>
      </c>
      <c r="E186" s="123">
        <v>4000</v>
      </c>
      <c r="F186" s="97">
        <f t="shared" si="15"/>
        <v>8000</v>
      </c>
      <c r="G186" s="161" t="s">
        <v>129</v>
      </c>
      <c r="H186" s="142" t="s">
        <v>825</v>
      </c>
      <c r="I186" s="130" t="str">
        <f>VLOOKUP(H186,Presupuesto!$B$11:$C$565,2,0)</f>
        <v>LIBROS REVISTAS Y PERIODICOS</v>
      </c>
      <c r="J186" s="98" t="str">
        <f t="shared" si="16"/>
        <v>Gestión Administrativa y  financiera en apoyo al Desarrollo Académico</v>
      </c>
      <c r="K186" s="98" t="s">
        <v>398</v>
      </c>
    </row>
    <row r="189" spans="3:11" ht="15.75" thickBot="1"/>
    <row r="190" spans="3:11" ht="15.75" thickBot="1">
      <c r="C190" s="157" t="s">
        <v>53</v>
      </c>
      <c r="D190" s="365">
        <f>SUM(F197:F249)</f>
        <v>396578</v>
      </c>
      <c r="F190" s="70"/>
      <c r="G190" s="79"/>
      <c r="H190" s="70"/>
      <c r="I190" s="70"/>
    </row>
    <row r="191" spans="3:11">
      <c r="C191" s="70"/>
      <c r="D191" s="31"/>
      <c r="E191" s="93"/>
      <c r="F191" s="93"/>
      <c r="G191" s="93"/>
      <c r="H191" s="76"/>
      <c r="I191" s="76"/>
      <c r="J191" s="76"/>
      <c r="K191" s="112"/>
    </row>
    <row r="192" spans="3:11">
      <c r="C192" s="70"/>
      <c r="D192" s="31"/>
      <c r="E192" s="93"/>
      <c r="F192" s="93"/>
      <c r="G192" s="93"/>
      <c r="H192" s="76"/>
      <c r="I192" s="76"/>
      <c r="J192" s="76"/>
      <c r="K192" s="112"/>
    </row>
    <row r="193" spans="3:11" ht="15.75">
      <c r="C193" s="202" t="s">
        <v>392</v>
      </c>
      <c r="D193" s="361" t="s">
        <v>1822</v>
      </c>
      <c r="E193" s="93"/>
      <c r="F193" s="93"/>
      <c r="G193" s="93"/>
      <c r="H193" s="76"/>
      <c r="I193" s="76"/>
      <c r="J193" s="76"/>
      <c r="K193" s="112"/>
    </row>
    <row r="194" spans="3:11" ht="18.75">
      <c r="C194" s="210"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 xml:space="preserve">Gestión de equipamiento del departamento de Quimica, Ciencias </v>
      </c>
      <c r="D194" s="31"/>
      <c r="E194" s="93"/>
      <c r="F194" s="93"/>
      <c r="G194" s="93"/>
      <c r="H194" s="76"/>
      <c r="I194" s="76"/>
      <c r="J194" s="76"/>
      <c r="K194" s="112"/>
    </row>
    <row r="195" spans="3:11" ht="15.75" thickBot="1">
      <c r="F195" s="93"/>
      <c r="G195" s="76"/>
      <c r="H195" s="76"/>
      <c r="I195" s="76"/>
    </row>
    <row r="196" spans="3:11" ht="30.75" thickBot="1">
      <c r="C196" s="129" t="s">
        <v>44</v>
      </c>
      <c r="D196" s="129" t="s">
        <v>55</v>
      </c>
      <c r="E196" s="136" t="s">
        <v>57</v>
      </c>
      <c r="F196" s="135" t="s">
        <v>27</v>
      </c>
      <c r="G196" s="133" t="s">
        <v>131</v>
      </c>
      <c r="H196" s="136" t="s">
        <v>46</v>
      </c>
      <c r="I196" s="133" t="s">
        <v>132</v>
      </c>
      <c r="J196" s="133" t="s">
        <v>410</v>
      </c>
      <c r="K196" s="133" t="s">
        <v>411</v>
      </c>
    </row>
    <row r="197" spans="3:11">
      <c r="C197" s="220" t="s">
        <v>439</v>
      </c>
      <c r="D197" s="221"/>
      <c r="E197" s="219">
        <f>HLOOKUP(C197,$AH$2:$BU$3,2,0)</f>
        <v>620</v>
      </c>
      <c r="F197" s="97">
        <f t="shared" ref="F197:F246" si="17">D197*E197</f>
        <v>0</v>
      </c>
      <c r="G197" s="161"/>
      <c r="H197" s="142"/>
      <c r="I197" s="130" t="e">
        <f>VLOOKUP(H197,Presupuesto!$B$11:$C$565,2,0)</f>
        <v>#N/A</v>
      </c>
      <c r="J197" s="218" t="s">
        <v>1364</v>
      </c>
      <c r="K197" s="98" t="s">
        <v>394</v>
      </c>
    </row>
    <row r="198" spans="3:11">
      <c r="C198" s="537" t="s">
        <v>1826</v>
      </c>
      <c r="D198" s="158">
        <v>1</v>
      </c>
      <c r="E198" s="123">
        <v>4000</v>
      </c>
      <c r="F198" s="97">
        <f t="shared" si="17"/>
        <v>4000</v>
      </c>
      <c r="G198" s="161" t="s">
        <v>1486</v>
      </c>
      <c r="H198" s="142" t="s">
        <v>951</v>
      </c>
      <c r="I198" s="130" t="str">
        <f>VLOOKUP(H198,Presupuesto!$B$11:$C$565,2,0)</f>
        <v>INSTRUMENTOS MEDICOS QUIRURGICOS MENOR Y DE LABORATORIO</v>
      </c>
      <c r="J198" s="98" t="str">
        <f>$J$197</f>
        <v>Gestión Administrativa y  financiera en apoyo al Desarrollo Académico</v>
      </c>
      <c r="K198" s="98" t="s">
        <v>412</v>
      </c>
    </row>
    <row r="199" spans="3:11">
      <c r="C199" s="537" t="s">
        <v>1877</v>
      </c>
      <c r="D199" s="158">
        <v>1</v>
      </c>
      <c r="E199" s="123">
        <f>29617+8205</f>
        <v>37822</v>
      </c>
      <c r="F199" s="97">
        <f t="shared" si="17"/>
        <v>37822</v>
      </c>
      <c r="G199" s="161" t="s">
        <v>129</v>
      </c>
      <c r="H199" s="142" t="s">
        <v>894</v>
      </c>
      <c r="I199" s="130" t="str">
        <f>VLOOKUP(H199,Presupuesto!$B$11:$C$565,2,0)</f>
        <v>PRODUCTOS QUIMICOS</v>
      </c>
      <c r="J199" s="98" t="str">
        <f t="shared" ref="J199:J249" si="18">$J$197</f>
        <v>Gestión Administrativa y  financiera en apoyo al Desarrollo Académico</v>
      </c>
      <c r="K199" s="98" t="s">
        <v>412</v>
      </c>
    </row>
    <row r="200" spans="3:11">
      <c r="C200" s="537" t="s">
        <v>1827</v>
      </c>
      <c r="D200" s="158">
        <v>1</v>
      </c>
      <c r="E200" s="123">
        <v>1500</v>
      </c>
      <c r="F200" s="97">
        <f t="shared" si="17"/>
        <v>1500</v>
      </c>
      <c r="G200" s="161" t="s">
        <v>1486</v>
      </c>
      <c r="H200" s="142" t="s">
        <v>951</v>
      </c>
      <c r="I200" s="130" t="str">
        <f>VLOOKUP(H200,Presupuesto!$B$11:$C$565,2,0)</f>
        <v>INSTRUMENTOS MEDICOS QUIRURGICOS MENOR Y DE LABORATORIO</v>
      </c>
      <c r="J200" s="98" t="str">
        <f t="shared" si="18"/>
        <v>Gestión Administrativa y  financiera en apoyo al Desarrollo Académico</v>
      </c>
      <c r="K200" s="98" t="s">
        <v>412</v>
      </c>
    </row>
    <row r="201" spans="3:11">
      <c r="C201" s="537" t="s">
        <v>1828</v>
      </c>
      <c r="D201" s="158">
        <v>1</v>
      </c>
      <c r="E201" s="123">
        <v>7000</v>
      </c>
      <c r="F201" s="97">
        <f t="shared" si="17"/>
        <v>7000</v>
      </c>
      <c r="G201" s="161" t="s">
        <v>1486</v>
      </c>
      <c r="H201" s="142" t="s">
        <v>951</v>
      </c>
      <c r="I201" s="130" t="str">
        <f>VLOOKUP(H201,Presupuesto!$B$11:$C$565,2,0)</f>
        <v>INSTRUMENTOS MEDICOS QUIRURGICOS MENOR Y DE LABORATORIO</v>
      </c>
      <c r="J201" s="98" t="str">
        <f t="shared" si="18"/>
        <v>Gestión Administrativa y  financiera en apoyo al Desarrollo Académico</v>
      </c>
      <c r="K201" s="98" t="s">
        <v>412</v>
      </c>
    </row>
    <row r="202" spans="3:11">
      <c r="C202" s="537" t="s">
        <v>1829</v>
      </c>
      <c r="D202" s="158">
        <v>1</v>
      </c>
      <c r="E202" s="123">
        <v>4900</v>
      </c>
      <c r="F202" s="97">
        <f t="shared" si="17"/>
        <v>4900</v>
      </c>
      <c r="G202" s="161" t="s">
        <v>1486</v>
      </c>
      <c r="H202" s="142" t="s">
        <v>951</v>
      </c>
      <c r="I202" s="130" t="str">
        <f>VLOOKUP(H202,Presupuesto!$B$11:$C$565,2,0)</f>
        <v>INSTRUMENTOS MEDICOS QUIRURGICOS MENOR Y DE LABORATORIO</v>
      </c>
      <c r="J202" s="98" t="str">
        <f t="shared" si="18"/>
        <v>Gestión Administrativa y  financiera en apoyo al Desarrollo Académico</v>
      </c>
      <c r="K202" s="98" t="s">
        <v>401</v>
      </c>
    </row>
    <row r="203" spans="3:11" ht="30">
      <c r="C203" s="537" t="s">
        <v>1830</v>
      </c>
      <c r="D203" s="158">
        <v>5</v>
      </c>
      <c r="E203" s="123">
        <v>3000</v>
      </c>
      <c r="F203" s="97">
        <f t="shared" si="17"/>
        <v>15000</v>
      </c>
      <c r="G203" s="161" t="s">
        <v>1486</v>
      </c>
      <c r="H203" s="142" t="s">
        <v>951</v>
      </c>
      <c r="I203" s="130" t="str">
        <f>VLOOKUP(H203,Presupuesto!$B$11:$C$565,2,0)</f>
        <v>INSTRUMENTOS MEDICOS QUIRURGICOS MENOR Y DE LABORATORIO</v>
      </c>
      <c r="J203" s="98" t="str">
        <f t="shared" si="18"/>
        <v>Gestión Administrativa y  financiera en apoyo al Desarrollo Académico</v>
      </c>
      <c r="K203" s="98" t="s">
        <v>412</v>
      </c>
    </row>
    <row r="204" spans="3:11" s="458" customFormat="1">
      <c r="C204" s="537" t="s">
        <v>1831</v>
      </c>
      <c r="D204" s="158">
        <v>4</v>
      </c>
      <c r="E204" s="123">
        <v>1540</v>
      </c>
      <c r="F204" s="97">
        <f t="shared" si="17"/>
        <v>6160</v>
      </c>
      <c r="G204" s="161" t="s">
        <v>1486</v>
      </c>
      <c r="H204" s="142" t="s">
        <v>951</v>
      </c>
      <c r="I204" s="130" t="str">
        <f>VLOOKUP(H204,Presupuesto!$B$11:$C$565,2,0)</f>
        <v>INSTRUMENTOS MEDICOS QUIRURGICOS MENOR Y DE LABORATORIO</v>
      </c>
      <c r="J204" s="98" t="str">
        <f t="shared" si="18"/>
        <v>Gestión Administrativa y  financiera en apoyo al Desarrollo Académico</v>
      </c>
      <c r="K204" s="98" t="s">
        <v>412</v>
      </c>
    </row>
    <row r="205" spans="3:11" s="458" customFormat="1" ht="30">
      <c r="C205" s="537" t="s">
        <v>1832</v>
      </c>
      <c r="D205" s="158">
        <v>5</v>
      </c>
      <c r="E205" s="123">
        <v>300</v>
      </c>
      <c r="F205" s="97">
        <f t="shared" si="17"/>
        <v>1500</v>
      </c>
      <c r="G205" s="161" t="s">
        <v>1486</v>
      </c>
      <c r="H205" s="142" t="s">
        <v>951</v>
      </c>
      <c r="I205" s="130" t="str">
        <f>VLOOKUP(H205,Presupuesto!$B$11:$C$565,2,0)</f>
        <v>INSTRUMENTOS MEDICOS QUIRURGICOS MENOR Y DE LABORATORIO</v>
      </c>
      <c r="J205" s="98" t="str">
        <f t="shared" si="18"/>
        <v>Gestión Administrativa y  financiera en apoyo al Desarrollo Académico</v>
      </c>
      <c r="K205" s="98" t="s">
        <v>412</v>
      </c>
    </row>
    <row r="206" spans="3:11" s="458" customFormat="1" ht="30">
      <c r="C206" s="537" t="s">
        <v>1833</v>
      </c>
      <c r="D206" s="158">
        <v>4</v>
      </c>
      <c r="E206" s="123">
        <v>660</v>
      </c>
      <c r="F206" s="97">
        <f t="shared" si="17"/>
        <v>2640</v>
      </c>
      <c r="G206" s="161" t="s">
        <v>1486</v>
      </c>
      <c r="H206" s="142" t="s">
        <v>951</v>
      </c>
      <c r="I206" s="130" t="str">
        <f>VLOOKUP(H206,Presupuesto!$B$11:$C$565,2,0)</f>
        <v>INSTRUMENTOS MEDICOS QUIRURGICOS MENOR Y DE LABORATORIO</v>
      </c>
      <c r="J206" s="98" t="str">
        <f t="shared" si="18"/>
        <v>Gestión Administrativa y  financiera en apoyo al Desarrollo Académico</v>
      </c>
      <c r="K206" s="98" t="s">
        <v>412</v>
      </c>
    </row>
    <row r="207" spans="3:11" s="458" customFormat="1" ht="30">
      <c r="C207" s="537" t="s">
        <v>1834</v>
      </c>
      <c r="D207" s="158">
        <v>5</v>
      </c>
      <c r="E207" s="123">
        <v>600</v>
      </c>
      <c r="F207" s="97">
        <f t="shared" si="17"/>
        <v>3000</v>
      </c>
      <c r="G207" s="161" t="s">
        <v>1486</v>
      </c>
      <c r="H207" s="142" t="s">
        <v>951</v>
      </c>
      <c r="I207" s="130" t="str">
        <f>VLOOKUP(H207,Presupuesto!$B$11:$C$565,2,0)</f>
        <v>INSTRUMENTOS MEDICOS QUIRURGICOS MENOR Y DE LABORATORIO</v>
      </c>
      <c r="J207" s="98" t="str">
        <f t="shared" si="18"/>
        <v>Gestión Administrativa y  financiera en apoyo al Desarrollo Académico</v>
      </c>
      <c r="K207" s="98" t="s">
        <v>412</v>
      </c>
    </row>
    <row r="208" spans="3:11" s="458" customFormat="1" ht="45">
      <c r="C208" s="537" t="s">
        <v>1835</v>
      </c>
      <c r="D208" s="158">
        <v>5</v>
      </c>
      <c r="E208" s="123">
        <v>600</v>
      </c>
      <c r="F208" s="97">
        <f t="shared" si="17"/>
        <v>3000</v>
      </c>
      <c r="G208" s="161" t="s">
        <v>1486</v>
      </c>
      <c r="H208" s="142" t="s">
        <v>951</v>
      </c>
      <c r="I208" s="130" t="str">
        <f>VLOOKUP(H208,Presupuesto!$B$11:$C$565,2,0)</f>
        <v>INSTRUMENTOS MEDICOS QUIRURGICOS MENOR Y DE LABORATORIO</v>
      </c>
      <c r="J208" s="98" t="str">
        <f t="shared" si="18"/>
        <v>Gestión Administrativa y  financiera en apoyo al Desarrollo Académico</v>
      </c>
      <c r="K208" s="98" t="s">
        <v>412</v>
      </c>
    </row>
    <row r="209" spans="3:11" s="458" customFormat="1" ht="30">
      <c r="C209" s="537" t="s">
        <v>1836</v>
      </c>
      <c r="D209" s="158">
        <v>5</v>
      </c>
      <c r="E209" s="123">
        <v>600</v>
      </c>
      <c r="F209" s="97">
        <f t="shared" si="17"/>
        <v>3000</v>
      </c>
      <c r="G209" s="161" t="s">
        <v>1486</v>
      </c>
      <c r="H209" s="142" t="s">
        <v>951</v>
      </c>
      <c r="I209" s="130" t="str">
        <f>VLOOKUP(H209,Presupuesto!$B$11:$C$565,2,0)</f>
        <v>INSTRUMENTOS MEDICOS QUIRURGICOS MENOR Y DE LABORATORIO</v>
      </c>
      <c r="J209" s="98" t="str">
        <f t="shared" si="18"/>
        <v>Gestión Administrativa y  financiera en apoyo al Desarrollo Académico</v>
      </c>
      <c r="K209" s="98" t="s">
        <v>412</v>
      </c>
    </row>
    <row r="210" spans="3:11" s="458" customFormat="1">
      <c r="C210" s="537" t="s">
        <v>1837</v>
      </c>
      <c r="D210" s="158">
        <v>5</v>
      </c>
      <c r="E210" s="123">
        <v>1500</v>
      </c>
      <c r="F210" s="97">
        <f t="shared" si="17"/>
        <v>7500</v>
      </c>
      <c r="G210" s="161" t="s">
        <v>1486</v>
      </c>
      <c r="H210" s="142" t="s">
        <v>951</v>
      </c>
      <c r="I210" s="130" t="str">
        <f>VLOOKUP(H210,Presupuesto!$B$11:$C$565,2,0)</f>
        <v>INSTRUMENTOS MEDICOS QUIRURGICOS MENOR Y DE LABORATORIO</v>
      </c>
      <c r="J210" s="98" t="str">
        <f t="shared" si="18"/>
        <v>Gestión Administrativa y  financiera en apoyo al Desarrollo Académico</v>
      </c>
      <c r="K210" s="98" t="s">
        <v>412</v>
      </c>
    </row>
    <row r="211" spans="3:11" s="458" customFormat="1" ht="60">
      <c r="C211" s="537" t="s">
        <v>1838</v>
      </c>
      <c r="D211" s="158">
        <v>2</v>
      </c>
      <c r="E211" s="123">
        <v>2500</v>
      </c>
      <c r="F211" s="97">
        <f t="shared" si="17"/>
        <v>5000</v>
      </c>
      <c r="G211" s="161" t="s">
        <v>1486</v>
      </c>
      <c r="H211" s="142" t="s">
        <v>951</v>
      </c>
      <c r="I211" s="130" t="str">
        <f>VLOOKUP(H211,Presupuesto!$B$11:$C$565,2,0)</f>
        <v>INSTRUMENTOS MEDICOS QUIRURGICOS MENOR Y DE LABORATORIO</v>
      </c>
      <c r="J211" s="98" t="str">
        <f t="shared" si="18"/>
        <v>Gestión Administrativa y  financiera en apoyo al Desarrollo Académico</v>
      </c>
      <c r="K211" s="98" t="s">
        <v>412</v>
      </c>
    </row>
    <row r="212" spans="3:11" s="458" customFormat="1" ht="30">
      <c r="C212" s="537" t="s">
        <v>1839</v>
      </c>
      <c r="D212" s="158">
        <v>1</v>
      </c>
      <c r="E212" s="123">
        <v>500</v>
      </c>
      <c r="F212" s="97">
        <f t="shared" si="17"/>
        <v>500</v>
      </c>
      <c r="G212" s="161" t="s">
        <v>1486</v>
      </c>
      <c r="H212" s="142" t="s">
        <v>951</v>
      </c>
      <c r="I212" s="130" t="str">
        <f>VLOOKUP(H212,Presupuesto!$B$11:$C$565,2,0)</f>
        <v>INSTRUMENTOS MEDICOS QUIRURGICOS MENOR Y DE LABORATORIO</v>
      </c>
      <c r="J212" s="98" t="str">
        <f t="shared" si="18"/>
        <v>Gestión Administrativa y  financiera en apoyo al Desarrollo Académico</v>
      </c>
      <c r="K212" s="98" t="s">
        <v>412</v>
      </c>
    </row>
    <row r="213" spans="3:11" s="458" customFormat="1" ht="45">
      <c r="C213" s="537" t="s">
        <v>1840</v>
      </c>
      <c r="D213" s="158">
        <v>3</v>
      </c>
      <c r="E213" s="123">
        <v>40</v>
      </c>
      <c r="F213" s="97">
        <f t="shared" si="17"/>
        <v>120</v>
      </c>
      <c r="G213" s="161" t="s">
        <v>1486</v>
      </c>
      <c r="H213" s="142" t="s">
        <v>951</v>
      </c>
      <c r="I213" s="130" t="str">
        <f>VLOOKUP(H213,Presupuesto!$B$11:$C$565,2,0)</f>
        <v>INSTRUMENTOS MEDICOS QUIRURGICOS MENOR Y DE LABORATORIO</v>
      </c>
      <c r="J213" s="98" t="str">
        <f t="shared" si="18"/>
        <v>Gestión Administrativa y  financiera en apoyo al Desarrollo Académico</v>
      </c>
      <c r="K213" s="98" t="s">
        <v>412</v>
      </c>
    </row>
    <row r="214" spans="3:11" s="458" customFormat="1" ht="30">
      <c r="C214" s="537" t="s">
        <v>1841</v>
      </c>
      <c r="D214" s="158">
        <v>5</v>
      </c>
      <c r="E214" s="123">
        <v>880</v>
      </c>
      <c r="F214" s="97">
        <f t="shared" si="17"/>
        <v>4400</v>
      </c>
      <c r="G214" s="161" t="s">
        <v>1486</v>
      </c>
      <c r="H214" s="142" t="s">
        <v>951</v>
      </c>
      <c r="I214" s="130" t="str">
        <f>VLOOKUP(H214,Presupuesto!$B$11:$C$565,2,0)</f>
        <v>INSTRUMENTOS MEDICOS QUIRURGICOS MENOR Y DE LABORATORIO</v>
      </c>
      <c r="J214" s="98" t="str">
        <f t="shared" si="18"/>
        <v>Gestión Administrativa y  financiera en apoyo al Desarrollo Académico</v>
      </c>
      <c r="K214" s="98" t="s">
        <v>412</v>
      </c>
    </row>
    <row r="215" spans="3:11" s="458" customFormat="1" ht="45">
      <c r="C215" s="537" t="s">
        <v>1842</v>
      </c>
      <c r="D215" s="158">
        <v>1</v>
      </c>
      <c r="E215" s="123">
        <v>8800</v>
      </c>
      <c r="F215" s="97">
        <f t="shared" si="17"/>
        <v>8800</v>
      </c>
      <c r="G215" s="161" t="s">
        <v>1486</v>
      </c>
      <c r="H215" s="142" t="s">
        <v>951</v>
      </c>
      <c r="I215" s="130" t="str">
        <f>VLOOKUP(H215,Presupuesto!$B$11:$C$565,2,0)</f>
        <v>INSTRUMENTOS MEDICOS QUIRURGICOS MENOR Y DE LABORATORIO</v>
      </c>
      <c r="J215" s="98" t="str">
        <f t="shared" si="18"/>
        <v>Gestión Administrativa y  financiera en apoyo al Desarrollo Académico</v>
      </c>
      <c r="K215" s="98" t="s">
        <v>412</v>
      </c>
    </row>
    <row r="216" spans="3:11" s="458" customFormat="1" ht="30">
      <c r="C216" s="537" t="s">
        <v>1843</v>
      </c>
      <c r="D216" s="158">
        <v>5</v>
      </c>
      <c r="E216" s="123">
        <v>374</v>
      </c>
      <c r="F216" s="97">
        <f t="shared" si="17"/>
        <v>1870</v>
      </c>
      <c r="G216" s="161" t="s">
        <v>1486</v>
      </c>
      <c r="H216" s="142" t="s">
        <v>951</v>
      </c>
      <c r="I216" s="130" t="str">
        <f>VLOOKUP(H216,Presupuesto!$B$11:$C$565,2,0)</f>
        <v>INSTRUMENTOS MEDICOS QUIRURGICOS MENOR Y DE LABORATORIO</v>
      </c>
      <c r="J216" s="98" t="str">
        <f t="shared" si="18"/>
        <v>Gestión Administrativa y  financiera en apoyo al Desarrollo Académico</v>
      </c>
      <c r="K216" s="98" t="s">
        <v>412</v>
      </c>
    </row>
    <row r="217" spans="3:11" s="458" customFormat="1">
      <c r="C217" s="537" t="s">
        <v>1844</v>
      </c>
      <c r="D217" s="158">
        <v>5</v>
      </c>
      <c r="E217" s="123">
        <v>300</v>
      </c>
      <c r="F217" s="97">
        <f t="shared" si="17"/>
        <v>1500</v>
      </c>
      <c r="G217" s="161" t="s">
        <v>1486</v>
      </c>
      <c r="H217" s="142" t="s">
        <v>951</v>
      </c>
      <c r="I217" s="130" t="str">
        <f>VLOOKUP(H217,Presupuesto!$B$11:$C$565,2,0)</f>
        <v>INSTRUMENTOS MEDICOS QUIRURGICOS MENOR Y DE LABORATORIO</v>
      </c>
      <c r="J217" s="98" t="str">
        <f t="shared" si="18"/>
        <v>Gestión Administrativa y  financiera en apoyo al Desarrollo Académico</v>
      </c>
      <c r="K217" s="98" t="s">
        <v>412</v>
      </c>
    </row>
    <row r="218" spans="3:11" s="458" customFormat="1">
      <c r="C218" s="537" t="s">
        <v>1845</v>
      </c>
      <c r="D218" s="158">
        <v>5</v>
      </c>
      <c r="E218" s="123">
        <v>400</v>
      </c>
      <c r="F218" s="97">
        <f t="shared" si="17"/>
        <v>2000</v>
      </c>
      <c r="G218" s="161" t="s">
        <v>1486</v>
      </c>
      <c r="H218" s="142" t="s">
        <v>951</v>
      </c>
      <c r="I218" s="130" t="str">
        <f>VLOOKUP(H218,Presupuesto!$B$11:$C$565,2,0)</f>
        <v>INSTRUMENTOS MEDICOS QUIRURGICOS MENOR Y DE LABORATORIO</v>
      </c>
      <c r="J218" s="98" t="str">
        <f t="shared" si="18"/>
        <v>Gestión Administrativa y  financiera en apoyo al Desarrollo Académico</v>
      </c>
      <c r="K218" s="98" t="s">
        <v>412</v>
      </c>
    </row>
    <row r="219" spans="3:11" s="458" customFormat="1">
      <c r="C219" s="537" t="s">
        <v>1846</v>
      </c>
      <c r="D219" s="158">
        <v>5</v>
      </c>
      <c r="E219" s="123">
        <v>600</v>
      </c>
      <c r="F219" s="97">
        <f t="shared" si="17"/>
        <v>3000</v>
      </c>
      <c r="G219" s="161" t="s">
        <v>1486</v>
      </c>
      <c r="H219" s="142" t="s">
        <v>951</v>
      </c>
      <c r="I219" s="130" t="str">
        <f>VLOOKUP(H219,Presupuesto!$B$11:$C$565,2,0)</f>
        <v>INSTRUMENTOS MEDICOS QUIRURGICOS MENOR Y DE LABORATORIO</v>
      </c>
      <c r="J219" s="98" t="str">
        <f t="shared" si="18"/>
        <v>Gestión Administrativa y  financiera en apoyo al Desarrollo Académico</v>
      </c>
      <c r="K219" s="98" t="s">
        <v>412</v>
      </c>
    </row>
    <row r="220" spans="3:11" s="458" customFormat="1">
      <c r="C220" s="537" t="s">
        <v>1847</v>
      </c>
      <c r="D220" s="158">
        <v>5</v>
      </c>
      <c r="E220" s="123">
        <v>154</v>
      </c>
      <c r="F220" s="97">
        <f t="shared" si="17"/>
        <v>770</v>
      </c>
      <c r="G220" s="161" t="s">
        <v>1486</v>
      </c>
      <c r="H220" s="142" t="s">
        <v>951</v>
      </c>
      <c r="I220" s="130" t="str">
        <f>VLOOKUP(H220,Presupuesto!$B$11:$C$565,2,0)</f>
        <v>INSTRUMENTOS MEDICOS QUIRURGICOS MENOR Y DE LABORATORIO</v>
      </c>
      <c r="J220" s="98" t="str">
        <f t="shared" si="18"/>
        <v>Gestión Administrativa y  financiera en apoyo al Desarrollo Académico</v>
      </c>
      <c r="K220" s="98" t="s">
        <v>412</v>
      </c>
    </row>
    <row r="221" spans="3:11" s="458" customFormat="1" ht="30">
      <c r="C221" s="537" t="s">
        <v>1848</v>
      </c>
      <c r="D221" s="158">
        <v>5</v>
      </c>
      <c r="E221" s="123">
        <v>600</v>
      </c>
      <c r="F221" s="97">
        <f t="shared" si="17"/>
        <v>3000</v>
      </c>
      <c r="G221" s="161" t="s">
        <v>1486</v>
      </c>
      <c r="H221" s="142" t="s">
        <v>951</v>
      </c>
      <c r="I221" s="130" t="str">
        <f>VLOOKUP(H221,Presupuesto!$B$11:$C$565,2,0)</f>
        <v>INSTRUMENTOS MEDICOS QUIRURGICOS MENOR Y DE LABORATORIO</v>
      </c>
      <c r="J221" s="98" t="str">
        <f t="shared" si="18"/>
        <v>Gestión Administrativa y  financiera en apoyo al Desarrollo Académico</v>
      </c>
      <c r="K221" s="98" t="s">
        <v>412</v>
      </c>
    </row>
    <row r="222" spans="3:11" s="458" customFormat="1" ht="45">
      <c r="C222" s="537" t="s">
        <v>1849</v>
      </c>
      <c r="D222" s="158">
        <v>4</v>
      </c>
      <c r="E222" s="123">
        <v>880</v>
      </c>
      <c r="F222" s="97">
        <f t="shared" si="17"/>
        <v>3520</v>
      </c>
      <c r="G222" s="161" t="s">
        <v>1486</v>
      </c>
      <c r="H222" s="142" t="s">
        <v>951</v>
      </c>
      <c r="I222" s="130" t="str">
        <f>VLOOKUP(H222,Presupuesto!$B$11:$C$565,2,0)</f>
        <v>INSTRUMENTOS MEDICOS QUIRURGICOS MENOR Y DE LABORATORIO</v>
      </c>
      <c r="J222" s="98" t="str">
        <f t="shared" si="18"/>
        <v>Gestión Administrativa y  financiera en apoyo al Desarrollo Académico</v>
      </c>
      <c r="K222" s="98" t="s">
        <v>412</v>
      </c>
    </row>
    <row r="223" spans="3:11" s="458" customFormat="1" ht="30">
      <c r="C223" s="537" t="s">
        <v>1850</v>
      </c>
      <c r="D223" s="158">
        <v>5</v>
      </c>
      <c r="E223" s="123">
        <v>1400</v>
      </c>
      <c r="F223" s="97">
        <f t="shared" si="17"/>
        <v>7000</v>
      </c>
      <c r="G223" s="161" t="s">
        <v>1486</v>
      </c>
      <c r="H223" s="142" t="s">
        <v>951</v>
      </c>
      <c r="I223" s="130" t="str">
        <f>VLOOKUP(H223,Presupuesto!$B$11:$C$565,2,0)</f>
        <v>INSTRUMENTOS MEDICOS QUIRURGICOS MENOR Y DE LABORATORIO</v>
      </c>
      <c r="J223" s="98" t="str">
        <f t="shared" si="18"/>
        <v>Gestión Administrativa y  financiera en apoyo al Desarrollo Académico</v>
      </c>
      <c r="K223" s="98" t="s">
        <v>412</v>
      </c>
    </row>
    <row r="224" spans="3:11" s="458" customFormat="1" ht="45">
      <c r="C224" s="537" t="s">
        <v>1851</v>
      </c>
      <c r="D224" s="158">
        <v>5</v>
      </c>
      <c r="E224" s="123">
        <v>2500</v>
      </c>
      <c r="F224" s="97">
        <f t="shared" si="17"/>
        <v>12500</v>
      </c>
      <c r="G224" s="161" t="s">
        <v>1486</v>
      </c>
      <c r="H224" s="142" t="s">
        <v>951</v>
      </c>
      <c r="I224" s="130" t="str">
        <f>VLOOKUP(H224,Presupuesto!$B$11:$C$565,2,0)</f>
        <v>INSTRUMENTOS MEDICOS QUIRURGICOS MENOR Y DE LABORATORIO</v>
      </c>
      <c r="J224" s="98" t="str">
        <f t="shared" si="18"/>
        <v>Gestión Administrativa y  financiera en apoyo al Desarrollo Académico</v>
      </c>
      <c r="K224" s="98" t="s">
        <v>412</v>
      </c>
    </row>
    <row r="225" spans="3:11" s="458" customFormat="1" ht="30">
      <c r="C225" s="537" t="s">
        <v>1852</v>
      </c>
      <c r="D225" s="158">
        <v>5</v>
      </c>
      <c r="E225" s="123">
        <v>1000</v>
      </c>
      <c r="F225" s="97">
        <f t="shared" si="17"/>
        <v>5000</v>
      </c>
      <c r="G225" s="161" t="s">
        <v>1486</v>
      </c>
      <c r="H225" s="142" t="s">
        <v>951</v>
      </c>
      <c r="I225" s="130" t="str">
        <f>VLOOKUP(H225,Presupuesto!$B$11:$C$565,2,0)</f>
        <v>INSTRUMENTOS MEDICOS QUIRURGICOS MENOR Y DE LABORATORIO</v>
      </c>
      <c r="J225" s="98" t="str">
        <f t="shared" si="18"/>
        <v>Gestión Administrativa y  financiera en apoyo al Desarrollo Académico</v>
      </c>
      <c r="K225" s="98" t="s">
        <v>412</v>
      </c>
    </row>
    <row r="226" spans="3:11" s="458" customFormat="1" ht="30">
      <c r="C226" s="537" t="s">
        <v>1853</v>
      </c>
      <c r="D226" s="158">
        <v>4</v>
      </c>
      <c r="E226" s="123">
        <v>330</v>
      </c>
      <c r="F226" s="97">
        <f t="shared" si="17"/>
        <v>1320</v>
      </c>
      <c r="G226" s="161" t="s">
        <v>1486</v>
      </c>
      <c r="H226" s="142" t="s">
        <v>951</v>
      </c>
      <c r="I226" s="130" t="str">
        <f>VLOOKUP(H226,Presupuesto!$B$11:$C$565,2,0)</f>
        <v>INSTRUMENTOS MEDICOS QUIRURGICOS MENOR Y DE LABORATORIO</v>
      </c>
      <c r="J226" s="98" t="str">
        <f t="shared" si="18"/>
        <v>Gestión Administrativa y  financiera en apoyo al Desarrollo Académico</v>
      </c>
      <c r="K226" s="98" t="s">
        <v>412</v>
      </c>
    </row>
    <row r="227" spans="3:11" s="458" customFormat="1" ht="30">
      <c r="C227" s="537" t="s">
        <v>1854</v>
      </c>
      <c r="D227" s="158">
        <v>5</v>
      </c>
      <c r="E227" s="123">
        <v>400</v>
      </c>
      <c r="F227" s="97">
        <f t="shared" si="17"/>
        <v>2000</v>
      </c>
      <c r="G227" s="161" t="s">
        <v>1486</v>
      </c>
      <c r="H227" s="142" t="s">
        <v>951</v>
      </c>
      <c r="I227" s="130" t="str">
        <f>VLOOKUP(H227,Presupuesto!$B$11:$C$565,2,0)</f>
        <v>INSTRUMENTOS MEDICOS QUIRURGICOS MENOR Y DE LABORATORIO</v>
      </c>
      <c r="J227" s="98" t="str">
        <f t="shared" si="18"/>
        <v>Gestión Administrativa y  financiera en apoyo al Desarrollo Académico</v>
      </c>
      <c r="K227" s="98" t="s">
        <v>412</v>
      </c>
    </row>
    <row r="228" spans="3:11" s="458" customFormat="1">
      <c r="C228" s="537" t="s">
        <v>1855</v>
      </c>
      <c r="D228" s="158">
        <v>2</v>
      </c>
      <c r="E228" s="123">
        <v>500</v>
      </c>
      <c r="F228" s="97">
        <f t="shared" si="17"/>
        <v>1000</v>
      </c>
      <c r="G228" s="161" t="s">
        <v>1486</v>
      </c>
      <c r="H228" s="142" t="s">
        <v>951</v>
      </c>
      <c r="I228" s="130" t="str">
        <f>VLOOKUP(H228,Presupuesto!$B$11:$C$565,2,0)</f>
        <v>INSTRUMENTOS MEDICOS QUIRURGICOS MENOR Y DE LABORATORIO</v>
      </c>
      <c r="J228" s="98" t="str">
        <f t="shared" si="18"/>
        <v>Gestión Administrativa y  financiera en apoyo al Desarrollo Académico</v>
      </c>
      <c r="K228" s="98" t="s">
        <v>412</v>
      </c>
    </row>
    <row r="229" spans="3:11" s="458" customFormat="1" ht="45">
      <c r="C229" s="537" t="s">
        <v>1856</v>
      </c>
      <c r="D229" s="158">
        <v>5</v>
      </c>
      <c r="E229" s="123">
        <v>100</v>
      </c>
      <c r="F229" s="97">
        <f t="shared" si="17"/>
        <v>500</v>
      </c>
      <c r="G229" s="161" t="s">
        <v>1486</v>
      </c>
      <c r="H229" s="142" t="s">
        <v>951</v>
      </c>
      <c r="I229" s="130" t="str">
        <f>VLOOKUP(H229,Presupuesto!$B$11:$C$565,2,0)</f>
        <v>INSTRUMENTOS MEDICOS QUIRURGICOS MENOR Y DE LABORATORIO</v>
      </c>
      <c r="J229" s="98" t="str">
        <f t="shared" si="18"/>
        <v>Gestión Administrativa y  financiera en apoyo al Desarrollo Académico</v>
      </c>
      <c r="K229" s="98" t="s">
        <v>412</v>
      </c>
    </row>
    <row r="230" spans="3:11" s="458" customFormat="1">
      <c r="C230" s="537" t="s">
        <v>1857</v>
      </c>
      <c r="D230" s="158">
        <v>5</v>
      </c>
      <c r="E230" s="123">
        <v>100</v>
      </c>
      <c r="F230" s="97">
        <f t="shared" si="17"/>
        <v>500</v>
      </c>
      <c r="G230" s="161" t="s">
        <v>1486</v>
      </c>
      <c r="H230" s="142" t="s">
        <v>951</v>
      </c>
      <c r="I230" s="130" t="str">
        <f>VLOOKUP(H230,Presupuesto!$B$11:$C$565,2,0)</f>
        <v>INSTRUMENTOS MEDICOS QUIRURGICOS MENOR Y DE LABORATORIO</v>
      </c>
      <c r="J230" s="98" t="str">
        <f t="shared" si="18"/>
        <v>Gestión Administrativa y  financiera en apoyo al Desarrollo Académico</v>
      </c>
      <c r="K230" s="98" t="s">
        <v>412</v>
      </c>
    </row>
    <row r="231" spans="3:11" s="458" customFormat="1" ht="30">
      <c r="C231" s="537" t="s">
        <v>1858</v>
      </c>
      <c r="D231" s="158">
        <v>5</v>
      </c>
      <c r="E231" s="123">
        <v>800</v>
      </c>
      <c r="F231" s="97">
        <f t="shared" si="17"/>
        <v>4000</v>
      </c>
      <c r="G231" s="161" t="s">
        <v>1486</v>
      </c>
      <c r="H231" s="142" t="s">
        <v>951</v>
      </c>
      <c r="I231" s="130" t="str">
        <f>VLOOKUP(H231,Presupuesto!$B$11:$C$565,2,0)</f>
        <v>INSTRUMENTOS MEDICOS QUIRURGICOS MENOR Y DE LABORATORIO</v>
      </c>
      <c r="J231" s="98" t="str">
        <f t="shared" si="18"/>
        <v>Gestión Administrativa y  financiera en apoyo al Desarrollo Académico</v>
      </c>
      <c r="K231" s="98" t="s">
        <v>412</v>
      </c>
    </row>
    <row r="232" spans="3:11" s="458" customFormat="1" ht="45">
      <c r="C232" s="537" t="s">
        <v>1859</v>
      </c>
      <c r="D232" s="158">
        <v>7</v>
      </c>
      <c r="E232" s="123">
        <v>300</v>
      </c>
      <c r="F232" s="97">
        <f t="shared" si="17"/>
        <v>2100</v>
      </c>
      <c r="G232" s="161" t="s">
        <v>1486</v>
      </c>
      <c r="H232" s="142" t="s">
        <v>951</v>
      </c>
      <c r="I232" s="130" t="str">
        <f>VLOOKUP(H232,Presupuesto!$B$11:$C$565,2,0)</f>
        <v>INSTRUMENTOS MEDICOS QUIRURGICOS MENOR Y DE LABORATORIO</v>
      </c>
      <c r="J232" s="98" t="str">
        <f t="shared" si="18"/>
        <v>Gestión Administrativa y  financiera en apoyo al Desarrollo Académico</v>
      </c>
      <c r="K232" s="98" t="s">
        <v>412</v>
      </c>
    </row>
    <row r="233" spans="3:11" s="458" customFormat="1" ht="60">
      <c r="C233" s="537" t="s">
        <v>1860</v>
      </c>
      <c r="D233" s="158">
        <v>5</v>
      </c>
      <c r="E233" s="123">
        <v>1300</v>
      </c>
      <c r="F233" s="97">
        <f t="shared" si="17"/>
        <v>6500</v>
      </c>
      <c r="G233" s="161" t="s">
        <v>1486</v>
      </c>
      <c r="H233" s="142" t="s">
        <v>951</v>
      </c>
      <c r="I233" s="130" t="str">
        <f>VLOOKUP(H233,Presupuesto!$B$11:$C$565,2,0)</f>
        <v>INSTRUMENTOS MEDICOS QUIRURGICOS MENOR Y DE LABORATORIO</v>
      </c>
      <c r="J233" s="98" t="str">
        <f t="shared" si="18"/>
        <v>Gestión Administrativa y  financiera en apoyo al Desarrollo Académico</v>
      </c>
      <c r="K233" s="98" t="s">
        <v>412</v>
      </c>
    </row>
    <row r="234" spans="3:11" s="458" customFormat="1" ht="30">
      <c r="C234" s="537" t="s">
        <v>1861</v>
      </c>
      <c r="D234" s="158">
        <v>3</v>
      </c>
      <c r="E234" s="123">
        <v>1800</v>
      </c>
      <c r="F234" s="97">
        <f t="shared" si="17"/>
        <v>5400</v>
      </c>
      <c r="G234" s="161" t="s">
        <v>1486</v>
      </c>
      <c r="H234" s="142" t="s">
        <v>951</v>
      </c>
      <c r="I234" s="130" t="str">
        <f>VLOOKUP(H234,Presupuesto!$B$11:$C$565,2,0)</f>
        <v>INSTRUMENTOS MEDICOS QUIRURGICOS MENOR Y DE LABORATORIO</v>
      </c>
      <c r="J234" s="98" t="str">
        <f t="shared" si="18"/>
        <v>Gestión Administrativa y  financiera en apoyo al Desarrollo Académico</v>
      </c>
      <c r="K234" s="98" t="s">
        <v>412</v>
      </c>
    </row>
    <row r="235" spans="3:11" s="458" customFormat="1" ht="30">
      <c r="C235" s="537" t="s">
        <v>1862</v>
      </c>
      <c r="D235" s="158">
        <v>2</v>
      </c>
      <c r="E235" s="123">
        <v>500</v>
      </c>
      <c r="F235" s="97">
        <f t="shared" si="17"/>
        <v>1000</v>
      </c>
      <c r="G235" s="161" t="s">
        <v>1486</v>
      </c>
      <c r="H235" s="142" t="s">
        <v>951</v>
      </c>
      <c r="I235" s="130" t="str">
        <f>VLOOKUP(H235,Presupuesto!$B$11:$C$565,2,0)</f>
        <v>INSTRUMENTOS MEDICOS QUIRURGICOS MENOR Y DE LABORATORIO</v>
      </c>
      <c r="J235" s="98" t="str">
        <f t="shared" si="18"/>
        <v>Gestión Administrativa y  financiera en apoyo al Desarrollo Académico</v>
      </c>
      <c r="K235" s="98" t="s">
        <v>412</v>
      </c>
    </row>
    <row r="236" spans="3:11" s="458" customFormat="1" ht="30">
      <c r="C236" s="537" t="s">
        <v>1863</v>
      </c>
      <c r="D236" s="158">
        <v>2</v>
      </c>
      <c r="E236" s="123">
        <v>500</v>
      </c>
      <c r="F236" s="97">
        <f t="shared" si="17"/>
        <v>1000</v>
      </c>
      <c r="G236" s="161" t="s">
        <v>1486</v>
      </c>
      <c r="H236" s="142" t="s">
        <v>951</v>
      </c>
      <c r="I236" s="130" t="str">
        <f>VLOOKUP(H236,Presupuesto!$B$11:$C$565,2,0)</f>
        <v>INSTRUMENTOS MEDICOS QUIRURGICOS MENOR Y DE LABORATORIO</v>
      </c>
      <c r="J236" s="98" t="str">
        <f t="shared" si="18"/>
        <v>Gestión Administrativa y  financiera en apoyo al Desarrollo Académico</v>
      </c>
      <c r="K236" s="98" t="s">
        <v>412</v>
      </c>
    </row>
    <row r="237" spans="3:11" s="458" customFormat="1" ht="30">
      <c r="C237" s="537" t="s">
        <v>1864</v>
      </c>
      <c r="D237" s="158">
        <v>2</v>
      </c>
      <c r="E237" s="123">
        <v>500</v>
      </c>
      <c r="F237" s="97">
        <f t="shared" si="17"/>
        <v>1000</v>
      </c>
      <c r="G237" s="161" t="s">
        <v>1486</v>
      </c>
      <c r="H237" s="142" t="s">
        <v>951</v>
      </c>
      <c r="I237" s="130" t="str">
        <f>VLOOKUP(H237,Presupuesto!$B$11:$C$565,2,0)</f>
        <v>INSTRUMENTOS MEDICOS QUIRURGICOS MENOR Y DE LABORATORIO</v>
      </c>
      <c r="J237" s="98" t="str">
        <f t="shared" si="18"/>
        <v>Gestión Administrativa y  financiera en apoyo al Desarrollo Académico</v>
      </c>
      <c r="K237" s="98" t="s">
        <v>412</v>
      </c>
    </row>
    <row r="238" spans="3:11" s="458" customFormat="1" ht="30">
      <c r="C238" s="537" t="s">
        <v>1865</v>
      </c>
      <c r="D238" s="158">
        <v>4</v>
      </c>
      <c r="E238" s="123">
        <v>1500</v>
      </c>
      <c r="F238" s="97">
        <f t="shared" si="17"/>
        <v>6000</v>
      </c>
      <c r="G238" s="161" t="s">
        <v>1486</v>
      </c>
      <c r="H238" s="142" t="s">
        <v>951</v>
      </c>
      <c r="I238" s="130" t="str">
        <f>VLOOKUP(H238,Presupuesto!$B$11:$C$565,2,0)</f>
        <v>INSTRUMENTOS MEDICOS QUIRURGICOS MENOR Y DE LABORATORIO</v>
      </c>
      <c r="J238" s="98" t="str">
        <f t="shared" si="18"/>
        <v>Gestión Administrativa y  financiera en apoyo al Desarrollo Académico</v>
      </c>
      <c r="K238" s="98" t="s">
        <v>412</v>
      </c>
    </row>
    <row r="239" spans="3:11" s="458" customFormat="1" ht="45">
      <c r="C239" s="537" t="s">
        <v>1869</v>
      </c>
      <c r="D239" s="158">
        <v>2</v>
      </c>
      <c r="E239" s="123">
        <v>2000</v>
      </c>
      <c r="F239" s="97">
        <f t="shared" si="17"/>
        <v>4000</v>
      </c>
      <c r="G239" s="161" t="s">
        <v>1486</v>
      </c>
      <c r="H239" s="142" t="s">
        <v>951</v>
      </c>
      <c r="I239" s="130" t="str">
        <f>VLOOKUP(H239,Presupuesto!$B$11:$C$565,2,0)</f>
        <v>INSTRUMENTOS MEDICOS QUIRURGICOS MENOR Y DE LABORATORIO</v>
      </c>
      <c r="J239" s="98" t="str">
        <f t="shared" si="18"/>
        <v>Gestión Administrativa y  financiera en apoyo al Desarrollo Académico</v>
      </c>
      <c r="K239" s="98" t="s">
        <v>412</v>
      </c>
    </row>
    <row r="240" spans="3:11" s="458" customFormat="1">
      <c r="C240" s="537" t="s">
        <v>1870</v>
      </c>
      <c r="D240" s="158">
        <v>4</v>
      </c>
      <c r="E240" s="123">
        <v>3564</v>
      </c>
      <c r="F240" s="97">
        <f t="shared" si="17"/>
        <v>14256</v>
      </c>
      <c r="G240" s="161" t="s">
        <v>1486</v>
      </c>
      <c r="H240" s="142" t="s">
        <v>951</v>
      </c>
      <c r="I240" s="130" t="str">
        <f>VLOOKUP(H240,Presupuesto!$B$11:$C$565,2,0)</f>
        <v>INSTRUMENTOS MEDICOS QUIRURGICOS MENOR Y DE LABORATORIO</v>
      </c>
      <c r="J240" s="98" t="str">
        <f t="shared" si="18"/>
        <v>Gestión Administrativa y  financiera en apoyo al Desarrollo Académico</v>
      </c>
      <c r="K240" s="98" t="s">
        <v>412</v>
      </c>
    </row>
    <row r="241" spans="3:11" s="458" customFormat="1">
      <c r="C241" s="537" t="s">
        <v>1866</v>
      </c>
      <c r="D241" s="158">
        <v>3</v>
      </c>
      <c r="E241" s="123">
        <v>500</v>
      </c>
      <c r="F241" s="97">
        <f t="shared" si="17"/>
        <v>1500</v>
      </c>
      <c r="G241" s="161" t="s">
        <v>1486</v>
      </c>
      <c r="H241" s="142" t="s">
        <v>951</v>
      </c>
      <c r="I241" s="130" t="str">
        <f>VLOOKUP(H241,Presupuesto!$B$11:$C$565,2,0)</f>
        <v>INSTRUMENTOS MEDICOS QUIRURGICOS MENOR Y DE LABORATORIO</v>
      </c>
      <c r="J241" s="98" t="str">
        <f t="shared" si="18"/>
        <v>Gestión Administrativa y  financiera en apoyo al Desarrollo Académico</v>
      </c>
      <c r="K241" s="98" t="s">
        <v>412</v>
      </c>
    </row>
    <row r="242" spans="3:11" s="458" customFormat="1">
      <c r="C242" s="537" t="s">
        <v>1871</v>
      </c>
      <c r="D242" s="158">
        <v>1</v>
      </c>
      <c r="E242" s="123">
        <v>500</v>
      </c>
      <c r="F242" s="97">
        <f t="shared" si="17"/>
        <v>500</v>
      </c>
      <c r="G242" s="161" t="s">
        <v>1486</v>
      </c>
      <c r="H242" s="142" t="s">
        <v>951</v>
      </c>
      <c r="I242" s="130" t="str">
        <f>VLOOKUP(H242,Presupuesto!$B$11:$C$565,2,0)</f>
        <v>INSTRUMENTOS MEDICOS QUIRURGICOS MENOR Y DE LABORATORIO</v>
      </c>
      <c r="J242" s="98" t="str">
        <f t="shared" si="18"/>
        <v>Gestión Administrativa y  financiera en apoyo al Desarrollo Académico</v>
      </c>
      <c r="K242" s="98" t="s">
        <v>412</v>
      </c>
    </row>
    <row r="243" spans="3:11" s="458" customFormat="1">
      <c r="C243" s="537" t="s">
        <v>1872</v>
      </c>
      <c r="D243" s="158">
        <v>5</v>
      </c>
      <c r="E243" s="123">
        <v>2000</v>
      </c>
      <c r="F243" s="97">
        <f t="shared" si="17"/>
        <v>10000</v>
      </c>
      <c r="G243" s="161" t="s">
        <v>1486</v>
      </c>
      <c r="H243" s="142" t="s">
        <v>951</v>
      </c>
      <c r="I243" s="130" t="str">
        <f>VLOOKUP(H243,Presupuesto!$B$11:$C$565,2,0)</f>
        <v>INSTRUMENTOS MEDICOS QUIRURGICOS MENOR Y DE LABORATORIO</v>
      </c>
      <c r="J243" s="98" t="str">
        <f t="shared" si="18"/>
        <v>Gestión Administrativa y  financiera en apoyo al Desarrollo Académico</v>
      </c>
      <c r="K243" s="98" t="s">
        <v>412</v>
      </c>
    </row>
    <row r="244" spans="3:11" s="458" customFormat="1" ht="45">
      <c r="C244" s="537" t="s">
        <v>1867</v>
      </c>
      <c r="D244" s="158">
        <v>5</v>
      </c>
      <c r="E244" s="123">
        <v>500</v>
      </c>
      <c r="F244" s="97">
        <f t="shared" si="17"/>
        <v>2500</v>
      </c>
      <c r="G244" s="161" t="s">
        <v>1486</v>
      </c>
      <c r="H244" s="142" t="s">
        <v>951</v>
      </c>
      <c r="I244" s="130" t="str">
        <f>VLOOKUP(H244,Presupuesto!$B$11:$C$565,2,0)</f>
        <v>INSTRUMENTOS MEDICOS QUIRURGICOS MENOR Y DE LABORATORIO</v>
      </c>
      <c r="J244" s="98" t="str">
        <f t="shared" si="18"/>
        <v>Gestión Administrativa y  financiera en apoyo al Desarrollo Académico</v>
      </c>
      <c r="K244" s="98" t="s">
        <v>412</v>
      </c>
    </row>
    <row r="245" spans="3:11" s="458" customFormat="1" ht="90">
      <c r="C245" s="537" t="s">
        <v>1873</v>
      </c>
      <c r="D245" s="158">
        <v>1</v>
      </c>
      <c r="E245" s="123">
        <v>4000</v>
      </c>
      <c r="F245" s="97">
        <f t="shared" si="17"/>
        <v>4000</v>
      </c>
      <c r="G245" s="161" t="s">
        <v>1486</v>
      </c>
      <c r="H245" s="142" t="s">
        <v>951</v>
      </c>
      <c r="I245" s="130" t="str">
        <f>VLOOKUP(H245,Presupuesto!$B$11:$C$565,2,0)</f>
        <v>INSTRUMENTOS MEDICOS QUIRURGICOS MENOR Y DE LABORATORIO</v>
      </c>
      <c r="J245" s="98" t="str">
        <f t="shared" si="18"/>
        <v>Gestión Administrativa y  financiera en apoyo al Desarrollo Académico</v>
      </c>
      <c r="K245" s="98" t="s">
        <v>412</v>
      </c>
    </row>
    <row r="246" spans="3:11" s="458" customFormat="1" ht="30">
      <c r="C246" s="537" t="s">
        <v>1868</v>
      </c>
      <c r="D246" s="158">
        <v>5</v>
      </c>
      <c r="E246" s="123">
        <v>500</v>
      </c>
      <c r="F246" s="97">
        <f t="shared" si="17"/>
        <v>2500</v>
      </c>
      <c r="G246" s="161" t="s">
        <v>1486</v>
      </c>
      <c r="H246" s="142" t="s">
        <v>951</v>
      </c>
      <c r="I246" s="130" t="str">
        <f>VLOOKUP(H246,Presupuesto!$B$11:$C$565,2,0)</f>
        <v>INSTRUMENTOS MEDICOS QUIRURGICOS MENOR Y DE LABORATORIO</v>
      </c>
      <c r="J246" s="98" t="str">
        <f t="shared" si="18"/>
        <v>Gestión Administrativa y  financiera en apoyo al Desarrollo Académico</v>
      </c>
      <c r="K246" s="98" t="s">
        <v>412</v>
      </c>
    </row>
    <row r="247" spans="3:11" s="458" customFormat="1" ht="30">
      <c r="C247" s="537" t="s">
        <v>1874</v>
      </c>
      <c r="D247" s="158">
        <v>1</v>
      </c>
      <c r="E247" s="123">
        <v>130000</v>
      </c>
      <c r="F247" s="97">
        <f t="shared" ref="F247:F249" si="19">D247*E247</f>
        <v>130000</v>
      </c>
      <c r="G247" s="161" t="s">
        <v>1486</v>
      </c>
      <c r="H247" s="142" t="s">
        <v>1003</v>
      </c>
      <c r="I247" s="130" t="str">
        <f>VLOOKUP(H247,Presupuesto!$B$11:$C$565,2,0)</f>
        <v>EQUIPO MEDICO Y LABORATORIO</v>
      </c>
      <c r="J247" s="98" t="str">
        <f t="shared" si="18"/>
        <v>Gestión Administrativa y  financiera en apoyo al Desarrollo Académico</v>
      </c>
      <c r="K247" s="98" t="s">
        <v>412</v>
      </c>
    </row>
    <row r="248" spans="3:11" s="458" customFormat="1" ht="30">
      <c r="C248" s="537" t="s">
        <v>1875</v>
      </c>
      <c r="D248" s="158">
        <v>2</v>
      </c>
      <c r="E248" s="123">
        <v>7600</v>
      </c>
      <c r="F248" s="97">
        <f t="shared" si="19"/>
        <v>15200</v>
      </c>
      <c r="G248" s="161" t="s">
        <v>1486</v>
      </c>
      <c r="H248" s="142" t="s">
        <v>1003</v>
      </c>
      <c r="I248" s="130" t="str">
        <f>VLOOKUP(H248,Presupuesto!$B$11:$C$565,2,0)</f>
        <v>EQUIPO MEDICO Y LABORATORIO</v>
      </c>
      <c r="J248" s="98" t="str">
        <f t="shared" si="18"/>
        <v>Gestión Administrativa y  financiera en apoyo al Desarrollo Académico</v>
      </c>
      <c r="K248" s="98" t="s">
        <v>412</v>
      </c>
    </row>
    <row r="249" spans="3:11" s="458" customFormat="1">
      <c r="C249" s="537" t="s">
        <v>1876</v>
      </c>
      <c r="D249" s="158">
        <v>1</v>
      </c>
      <c r="E249" s="123">
        <v>23800</v>
      </c>
      <c r="F249" s="97">
        <f t="shared" si="19"/>
        <v>23800</v>
      </c>
      <c r="G249" s="161" t="s">
        <v>1486</v>
      </c>
      <c r="H249" s="142" t="s">
        <v>894</v>
      </c>
      <c r="I249" s="130" t="str">
        <f>VLOOKUP(H249,Presupuesto!$B$11:$C$565,2,0)</f>
        <v>PRODUCTOS QUIMICOS</v>
      </c>
      <c r="J249" s="98" t="str">
        <f t="shared" si="18"/>
        <v>Gestión Administrativa y  financiera en apoyo al Desarrollo Académico</v>
      </c>
      <c r="K249" s="98" t="s">
        <v>412</v>
      </c>
    </row>
    <row r="250" spans="3:11" s="458" customFormat="1">
      <c r="C250" s="545"/>
      <c r="D250" s="546"/>
      <c r="E250" s="542"/>
      <c r="F250" s="542"/>
      <c r="G250" s="543"/>
      <c r="H250" s="544"/>
      <c r="I250" s="542"/>
      <c r="J250" s="544"/>
      <c r="K250" s="544"/>
    </row>
    <row r="251" spans="3:11" s="458" customFormat="1" ht="15.75" thickBot="1">
      <c r="C251" s="545"/>
      <c r="D251" s="546"/>
      <c r="E251" s="542"/>
      <c r="F251" s="542"/>
      <c r="G251" s="543"/>
      <c r="H251" s="544"/>
      <c r="I251" s="542"/>
      <c r="J251" s="544"/>
      <c r="K251" s="544"/>
    </row>
    <row r="252" spans="3:11" s="458" customFormat="1" ht="15.75" thickBot="1">
      <c r="C252" s="157" t="s">
        <v>53</v>
      </c>
      <c r="D252" s="365">
        <f>SUM(F259:F260)</f>
        <v>7200</v>
      </c>
      <c r="F252" s="70"/>
      <c r="G252" s="79"/>
      <c r="H252" s="70"/>
      <c r="I252" s="70"/>
    </row>
    <row r="253" spans="3:11" s="458" customFormat="1">
      <c r="C253" s="70"/>
      <c r="D253" s="31"/>
      <c r="E253" s="93"/>
      <c r="F253" s="93"/>
      <c r="G253" s="93"/>
      <c r="H253" s="76"/>
      <c r="I253" s="76"/>
      <c r="J253" s="76"/>
      <c r="K253" s="112"/>
    </row>
    <row r="254" spans="3:11" s="458" customFormat="1">
      <c r="C254" s="70"/>
      <c r="D254" s="31"/>
      <c r="E254" s="93"/>
      <c r="F254" s="93"/>
      <c r="G254" s="93"/>
      <c r="H254" s="76"/>
      <c r="I254" s="76"/>
      <c r="J254" s="76"/>
      <c r="K254" s="112"/>
    </row>
    <row r="255" spans="3:11" s="458" customFormat="1" ht="15.75">
      <c r="C255" s="202" t="s">
        <v>392</v>
      </c>
      <c r="D255" s="361" t="s">
        <v>1888</v>
      </c>
      <c r="E255" s="93"/>
      <c r="F255" s="93"/>
      <c r="G255" s="93"/>
      <c r="H255" s="76"/>
      <c r="I255" s="76"/>
      <c r="J255" s="76"/>
      <c r="K255" s="112"/>
    </row>
    <row r="256" spans="3:11" s="458" customFormat="1" ht="18.75">
      <c r="C256" s="210" t="str">
        <f>IFERROR(VLOOKUP(D255,'1. Desarrollo e Innov. Curricu.'!$E:$F,2,FALSE),IFERROR(VLOOKUP(D255,'2. Investigación Científica'!$E:$F,2,FALSE),IFERROR(VLOOKUP(D255,'3. Vinculación Univ. Sociedad'!$E:$F,2,FALSE),IFERROR(VLOOKUP(D255,'4. Docencia y Profesorado Univ.'!$E:$F,2,FALSE),IFERROR(VLOOKUP(D255,'5. Estudiantes y Graduados'!$E:$F,2,FALSE),IFERROR(VLOOKUP(D255,'11. Gestion Administrativa'!$E:$F,2,FALSE),IFERROR(VLOOKUP(D255,'13. Gestión Académica'!$E:$F,2,FALSE),IFERROR(VLOOKUP(D255,'8. Asegura. de la Calid. y M'!$E:$F,2,FALSE),IFERROR(VLOOKUP(D255,'6. Gestión del Conocimiento'!$E:$F,2,FALSE),IFERROR(VLOOKUP(D255,'15. Gobernabilidad y Proceso...'!$E:$F,2,FALSE),IFERROR(VLOOKUP(D255,'12. Gestión del Talento Humano'!$E:$F,2,FALSE),IFERROR(VLOOKUP(D255,'14. Internacional... de la E.S.'!$E:$F,2,FALSE),IFERROR(VLOOKUP(D255,'10. Posgrado'!$E:$F,2,FALSE),IFERROR(VLOOKUP(D255,'17. Gestión TIC'!$E:$F,2,FALSE),IFERROR(VLOOKUP(D255,'16. Desa. del Sistema Educ.Sup.'!$E:$F,2,FALSE),IFERROR(VLOOKUP(D255,'9. Cultura de Inno. Insti...'!$E:$F,2,FALSE),VLOOKUP(D255,'7. Lo Esencial de la Reforma U.'!$E:$F,2,0)))))))))))))))))</f>
        <v>Realizar Diagnóstico y plan de factibilidad de la zona oriental para la apertura de la Carrera Técnico en Desarrollo Local</v>
      </c>
      <c r="D256" s="31"/>
      <c r="E256" s="93"/>
      <c r="F256" s="93"/>
      <c r="G256" s="93"/>
      <c r="H256" s="76"/>
      <c r="I256" s="76"/>
      <c r="J256" s="76"/>
      <c r="K256" s="112"/>
    </row>
    <row r="257" spans="3:11" s="458" customFormat="1" ht="15.75" thickBot="1">
      <c r="F257" s="93"/>
      <c r="G257" s="76"/>
      <c r="H257" s="76"/>
      <c r="I257" s="76"/>
    </row>
    <row r="258" spans="3:11" s="458" customFormat="1" ht="30.75" thickBot="1">
      <c r="C258" s="129" t="s">
        <v>44</v>
      </c>
      <c r="D258" s="129" t="s">
        <v>55</v>
      </c>
      <c r="E258" s="136" t="s">
        <v>57</v>
      </c>
      <c r="F258" s="135" t="s">
        <v>27</v>
      </c>
      <c r="G258" s="133" t="s">
        <v>131</v>
      </c>
      <c r="H258" s="136" t="s">
        <v>46</v>
      </c>
      <c r="I258" s="133" t="s">
        <v>132</v>
      </c>
      <c r="J258" s="133" t="s">
        <v>410</v>
      </c>
      <c r="K258" s="133" t="s">
        <v>411</v>
      </c>
    </row>
    <row r="259" spans="3:11" s="458" customFormat="1">
      <c r="C259" s="220" t="s">
        <v>428</v>
      </c>
      <c r="D259" s="221">
        <f>0.75*2*2</f>
        <v>3</v>
      </c>
      <c r="E259" s="219">
        <v>2000</v>
      </c>
      <c r="F259" s="97">
        <f t="shared" ref="F259:F260" si="20">D259*E259</f>
        <v>6000</v>
      </c>
      <c r="G259" s="161" t="s">
        <v>129</v>
      </c>
      <c r="H259" s="142" t="s">
        <v>301</v>
      </c>
      <c r="I259" s="130" t="str">
        <f>VLOOKUP(H259,Presupuesto!$B$11:$C$565,2,0)</f>
        <v>VIATICOS (26200-00)</v>
      </c>
      <c r="J259" s="218" t="s">
        <v>1357</v>
      </c>
      <c r="K259" s="98" t="s">
        <v>395</v>
      </c>
    </row>
    <row r="260" spans="3:11" s="458" customFormat="1">
      <c r="C260" s="141" t="s">
        <v>872</v>
      </c>
      <c r="D260" s="158">
        <v>2</v>
      </c>
      <c r="E260" s="123">
        <v>600</v>
      </c>
      <c r="F260" s="97">
        <f t="shared" si="20"/>
        <v>1200</v>
      </c>
      <c r="G260" s="161" t="s">
        <v>129</v>
      </c>
      <c r="H260" s="142" t="s">
        <v>871</v>
      </c>
      <c r="I260" s="130" t="str">
        <f>VLOOKUP(H260,Presupuesto!$B$11:$C$565,2,0)</f>
        <v>GASOLINA</v>
      </c>
      <c r="J260" s="98" t="str">
        <f t="shared" ref="J260" si="21">$J$17</f>
        <v>Desarrollo e Innovación Curricular</v>
      </c>
      <c r="K260" s="98" t="s">
        <v>395</v>
      </c>
    </row>
    <row r="261" spans="3:11" s="458" customFormat="1">
      <c r="C261" s="545"/>
      <c r="D261" s="546"/>
      <c r="E261" s="542"/>
      <c r="F261" s="542"/>
      <c r="G261" s="543"/>
      <c r="H261" s="544"/>
      <c r="I261" s="542"/>
      <c r="J261" s="544"/>
      <c r="K261" s="544"/>
    </row>
    <row r="262" spans="3:11" s="458" customFormat="1">
      <c r="C262" s="545"/>
      <c r="D262" s="546"/>
      <c r="E262" s="542"/>
      <c r="F262" s="542"/>
      <c r="G262" s="543"/>
      <c r="H262" s="544"/>
      <c r="I262" s="542"/>
      <c r="J262" s="544"/>
      <c r="K262" s="544"/>
    </row>
    <row r="263" spans="3:11" s="458" customFormat="1">
      <c r="C263" s="545"/>
      <c r="D263" s="546"/>
      <c r="E263" s="542"/>
      <c r="F263" s="542"/>
      <c r="G263" s="543"/>
      <c r="H263" s="544"/>
      <c r="I263" s="542"/>
      <c r="J263" s="544"/>
      <c r="K263" s="544"/>
    </row>
    <row r="264" spans="3:11">
      <c r="C264" s="547"/>
      <c r="D264" s="547"/>
      <c r="E264" s="547"/>
      <c r="F264" s="547"/>
      <c r="G264" s="548"/>
      <c r="H264" s="547"/>
    </row>
    <row r="265" spans="3:11" ht="15.75" thickBot="1">
      <c r="F265" s="90"/>
      <c r="G265" s="89"/>
      <c r="H265" s="90"/>
      <c r="I265" s="90"/>
    </row>
    <row r="266" spans="3:11" ht="15.75" thickBot="1">
      <c r="C266" s="157" t="s">
        <v>53</v>
      </c>
      <c r="D266" s="365">
        <f>SUM(F273:F279)</f>
        <v>3671</v>
      </c>
      <c r="F266" s="70"/>
      <c r="G266" s="79"/>
      <c r="H266" s="70"/>
      <c r="I266" s="70"/>
    </row>
    <row r="267" spans="3:11">
      <c r="C267" s="70"/>
      <c r="D267" s="31"/>
      <c r="E267" s="93"/>
      <c r="F267" s="93"/>
      <c r="G267" s="93"/>
      <c r="H267" s="76"/>
      <c r="I267" s="76"/>
      <c r="J267" s="76"/>
      <c r="K267" s="112"/>
    </row>
    <row r="268" spans="3:11">
      <c r="C268" s="70"/>
      <c r="D268" s="31"/>
      <c r="E268" s="93"/>
      <c r="F268" s="93"/>
      <c r="G268" s="93"/>
      <c r="H268" s="76"/>
      <c r="I268" s="76"/>
      <c r="J268" s="76"/>
      <c r="K268" s="112"/>
    </row>
    <row r="269" spans="3:11" ht="15.75">
      <c r="C269" s="202" t="s">
        <v>392</v>
      </c>
      <c r="D269" s="361" t="s">
        <v>1937</v>
      </c>
      <c r="E269" s="93"/>
      <c r="F269" s="93"/>
      <c r="G269" s="93"/>
      <c r="H269" s="76"/>
      <c r="I269" s="76"/>
      <c r="J269" s="76"/>
      <c r="K269" s="112"/>
    </row>
    <row r="270" spans="3:11" ht="18.75">
      <c r="C270" s="210" t="str">
        <f>IFERROR(VLOOKUP(D269,'1. Desarrollo e Innov. Curricu.'!$E:$F,2,FALSE),IFERROR(VLOOKUP(D269,'2. Investigación Científica'!$E:$F,2,FALSE),IFERROR(VLOOKUP(D269,'3. Vinculación Univ. Sociedad'!$E:$F,2,FALSE),IFERROR(VLOOKUP(D269,'4. Docencia y Profesorado Univ.'!$E:$F,2,FALSE),IFERROR(VLOOKUP(D269,'5. Estudiantes y Graduados'!$E:$F,2,FALSE),IFERROR(VLOOKUP(D269,'11. Gestion Administrativa'!$E:$F,2,FALSE),IFERROR(VLOOKUP(D269,'13. Gestión Académica'!$E:$F,2,FALSE),IFERROR(VLOOKUP(D269,'8. Asegura. de la Calid. y M'!$E:$F,2,FALSE),IFERROR(VLOOKUP(D269,'6. Gestión del Conocimiento'!$E:$F,2,FALSE),IFERROR(VLOOKUP(D269,'15. Gobernabilidad y Proceso...'!$E:$F,2,FALSE),IFERROR(VLOOKUP(D269,'12. Gestión del Talento Humano'!$E:$F,2,FALSE),IFERROR(VLOOKUP(D269,'14. Internacional... de la E.S.'!$E:$F,2,FALSE),IFERROR(VLOOKUP(D269,'10. Posgrado'!$E:$F,2,FALSE),IFERROR(VLOOKUP(D269,'17. Gestión TIC'!$E:$F,2,FALSE),IFERROR(VLOOKUP(D269,'16. Desa. del Sistema Educ.Sup.'!$E:$F,2,FALSE),IFERROR(VLOOKUP(D269,'9. Cultura de Inno. Insti...'!$E:$F,2,FALSE),VLOOKUP(D269,'7. Lo Esencial de la Reforma U.'!$E:$F,2,0)))))))))))))))))</f>
        <v xml:space="preserve"> Mantenimiento del vivero de plantas medicinales </v>
      </c>
      <c r="D270" s="31"/>
      <c r="E270" s="93"/>
      <c r="F270" s="93"/>
      <c r="G270" s="93"/>
      <c r="H270" s="76"/>
      <c r="I270" s="76"/>
      <c r="J270" s="76"/>
      <c r="K270" s="112"/>
    </row>
    <row r="271" spans="3:11" ht="15.75" thickBot="1">
      <c r="F271" s="93"/>
      <c r="G271" s="76"/>
      <c r="H271" s="76"/>
      <c r="I271" s="76"/>
    </row>
    <row r="272" spans="3:11" ht="30.75" thickBot="1">
      <c r="C272" s="129" t="s">
        <v>44</v>
      </c>
      <c r="D272" s="129" t="s">
        <v>55</v>
      </c>
      <c r="E272" s="136" t="s">
        <v>57</v>
      </c>
      <c r="F272" s="135" t="s">
        <v>27</v>
      </c>
      <c r="G272" s="133" t="s">
        <v>131</v>
      </c>
      <c r="H272" s="136" t="s">
        <v>46</v>
      </c>
      <c r="I272" s="133" t="s">
        <v>132</v>
      </c>
      <c r="J272" s="133" t="s">
        <v>410</v>
      </c>
      <c r="K272" s="133" t="s">
        <v>411</v>
      </c>
    </row>
    <row r="273" spans="3:11">
      <c r="C273" s="220" t="s">
        <v>439</v>
      </c>
      <c r="D273" s="221"/>
      <c r="E273" s="219">
        <f>HLOOKUP(C273,$AH$2:$BU$3,2,0)</f>
        <v>620</v>
      </c>
      <c r="F273" s="97">
        <f t="shared" ref="F273:F279" si="22">D273*E273</f>
        <v>0</v>
      </c>
      <c r="G273" s="161"/>
      <c r="H273" s="142"/>
      <c r="I273" s="130" t="e">
        <f>VLOOKUP(H273,Presupuesto!$B$11:$C$565,2,0)</f>
        <v>#N/A</v>
      </c>
      <c r="J273" s="218" t="s">
        <v>1456</v>
      </c>
      <c r="K273" s="98" t="s">
        <v>394</v>
      </c>
    </row>
    <row r="274" spans="3:11">
      <c r="C274" s="141" t="s">
        <v>1939</v>
      </c>
      <c r="D274" s="158">
        <v>3</v>
      </c>
      <c r="E274" s="123">
        <v>168</v>
      </c>
      <c r="F274" s="97">
        <f t="shared" si="22"/>
        <v>504</v>
      </c>
      <c r="G274" s="161" t="s">
        <v>129</v>
      </c>
      <c r="H274" s="142" t="s">
        <v>903</v>
      </c>
      <c r="I274" s="130" t="str">
        <f>VLOOKUP(H274,Presupuesto!$B$11:$C$565,2,0)</f>
        <v>HERRAMIENTAS MENORES</v>
      </c>
      <c r="J274" s="98" t="s">
        <v>1364</v>
      </c>
      <c r="K274" s="98" t="s">
        <v>412</v>
      </c>
    </row>
    <row r="275" spans="3:11">
      <c r="C275" s="141" t="s">
        <v>1940</v>
      </c>
      <c r="D275" s="158">
        <v>3</v>
      </c>
      <c r="E275" s="123">
        <v>74</v>
      </c>
      <c r="F275" s="97">
        <f t="shared" si="22"/>
        <v>222</v>
      </c>
      <c r="G275" s="161" t="s">
        <v>129</v>
      </c>
      <c r="H275" s="142" t="s">
        <v>903</v>
      </c>
      <c r="I275" s="130" t="str">
        <f>VLOOKUP(H275,Presupuesto!$B$11:$C$565,2,0)</f>
        <v>HERRAMIENTAS MENORES</v>
      </c>
      <c r="J275" s="98" t="s">
        <v>1364</v>
      </c>
      <c r="K275" s="98" t="s">
        <v>412</v>
      </c>
    </row>
    <row r="276" spans="3:11">
      <c r="C276" s="141" t="s">
        <v>1941</v>
      </c>
      <c r="D276" s="158">
        <v>3</v>
      </c>
      <c r="E276" s="123">
        <v>160</v>
      </c>
      <c r="F276" s="97">
        <f t="shared" si="22"/>
        <v>480</v>
      </c>
      <c r="G276" s="161" t="s">
        <v>129</v>
      </c>
      <c r="H276" s="142" t="s">
        <v>903</v>
      </c>
      <c r="I276" s="130" t="str">
        <f>VLOOKUP(H276,Presupuesto!$B$11:$C$565,2,0)</f>
        <v>HERRAMIENTAS MENORES</v>
      </c>
      <c r="J276" s="98" t="s">
        <v>1364</v>
      </c>
      <c r="K276" s="98" t="s">
        <v>412</v>
      </c>
    </row>
    <row r="277" spans="3:11">
      <c r="C277" s="141" t="s">
        <v>1942</v>
      </c>
      <c r="D277" s="158">
        <v>3</v>
      </c>
      <c r="E277" s="123">
        <v>335</v>
      </c>
      <c r="F277" s="97">
        <f t="shared" si="22"/>
        <v>1005</v>
      </c>
      <c r="G277" s="161" t="s">
        <v>129</v>
      </c>
      <c r="H277" s="142" t="s">
        <v>903</v>
      </c>
      <c r="I277" s="130" t="str">
        <f>VLOOKUP(H277,Presupuesto!$B$11:$C$565,2,0)</f>
        <v>HERRAMIENTAS MENORES</v>
      </c>
      <c r="J277" s="98" t="s">
        <v>1364</v>
      </c>
      <c r="K277" s="98" t="s">
        <v>412</v>
      </c>
    </row>
    <row r="278" spans="3:11">
      <c r="C278" s="141" t="s">
        <v>1943</v>
      </c>
      <c r="D278" s="158">
        <v>1</v>
      </c>
      <c r="E278" s="123">
        <v>560</v>
      </c>
      <c r="F278" s="97">
        <f t="shared" si="22"/>
        <v>560</v>
      </c>
      <c r="G278" s="161" t="s">
        <v>129</v>
      </c>
      <c r="H278" s="142" t="s">
        <v>849</v>
      </c>
      <c r="I278" s="130" t="str">
        <f>VLOOKUP(H278,Presupuesto!$B$11:$C$565,2,0)</f>
        <v>ARTICULOS DE CAUCHO</v>
      </c>
      <c r="J278" s="98" t="s">
        <v>1364</v>
      </c>
      <c r="K278" s="98" t="s">
        <v>401</v>
      </c>
    </row>
    <row r="279" spans="3:11">
      <c r="C279" s="141" t="s">
        <v>1944</v>
      </c>
      <c r="D279" s="158">
        <v>10</v>
      </c>
      <c r="E279" s="123">
        <v>90</v>
      </c>
      <c r="F279" s="97">
        <f t="shared" si="22"/>
        <v>900</v>
      </c>
      <c r="G279" s="161" t="s">
        <v>129</v>
      </c>
      <c r="H279" s="142" t="s">
        <v>864</v>
      </c>
      <c r="I279" s="130" t="str">
        <f>VLOOKUP(H279,Presupuesto!$B$11:$C$565,2,0)</f>
        <v>ABONOS Y FERTILIZANTES</v>
      </c>
      <c r="J279" s="98" t="s">
        <v>1364</v>
      </c>
      <c r="K279" s="98" t="s">
        <v>412</v>
      </c>
    </row>
    <row r="280" spans="3:11" ht="15.75" thickBot="1"/>
    <row r="281" spans="3:11" ht="15.75" thickBot="1">
      <c r="C281" s="157" t="s">
        <v>53</v>
      </c>
      <c r="D281" s="365">
        <f>SUM(F288:F290)</f>
        <v>5800</v>
      </c>
      <c r="F281" s="70"/>
      <c r="G281" s="79"/>
      <c r="H281" s="70"/>
      <c r="I281" s="70"/>
    </row>
    <row r="282" spans="3:11">
      <c r="C282" s="70"/>
      <c r="D282" s="31"/>
      <c r="E282" s="93"/>
      <c r="F282" s="93"/>
      <c r="G282" s="93"/>
      <c r="H282" s="76"/>
      <c r="I282" s="76"/>
      <c r="J282" s="76"/>
      <c r="K282" s="112"/>
    </row>
    <row r="283" spans="3:11">
      <c r="C283" s="70"/>
      <c r="D283" s="31"/>
      <c r="E283" s="93"/>
      <c r="F283" s="93"/>
      <c r="G283" s="93"/>
      <c r="H283" s="76"/>
      <c r="I283" s="76"/>
      <c r="J283" s="76"/>
      <c r="K283" s="112"/>
    </row>
    <row r="284" spans="3:11" ht="15.75">
      <c r="C284" s="202" t="s">
        <v>392</v>
      </c>
      <c r="D284" s="361" t="s">
        <v>1972</v>
      </c>
      <c r="E284" s="93"/>
      <c r="F284" s="93"/>
      <c r="G284" s="93"/>
      <c r="H284" s="76"/>
      <c r="I284" s="76"/>
      <c r="J284" s="76"/>
      <c r="K284" s="112"/>
    </row>
    <row r="285" spans="3:11" ht="18.75">
      <c r="C285" s="210" t="str">
        <f>IFERROR(VLOOKUP(D284,'1. Desarrollo e Innov. Curricu.'!$E:$F,2,FALSE),IFERROR(VLOOKUP(D284,'2. Investigación Científica'!$E:$F,2,FALSE),IFERROR(VLOOKUP(D284,'3. Vinculación Univ. Sociedad'!$E:$F,2,FALSE),IFERROR(VLOOKUP(D284,'4. Docencia y Profesorado Univ.'!$E:$F,2,FALSE),IFERROR(VLOOKUP(D284,'5. Estudiantes y Graduados'!$E:$F,2,FALSE),IFERROR(VLOOKUP(D284,'11. Gestion Administrativa'!$E:$F,2,FALSE),IFERROR(VLOOKUP(D284,'13. Gestión Académica'!$E:$F,2,FALSE),IFERROR(VLOOKUP(D284,'8. Asegura. de la Calid. y M'!$E:$F,2,FALSE),IFERROR(VLOOKUP(D284,'6. Gestión del Conocimiento'!$E:$F,2,FALSE),IFERROR(VLOOKUP(D284,'15. Gobernabilidad y Proceso...'!$E:$F,2,FALSE),IFERROR(VLOOKUP(D284,'12. Gestión del Talento Humano'!$E:$F,2,FALSE),IFERROR(VLOOKUP(D284,'14. Internacional... de la E.S.'!$E:$F,2,FALSE),IFERROR(VLOOKUP(D284,'10. Posgrado'!$E:$F,2,FALSE),IFERROR(VLOOKUP(D284,'17. Gestión TIC'!$E:$F,2,FALSE),IFERROR(VLOOKUP(D284,'16. Desa. del Sistema Educ.Sup.'!$E:$F,2,FALSE),IFERROR(VLOOKUP(D284,'9. Cultura de Inno. Insti...'!$E:$F,2,FALSE),VLOOKUP(D284,'7. Lo Esencial de la Reforma U.'!$E:$F,2,0)))))))))))))))))</f>
        <v xml:space="preserve">Desarrollar 1 congreso de Enfermería en el meses de mayo  </v>
      </c>
      <c r="D285" s="31"/>
      <c r="E285" s="93"/>
      <c r="F285" s="93"/>
      <c r="G285" s="93"/>
      <c r="H285" s="76"/>
      <c r="I285" s="76"/>
      <c r="J285" s="76"/>
      <c r="K285" s="112"/>
    </row>
    <row r="286" spans="3:11" ht="15.75" thickBot="1">
      <c r="F286" s="93"/>
      <c r="G286" s="76"/>
      <c r="H286" s="76"/>
      <c r="I286" s="76"/>
    </row>
    <row r="287" spans="3:11" ht="30.75" thickBot="1">
      <c r="C287" s="129" t="s">
        <v>44</v>
      </c>
      <c r="D287" s="129" t="s">
        <v>55</v>
      </c>
      <c r="E287" s="136" t="s">
        <v>57</v>
      </c>
      <c r="F287" s="135" t="s">
        <v>27</v>
      </c>
      <c r="G287" s="133" t="s">
        <v>131</v>
      </c>
      <c r="H287" s="136" t="s">
        <v>46</v>
      </c>
      <c r="I287" s="133" t="s">
        <v>132</v>
      </c>
      <c r="J287" s="133" t="s">
        <v>410</v>
      </c>
      <c r="K287" s="133" t="s">
        <v>411</v>
      </c>
    </row>
    <row r="288" spans="3:11">
      <c r="C288" s="220" t="s">
        <v>439</v>
      </c>
      <c r="D288" s="221"/>
      <c r="E288" s="219">
        <f>HLOOKUP(C288,$AH$2:$BU$3,2,0)</f>
        <v>620</v>
      </c>
      <c r="F288" s="97">
        <f t="shared" ref="F288:F290" si="23">D288*E288</f>
        <v>0</v>
      </c>
      <c r="G288" s="161"/>
      <c r="H288" s="142"/>
      <c r="I288" s="130" t="e">
        <f>VLOOKUP(H288,Presupuesto!$B$11:$C$565,2,0)</f>
        <v>#N/A</v>
      </c>
      <c r="J288" s="218" t="s">
        <v>1456</v>
      </c>
      <c r="K288" s="98" t="s">
        <v>394</v>
      </c>
    </row>
    <row r="289" spans="3:11">
      <c r="C289" s="141" t="s">
        <v>1982</v>
      </c>
      <c r="D289" s="158">
        <v>1</v>
      </c>
      <c r="E289" s="123">
        <v>1800</v>
      </c>
      <c r="F289" s="97">
        <f t="shared" si="23"/>
        <v>1800</v>
      </c>
      <c r="G289" s="161" t="s">
        <v>129</v>
      </c>
      <c r="H289" s="142" t="s">
        <v>661</v>
      </c>
      <c r="I289" s="130" t="str">
        <f>VLOOKUP(H289,Presupuesto!$B$11:$C$565,2,0)</f>
        <v>OTROS ALQUILERES</v>
      </c>
      <c r="J289" s="98" t="s">
        <v>1359</v>
      </c>
      <c r="K289" s="98" t="s">
        <v>412</v>
      </c>
    </row>
    <row r="290" spans="3:11">
      <c r="C290" s="141" t="s">
        <v>1983</v>
      </c>
      <c r="D290" s="158">
        <v>1</v>
      </c>
      <c r="E290" s="123">
        <v>4000</v>
      </c>
      <c r="F290" s="97">
        <f t="shared" si="23"/>
        <v>4000</v>
      </c>
      <c r="G290" s="161" t="s">
        <v>129</v>
      </c>
      <c r="H290" s="142" t="s">
        <v>661</v>
      </c>
      <c r="I290" s="130" t="str">
        <f>VLOOKUP(H290,Presupuesto!$B$11:$C$565,2,0)</f>
        <v>OTROS ALQUILERES</v>
      </c>
      <c r="J290" s="98" t="s">
        <v>1359</v>
      </c>
      <c r="K290" s="98" t="s">
        <v>412</v>
      </c>
    </row>
    <row r="292" spans="3:11" ht="15.75" thickBot="1">
      <c r="F292" s="90"/>
      <c r="G292" s="89"/>
      <c r="H292" s="90"/>
      <c r="I292" s="90"/>
    </row>
    <row r="293" spans="3:11" ht="15.75" thickBot="1">
      <c r="C293" s="157" t="s">
        <v>53</v>
      </c>
      <c r="D293" s="365">
        <f>SUM(F300:F338)</f>
        <v>462901.89999999979</v>
      </c>
      <c r="F293" s="70"/>
      <c r="G293" s="79"/>
      <c r="H293" s="70"/>
      <c r="I293" s="70"/>
    </row>
    <row r="294" spans="3:11">
      <c r="C294" s="70"/>
      <c r="D294" s="31"/>
      <c r="E294" s="93"/>
      <c r="F294" s="93"/>
      <c r="G294" s="93"/>
      <c r="H294" s="76"/>
      <c r="I294" s="76"/>
      <c r="J294" s="76"/>
      <c r="K294" s="112"/>
    </row>
    <row r="295" spans="3:11">
      <c r="C295" s="70"/>
      <c r="D295" s="31"/>
      <c r="E295" s="93"/>
      <c r="F295" s="93"/>
      <c r="G295" s="93"/>
      <c r="H295" s="76"/>
      <c r="I295" s="76"/>
      <c r="J295" s="76"/>
      <c r="K295" s="112"/>
    </row>
    <row r="296" spans="3:11" ht="15.75">
      <c r="C296" s="202" t="s">
        <v>392</v>
      </c>
      <c r="D296" s="361" t="s">
        <v>2017</v>
      </c>
      <c r="E296" s="93"/>
      <c r="F296" s="93"/>
      <c r="G296" s="93"/>
      <c r="H296" s="76"/>
      <c r="I296" s="76"/>
      <c r="J296" s="76"/>
      <c r="K296" s="112"/>
    </row>
    <row r="297" spans="3:11" ht="18.75">
      <c r="C297" s="210" t="str">
        <f>IFERROR(VLOOKUP(D296,'1. Desarrollo e Innov. Curricu.'!$E:$F,2,FALSE),IFERROR(VLOOKUP(D296,'2. Investigación Científica'!$E:$F,2,FALSE),IFERROR(VLOOKUP(D296,'3. Vinculación Univ. Sociedad'!$E:$F,2,FALSE),IFERROR(VLOOKUP(D296,'4. Docencia y Profesorado Univ.'!$E:$F,2,FALSE),IFERROR(VLOOKUP(D296,'5. Estudiantes y Graduados'!$E:$F,2,FALSE),IFERROR(VLOOKUP(D296,'11. Gestion Administrativa'!$E:$F,2,FALSE),IFERROR(VLOOKUP(D296,'13. Gestión Académica'!$E:$F,2,FALSE),IFERROR(VLOOKUP(D296,'8. Asegura. de la Calid. y M'!$E:$F,2,FALSE),IFERROR(VLOOKUP(D296,'6. Gestión del Conocimiento'!$E:$F,2,FALSE),IFERROR(VLOOKUP(D296,'15. Gobernabilidad y Proceso...'!$E:$F,2,FALSE),IFERROR(VLOOKUP(D296,'12. Gestión del Talento Humano'!$E:$F,2,FALSE),IFERROR(VLOOKUP(D296,'14. Internacional... de la E.S.'!$E:$F,2,FALSE),IFERROR(VLOOKUP(D296,'10. Posgrado'!$E:$F,2,FALSE),IFERROR(VLOOKUP(D296,'17. Gestión TIC'!$E:$F,2,FALSE),IFERROR(VLOOKUP(D296,'16. Desa. del Sistema Educ.Sup.'!$E:$F,2,FALSE),IFERROR(VLOOKUP(D296,'9. Cultura de Inno. Insti...'!$E:$F,2,FALSE),VLOOKUP(D296,'7. Lo Esencial de la Reforma U.'!$E:$F,2,0)))))))))))))))))</f>
        <v xml:space="preserve">Gestionar equipamiento de laboratorio enfermeria </v>
      </c>
      <c r="D297" s="31"/>
      <c r="E297" s="93"/>
      <c r="F297" s="93"/>
      <c r="G297" s="93"/>
      <c r="H297" s="76"/>
      <c r="I297" s="76"/>
      <c r="J297" s="76"/>
      <c r="K297" s="112"/>
    </row>
    <row r="298" spans="3:11" ht="15.75" thickBot="1">
      <c r="F298" s="93"/>
      <c r="G298" s="76"/>
      <c r="H298" s="76"/>
      <c r="I298" s="76"/>
    </row>
    <row r="299" spans="3:11" ht="30.75" thickBot="1">
      <c r="C299" s="129" t="s">
        <v>44</v>
      </c>
      <c r="D299" s="129" t="s">
        <v>55</v>
      </c>
      <c r="E299" s="136" t="s">
        <v>57</v>
      </c>
      <c r="F299" s="135" t="s">
        <v>27</v>
      </c>
      <c r="G299" s="133" t="s">
        <v>131</v>
      </c>
      <c r="H299" s="136" t="s">
        <v>46</v>
      </c>
      <c r="I299" s="133" t="s">
        <v>132</v>
      </c>
      <c r="J299" s="133" t="s">
        <v>410</v>
      </c>
      <c r="K299" s="133" t="s">
        <v>411</v>
      </c>
    </row>
    <row r="300" spans="3:11">
      <c r="C300" s="220" t="s">
        <v>439</v>
      </c>
      <c r="D300" s="221"/>
      <c r="E300" s="219">
        <f>HLOOKUP(C300,$AH$2:$BU$3,2,0)</f>
        <v>620</v>
      </c>
      <c r="F300" s="97">
        <f t="shared" ref="F300:F334" si="24">D300*E300</f>
        <v>0</v>
      </c>
      <c r="G300" s="161"/>
      <c r="H300" s="142"/>
      <c r="I300" s="130" t="e">
        <f>VLOOKUP(H300,Presupuesto!$B$11:$C$565,2,0)</f>
        <v>#N/A</v>
      </c>
      <c r="J300" s="218" t="s">
        <v>1364</v>
      </c>
      <c r="K300" s="98" t="s">
        <v>394</v>
      </c>
    </row>
    <row r="301" spans="3:11">
      <c r="C301" s="537" t="s">
        <v>2019</v>
      </c>
      <c r="D301" s="586">
        <v>2</v>
      </c>
      <c r="E301" s="587">
        <v>13800</v>
      </c>
      <c r="F301" s="97">
        <f t="shared" si="24"/>
        <v>27600</v>
      </c>
      <c r="G301" s="161" t="s">
        <v>1486</v>
      </c>
      <c r="H301" s="142" t="s">
        <v>1003</v>
      </c>
      <c r="I301" s="130" t="str">
        <f>VLOOKUP(H301,Presupuesto!$B$11:$C$565,2,0)</f>
        <v>EQUIPO MEDICO Y LABORATORIO</v>
      </c>
      <c r="J301" s="98" t="str">
        <f>$J$300</f>
        <v>Gestión Administrativa y  financiera en apoyo al Desarrollo Académico</v>
      </c>
      <c r="K301" s="98" t="s">
        <v>412</v>
      </c>
    </row>
    <row r="302" spans="3:11">
      <c r="C302" s="537" t="s">
        <v>2020</v>
      </c>
      <c r="D302" s="586">
        <v>2</v>
      </c>
      <c r="E302" s="587">
        <v>17250</v>
      </c>
      <c r="F302" s="97">
        <f t="shared" si="24"/>
        <v>34500</v>
      </c>
      <c r="G302" s="161" t="s">
        <v>1486</v>
      </c>
      <c r="H302" s="142" t="s">
        <v>1003</v>
      </c>
      <c r="I302" s="130" t="str">
        <f>VLOOKUP(H302,Presupuesto!$B$11:$C$565,2,0)</f>
        <v>EQUIPO MEDICO Y LABORATORIO</v>
      </c>
      <c r="J302" s="98" t="str">
        <f t="shared" ref="J302:J338" si="25">$J$300</f>
        <v>Gestión Administrativa y  financiera en apoyo al Desarrollo Académico</v>
      </c>
      <c r="K302" s="98" t="s">
        <v>412</v>
      </c>
    </row>
    <row r="303" spans="3:11">
      <c r="C303" s="537" t="s">
        <v>2021</v>
      </c>
      <c r="D303" s="586">
        <v>2</v>
      </c>
      <c r="E303" s="587">
        <v>2300</v>
      </c>
      <c r="F303" s="97">
        <f t="shared" si="24"/>
        <v>4600</v>
      </c>
      <c r="G303" s="161" t="s">
        <v>1486</v>
      </c>
      <c r="H303" s="142" t="s">
        <v>1003</v>
      </c>
      <c r="I303" s="130" t="str">
        <f>VLOOKUP(H303,Presupuesto!$B$11:$C$565,2,0)</f>
        <v>EQUIPO MEDICO Y LABORATORIO</v>
      </c>
      <c r="J303" s="98" t="str">
        <f t="shared" si="25"/>
        <v>Gestión Administrativa y  financiera en apoyo al Desarrollo Académico</v>
      </c>
      <c r="K303" s="98" t="s">
        <v>412</v>
      </c>
    </row>
    <row r="304" spans="3:11">
      <c r="C304" s="537" t="s">
        <v>2022</v>
      </c>
      <c r="D304" s="586">
        <v>2</v>
      </c>
      <c r="E304" s="587">
        <v>5175</v>
      </c>
      <c r="F304" s="97">
        <f t="shared" si="24"/>
        <v>10350</v>
      </c>
      <c r="G304" s="161" t="s">
        <v>1486</v>
      </c>
      <c r="H304" s="142" t="s">
        <v>1003</v>
      </c>
      <c r="I304" s="130" t="str">
        <f>VLOOKUP(H304,Presupuesto!$B$11:$C$565,2,0)</f>
        <v>EQUIPO MEDICO Y LABORATORIO</v>
      </c>
      <c r="J304" s="98" t="str">
        <f t="shared" si="25"/>
        <v>Gestión Administrativa y  financiera en apoyo al Desarrollo Académico</v>
      </c>
      <c r="K304" s="98" t="s">
        <v>412</v>
      </c>
    </row>
    <row r="305" spans="3:11">
      <c r="C305" s="537" t="s">
        <v>2051</v>
      </c>
      <c r="D305" s="586">
        <v>2</v>
      </c>
      <c r="E305" s="587">
        <v>3450</v>
      </c>
      <c r="F305" s="97">
        <f t="shared" si="24"/>
        <v>6900</v>
      </c>
      <c r="G305" s="161" t="s">
        <v>1486</v>
      </c>
      <c r="H305" s="142" t="s">
        <v>1003</v>
      </c>
      <c r="I305" s="130" t="str">
        <f>VLOOKUP(H305,Presupuesto!$B$11:$C$565,2,0)</f>
        <v>EQUIPO MEDICO Y LABORATORIO</v>
      </c>
      <c r="J305" s="98" t="str">
        <f t="shared" si="25"/>
        <v>Gestión Administrativa y  financiera en apoyo al Desarrollo Académico</v>
      </c>
      <c r="K305" s="98" t="s">
        <v>401</v>
      </c>
    </row>
    <row r="306" spans="3:11">
      <c r="C306" s="537" t="s">
        <v>2052</v>
      </c>
      <c r="D306" s="586">
        <v>2</v>
      </c>
      <c r="E306" s="587">
        <v>5750</v>
      </c>
      <c r="F306" s="97">
        <f t="shared" si="24"/>
        <v>11500</v>
      </c>
      <c r="G306" s="161" t="s">
        <v>1486</v>
      </c>
      <c r="H306" s="142" t="s">
        <v>1003</v>
      </c>
      <c r="I306" s="130" t="str">
        <f>VLOOKUP(H306,Presupuesto!$B$11:$C$565,2,0)</f>
        <v>EQUIPO MEDICO Y LABORATORIO</v>
      </c>
      <c r="J306" s="98" t="str">
        <f t="shared" si="25"/>
        <v>Gestión Administrativa y  financiera en apoyo al Desarrollo Académico</v>
      </c>
      <c r="K306" s="98" t="s">
        <v>412</v>
      </c>
    </row>
    <row r="307" spans="3:11" ht="30">
      <c r="C307" s="537" t="s">
        <v>2053</v>
      </c>
      <c r="D307" s="586">
        <v>2</v>
      </c>
      <c r="E307" s="587">
        <v>1495</v>
      </c>
      <c r="F307" s="97">
        <f t="shared" si="24"/>
        <v>2990</v>
      </c>
      <c r="G307" s="161" t="s">
        <v>1486</v>
      </c>
      <c r="H307" s="142" t="s">
        <v>1003</v>
      </c>
      <c r="I307" s="130" t="str">
        <f>VLOOKUP(H307,Presupuesto!$B$11:$C$565,2,0)</f>
        <v>EQUIPO MEDICO Y LABORATORIO</v>
      </c>
      <c r="J307" s="98" t="str">
        <f t="shared" si="25"/>
        <v>Gestión Administrativa y  financiera en apoyo al Desarrollo Académico</v>
      </c>
      <c r="K307" s="98" t="s">
        <v>412</v>
      </c>
    </row>
    <row r="308" spans="3:11">
      <c r="C308" s="537" t="s">
        <v>2054</v>
      </c>
      <c r="D308" s="586">
        <v>1</v>
      </c>
      <c r="E308" s="588">
        <v>28750</v>
      </c>
      <c r="F308" s="97">
        <f t="shared" si="24"/>
        <v>28750</v>
      </c>
      <c r="G308" s="161" t="s">
        <v>1486</v>
      </c>
      <c r="H308" s="142" t="s">
        <v>1003</v>
      </c>
      <c r="I308" s="130" t="str">
        <f>VLOOKUP(H308,Presupuesto!$B$11:$C$565,2,0)</f>
        <v>EQUIPO MEDICO Y LABORATORIO</v>
      </c>
      <c r="J308" s="98" t="str">
        <f t="shared" si="25"/>
        <v>Gestión Administrativa y  financiera en apoyo al Desarrollo Académico</v>
      </c>
      <c r="K308" s="98" t="s">
        <v>412</v>
      </c>
    </row>
    <row r="309" spans="3:11">
      <c r="C309" s="537" t="s">
        <v>2055</v>
      </c>
      <c r="D309" s="586">
        <v>1</v>
      </c>
      <c r="E309" s="587">
        <v>17250</v>
      </c>
      <c r="F309" s="97">
        <f t="shared" si="24"/>
        <v>17250</v>
      </c>
      <c r="G309" s="161" t="s">
        <v>1486</v>
      </c>
      <c r="H309" s="142" t="s">
        <v>1003</v>
      </c>
      <c r="I309" s="130" t="str">
        <f>VLOOKUP(H309,Presupuesto!$B$11:$C$565,2,0)</f>
        <v>EQUIPO MEDICO Y LABORATORIO</v>
      </c>
      <c r="J309" s="98" t="str">
        <f t="shared" si="25"/>
        <v>Gestión Administrativa y  financiera en apoyo al Desarrollo Académico</v>
      </c>
      <c r="K309" s="98" t="s">
        <v>412</v>
      </c>
    </row>
    <row r="310" spans="3:11" ht="30">
      <c r="C310" s="537" t="s">
        <v>2023</v>
      </c>
      <c r="D310" s="586">
        <v>2</v>
      </c>
      <c r="E310" s="587">
        <v>4600</v>
      </c>
      <c r="F310" s="97">
        <f t="shared" si="24"/>
        <v>9200</v>
      </c>
      <c r="G310" s="161" t="s">
        <v>1486</v>
      </c>
      <c r="H310" s="142" t="s">
        <v>1003</v>
      </c>
      <c r="I310" s="130" t="str">
        <f>VLOOKUP(H310,Presupuesto!$B$11:$C$565,2,0)</f>
        <v>EQUIPO MEDICO Y LABORATORIO</v>
      </c>
      <c r="J310" s="98" t="str">
        <f t="shared" si="25"/>
        <v>Gestión Administrativa y  financiera en apoyo al Desarrollo Académico</v>
      </c>
      <c r="K310" s="98" t="s">
        <v>412</v>
      </c>
    </row>
    <row r="311" spans="3:11" ht="30">
      <c r="C311" s="537" t="s">
        <v>2024</v>
      </c>
      <c r="D311" s="586">
        <v>2</v>
      </c>
      <c r="E311" s="587">
        <v>5750</v>
      </c>
      <c r="F311" s="97">
        <f t="shared" si="24"/>
        <v>11500</v>
      </c>
      <c r="G311" s="161" t="s">
        <v>1486</v>
      </c>
      <c r="H311" s="142" t="s">
        <v>1003</v>
      </c>
      <c r="I311" s="130" t="str">
        <f>VLOOKUP(H311,Presupuesto!$B$11:$C$565,2,0)</f>
        <v>EQUIPO MEDICO Y LABORATORIO</v>
      </c>
      <c r="J311" s="98" t="str">
        <f t="shared" si="25"/>
        <v>Gestión Administrativa y  financiera en apoyo al Desarrollo Académico</v>
      </c>
      <c r="K311" s="98" t="s">
        <v>412</v>
      </c>
    </row>
    <row r="312" spans="3:11">
      <c r="C312" s="537" t="s">
        <v>2056</v>
      </c>
      <c r="D312" s="589">
        <v>2</v>
      </c>
      <c r="E312" s="590">
        <v>28750</v>
      </c>
      <c r="F312" s="97">
        <f t="shared" si="24"/>
        <v>57500</v>
      </c>
      <c r="G312" s="161" t="s">
        <v>1486</v>
      </c>
      <c r="H312" s="142" t="s">
        <v>1003</v>
      </c>
      <c r="I312" s="130" t="str">
        <f>VLOOKUP(H312,Presupuesto!$B$11:$C$565,2,0)</f>
        <v>EQUIPO MEDICO Y LABORATORIO</v>
      </c>
      <c r="J312" s="98" t="str">
        <f t="shared" si="25"/>
        <v>Gestión Administrativa y  financiera en apoyo al Desarrollo Académico</v>
      </c>
      <c r="K312" s="98" t="s">
        <v>412</v>
      </c>
    </row>
    <row r="313" spans="3:11" ht="30">
      <c r="C313" s="537" t="s">
        <v>2025</v>
      </c>
      <c r="D313" s="587">
        <v>1</v>
      </c>
      <c r="E313" s="587">
        <v>17045</v>
      </c>
      <c r="F313" s="97">
        <f t="shared" si="24"/>
        <v>17045</v>
      </c>
      <c r="G313" s="161" t="s">
        <v>1486</v>
      </c>
      <c r="H313" s="142" t="s">
        <v>1003</v>
      </c>
      <c r="I313" s="130" t="str">
        <f>VLOOKUP(H313,Presupuesto!$B$11:$C$565,2,0)</f>
        <v>EQUIPO MEDICO Y LABORATORIO</v>
      </c>
      <c r="J313" s="98" t="str">
        <f t="shared" si="25"/>
        <v>Gestión Administrativa y  financiera en apoyo al Desarrollo Académico</v>
      </c>
      <c r="K313" s="98" t="s">
        <v>412</v>
      </c>
    </row>
    <row r="314" spans="3:11">
      <c r="C314" s="537" t="s">
        <v>2026</v>
      </c>
      <c r="D314" s="586">
        <v>2</v>
      </c>
      <c r="E314" s="587">
        <v>4344</v>
      </c>
      <c r="F314" s="97">
        <f t="shared" si="24"/>
        <v>8688</v>
      </c>
      <c r="G314" s="161" t="s">
        <v>1486</v>
      </c>
      <c r="H314" s="142" t="s">
        <v>1003</v>
      </c>
      <c r="I314" s="130" t="str">
        <f>VLOOKUP(H314,Presupuesto!$B$11:$C$565,2,0)</f>
        <v>EQUIPO MEDICO Y LABORATORIO</v>
      </c>
      <c r="J314" s="98" t="str">
        <f t="shared" si="25"/>
        <v>Gestión Administrativa y  financiera en apoyo al Desarrollo Académico</v>
      </c>
      <c r="K314" s="98" t="s">
        <v>412</v>
      </c>
    </row>
    <row r="315" spans="3:11">
      <c r="C315" s="537" t="s">
        <v>2027</v>
      </c>
      <c r="D315" s="586">
        <v>2</v>
      </c>
      <c r="E315" s="587">
        <v>1635.3</v>
      </c>
      <c r="F315" s="97">
        <f t="shared" si="24"/>
        <v>3270.6</v>
      </c>
      <c r="G315" s="161" t="s">
        <v>1486</v>
      </c>
      <c r="H315" s="142" t="s">
        <v>1003</v>
      </c>
      <c r="I315" s="130" t="str">
        <f>VLOOKUP(H315,Presupuesto!$B$11:$C$565,2,0)</f>
        <v>EQUIPO MEDICO Y LABORATORIO</v>
      </c>
      <c r="J315" s="98" t="str">
        <f t="shared" si="25"/>
        <v>Gestión Administrativa y  financiera en apoyo al Desarrollo Académico</v>
      </c>
      <c r="K315" s="98" t="s">
        <v>412</v>
      </c>
    </row>
    <row r="316" spans="3:11">
      <c r="C316" s="537" t="s">
        <v>2028</v>
      </c>
      <c r="D316" s="586">
        <v>1</v>
      </c>
      <c r="E316" s="587">
        <v>1635.3</v>
      </c>
      <c r="F316" s="97">
        <f t="shared" si="24"/>
        <v>1635.3</v>
      </c>
      <c r="G316" s="161" t="s">
        <v>1486</v>
      </c>
      <c r="H316" s="142" t="s">
        <v>1003</v>
      </c>
      <c r="I316" s="130" t="str">
        <f>VLOOKUP(H316,Presupuesto!$B$11:$C$565,2,0)</f>
        <v>EQUIPO MEDICO Y LABORATORIO</v>
      </c>
      <c r="J316" s="98" t="str">
        <f t="shared" si="25"/>
        <v>Gestión Administrativa y  financiera en apoyo al Desarrollo Académico</v>
      </c>
      <c r="K316" s="98" t="s">
        <v>412</v>
      </c>
    </row>
    <row r="317" spans="3:11" ht="30">
      <c r="C317" s="537" t="s">
        <v>2029</v>
      </c>
      <c r="D317" s="586">
        <v>1</v>
      </c>
      <c r="E317" s="587">
        <v>7493.4</v>
      </c>
      <c r="F317" s="97">
        <f t="shared" si="24"/>
        <v>7493.4</v>
      </c>
      <c r="G317" s="161" t="s">
        <v>1486</v>
      </c>
      <c r="H317" s="142" t="s">
        <v>1003</v>
      </c>
      <c r="I317" s="130" t="str">
        <f>VLOOKUP(H317,Presupuesto!$B$11:$C$565,2,0)</f>
        <v>EQUIPO MEDICO Y LABORATORIO</v>
      </c>
      <c r="J317" s="98" t="str">
        <f t="shared" si="25"/>
        <v>Gestión Administrativa y  financiera en apoyo al Desarrollo Académico</v>
      </c>
      <c r="K317" s="98" t="s">
        <v>412</v>
      </c>
    </row>
    <row r="318" spans="3:11">
      <c r="C318" s="537" t="s">
        <v>2030</v>
      </c>
      <c r="D318" s="586">
        <v>1</v>
      </c>
      <c r="E318" s="587">
        <v>1833.1</v>
      </c>
      <c r="F318" s="97">
        <f t="shared" si="24"/>
        <v>1833.1</v>
      </c>
      <c r="G318" s="161" t="s">
        <v>1486</v>
      </c>
      <c r="H318" s="142" t="s">
        <v>1003</v>
      </c>
      <c r="I318" s="130" t="str">
        <f>VLOOKUP(H318,Presupuesto!$B$11:$C$565,2,0)</f>
        <v>EQUIPO MEDICO Y LABORATORIO</v>
      </c>
      <c r="J318" s="98" t="str">
        <f t="shared" si="25"/>
        <v>Gestión Administrativa y  financiera en apoyo al Desarrollo Académico</v>
      </c>
      <c r="K318" s="98" t="s">
        <v>412</v>
      </c>
    </row>
    <row r="319" spans="3:11" ht="30">
      <c r="C319" s="537" t="s">
        <v>2031</v>
      </c>
      <c r="D319" s="586">
        <v>3</v>
      </c>
      <c r="E319" s="586">
        <v>129.94999999999999</v>
      </c>
      <c r="F319" s="97">
        <f t="shared" si="24"/>
        <v>389.84999999999997</v>
      </c>
      <c r="G319" s="161" t="s">
        <v>1486</v>
      </c>
      <c r="H319" s="142" t="s">
        <v>1003</v>
      </c>
      <c r="I319" s="130" t="str">
        <f>VLOOKUP(H319,Presupuesto!$B$11:$C$565,2,0)</f>
        <v>EQUIPO MEDICO Y LABORATORIO</v>
      </c>
      <c r="J319" s="98" t="str">
        <f t="shared" si="25"/>
        <v>Gestión Administrativa y  financiera en apoyo al Desarrollo Académico</v>
      </c>
      <c r="K319" s="98" t="s">
        <v>412</v>
      </c>
    </row>
    <row r="320" spans="3:11">
      <c r="C320" s="537" t="s">
        <v>2032</v>
      </c>
      <c r="D320" s="586">
        <v>1</v>
      </c>
      <c r="E320" s="587">
        <v>2497.8000000000002</v>
      </c>
      <c r="F320" s="97">
        <f t="shared" si="24"/>
        <v>2497.8000000000002</v>
      </c>
      <c r="G320" s="161" t="s">
        <v>1486</v>
      </c>
      <c r="H320" s="142" t="s">
        <v>1003</v>
      </c>
      <c r="I320" s="130" t="str">
        <f>VLOOKUP(H320,Presupuesto!$B$11:$C$565,2,0)</f>
        <v>EQUIPO MEDICO Y LABORATORIO</v>
      </c>
      <c r="J320" s="98" t="str">
        <f t="shared" si="25"/>
        <v>Gestión Administrativa y  financiera en apoyo al Desarrollo Académico</v>
      </c>
      <c r="K320" s="98" t="s">
        <v>412</v>
      </c>
    </row>
    <row r="321" spans="3:11">
      <c r="C321" s="537" t="s">
        <v>2033</v>
      </c>
      <c r="D321" s="586">
        <v>3</v>
      </c>
      <c r="E321" s="586">
        <v>230</v>
      </c>
      <c r="F321" s="97">
        <f t="shared" si="24"/>
        <v>690</v>
      </c>
      <c r="G321" s="161" t="s">
        <v>1486</v>
      </c>
      <c r="H321" s="142" t="s">
        <v>1003</v>
      </c>
      <c r="I321" s="130" t="str">
        <f>VLOOKUP(H321,Presupuesto!$B$11:$C$565,2,0)</f>
        <v>EQUIPO MEDICO Y LABORATORIO</v>
      </c>
      <c r="J321" s="98" t="str">
        <f t="shared" si="25"/>
        <v>Gestión Administrativa y  financiera en apoyo al Desarrollo Académico</v>
      </c>
      <c r="K321" s="98" t="s">
        <v>412</v>
      </c>
    </row>
    <row r="322" spans="3:11">
      <c r="C322" s="537" t="s">
        <v>2034</v>
      </c>
      <c r="D322" s="586">
        <v>3</v>
      </c>
      <c r="E322" s="586">
        <v>548.54999999999995</v>
      </c>
      <c r="F322" s="97">
        <f t="shared" si="24"/>
        <v>1645.6499999999999</v>
      </c>
      <c r="G322" s="161" t="s">
        <v>1486</v>
      </c>
      <c r="H322" s="142" t="s">
        <v>1003</v>
      </c>
      <c r="I322" s="130" t="str">
        <f>VLOOKUP(H322,Presupuesto!$B$11:$C$565,2,0)</f>
        <v>EQUIPO MEDICO Y LABORATORIO</v>
      </c>
      <c r="J322" s="98" t="str">
        <f t="shared" si="25"/>
        <v>Gestión Administrativa y  financiera en apoyo al Desarrollo Académico</v>
      </c>
      <c r="K322" s="98" t="s">
        <v>412</v>
      </c>
    </row>
    <row r="323" spans="3:11">
      <c r="C323" s="537" t="s">
        <v>2035</v>
      </c>
      <c r="D323" s="586">
        <v>2</v>
      </c>
      <c r="E323" s="591">
        <v>25198.3</v>
      </c>
      <c r="F323" s="97">
        <f t="shared" si="24"/>
        <v>50396.6</v>
      </c>
      <c r="G323" s="161" t="s">
        <v>1486</v>
      </c>
      <c r="H323" s="142" t="s">
        <v>1003</v>
      </c>
      <c r="I323" s="130" t="str">
        <f>VLOOKUP(H323,Presupuesto!$B$11:$C$565,2,0)</f>
        <v>EQUIPO MEDICO Y LABORATORIO</v>
      </c>
      <c r="J323" s="98" t="str">
        <f t="shared" si="25"/>
        <v>Gestión Administrativa y  financiera en apoyo al Desarrollo Académico</v>
      </c>
      <c r="K323" s="98" t="s">
        <v>412</v>
      </c>
    </row>
    <row r="324" spans="3:11">
      <c r="C324" s="537" t="s">
        <v>2036</v>
      </c>
      <c r="D324" s="586">
        <v>1</v>
      </c>
      <c r="E324" s="587">
        <v>17204</v>
      </c>
      <c r="F324" s="97">
        <f t="shared" si="24"/>
        <v>17204</v>
      </c>
      <c r="G324" s="161" t="s">
        <v>1486</v>
      </c>
      <c r="H324" s="142" t="s">
        <v>1003</v>
      </c>
      <c r="I324" s="130" t="str">
        <f>VLOOKUP(H324,Presupuesto!$B$11:$C$565,2,0)</f>
        <v>EQUIPO MEDICO Y LABORATORIO</v>
      </c>
      <c r="J324" s="98" t="str">
        <f t="shared" si="25"/>
        <v>Gestión Administrativa y  financiera en apoyo al Desarrollo Académico</v>
      </c>
      <c r="K324" s="98" t="s">
        <v>412</v>
      </c>
    </row>
    <row r="325" spans="3:11">
      <c r="C325" s="537" t="s">
        <v>2037</v>
      </c>
      <c r="D325" s="592">
        <v>9</v>
      </c>
      <c r="E325" s="592">
        <v>1500</v>
      </c>
      <c r="F325" s="97">
        <f t="shared" si="24"/>
        <v>13500</v>
      </c>
      <c r="G325" s="161" t="s">
        <v>1486</v>
      </c>
      <c r="H325" s="142" t="s">
        <v>1003</v>
      </c>
      <c r="I325" s="130" t="str">
        <f>VLOOKUP(H325,Presupuesto!$B$11:$C$565,2,0)</f>
        <v>EQUIPO MEDICO Y LABORATORIO</v>
      </c>
      <c r="J325" s="98" t="str">
        <f t="shared" si="25"/>
        <v>Gestión Administrativa y  financiera en apoyo al Desarrollo Académico</v>
      </c>
      <c r="K325" s="98" t="s">
        <v>412</v>
      </c>
    </row>
    <row r="326" spans="3:11">
      <c r="C326" s="537" t="s">
        <v>2038</v>
      </c>
      <c r="D326" s="592">
        <v>3</v>
      </c>
      <c r="E326" s="592">
        <v>1500</v>
      </c>
      <c r="F326" s="97">
        <f t="shared" si="24"/>
        <v>4500</v>
      </c>
      <c r="G326" s="161" t="s">
        <v>1486</v>
      </c>
      <c r="H326" s="142" t="s">
        <v>1003</v>
      </c>
      <c r="I326" s="130" t="str">
        <f>VLOOKUP(H326,Presupuesto!$B$11:$C$565,2,0)</f>
        <v>EQUIPO MEDICO Y LABORATORIO</v>
      </c>
      <c r="J326" s="98" t="str">
        <f t="shared" si="25"/>
        <v>Gestión Administrativa y  financiera en apoyo al Desarrollo Académico</v>
      </c>
      <c r="K326" s="98" t="s">
        <v>412</v>
      </c>
    </row>
    <row r="327" spans="3:11">
      <c r="C327" s="537" t="s">
        <v>2039</v>
      </c>
      <c r="D327" s="586">
        <v>2</v>
      </c>
      <c r="E327" s="587">
        <v>2142.15</v>
      </c>
      <c r="F327" s="97">
        <f t="shared" si="24"/>
        <v>4284.3</v>
      </c>
      <c r="G327" s="161" t="s">
        <v>1486</v>
      </c>
      <c r="H327" s="142" t="s">
        <v>1003</v>
      </c>
      <c r="I327" s="130" t="str">
        <f>VLOOKUP(H327,Presupuesto!$B$11:$C$565,2,0)</f>
        <v>EQUIPO MEDICO Y LABORATORIO</v>
      </c>
      <c r="J327" s="98" t="str">
        <f t="shared" si="25"/>
        <v>Gestión Administrativa y  financiera en apoyo al Desarrollo Académico</v>
      </c>
      <c r="K327" s="98" t="s">
        <v>412</v>
      </c>
    </row>
    <row r="328" spans="3:11">
      <c r="C328" s="537" t="s">
        <v>2040</v>
      </c>
      <c r="D328" s="586">
        <v>3</v>
      </c>
      <c r="E328" s="586">
        <v>214.29</v>
      </c>
      <c r="F328" s="97">
        <f t="shared" si="24"/>
        <v>642.87</v>
      </c>
      <c r="G328" s="161" t="s">
        <v>1486</v>
      </c>
      <c r="H328" s="142" t="s">
        <v>1003</v>
      </c>
      <c r="I328" s="130" t="str">
        <f>VLOOKUP(H328,Presupuesto!$B$11:$C$565,2,0)</f>
        <v>EQUIPO MEDICO Y LABORATORIO</v>
      </c>
      <c r="J328" s="98" t="str">
        <f t="shared" si="25"/>
        <v>Gestión Administrativa y  financiera en apoyo al Desarrollo Académico</v>
      </c>
      <c r="K328" s="98" t="s">
        <v>412</v>
      </c>
    </row>
    <row r="329" spans="3:11">
      <c r="C329" s="537" t="s">
        <v>2041</v>
      </c>
      <c r="D329" s="586">
        <v>1</v>
      </c>
      <c r="E329" s="586">
        <v>536.1</v>
      </c>
      <c r="F329" s="97">
        <f t="shared" si="24"/>
        <v>536.1</v>
      </c>
      <c r="G329" s="161" t="s">
        <v>1486</v>
      </c>
      <c r="H329" s="142" t="s">
        <v>1003</v>
      </c>
      <c r="I329" s="130" t="str">
        <f>VLOOKUP(H329,Presupuesto!$B$11:$C$565,2,0)</f>
        <v>EQUIPO MEDICO Y LABORATORIO</v>
      </c>
      <c r="J329" s="98" t="str">
        <f t="shared" si="25"/>
        <v>Gestión Administrativa y  financiera en apoyo al Desarrollo Académico</v>
      </c>
      <c r="K329" s="98" t="s">
        <v>412</v>
      </c>
    </row>
    <row r="330" spans="3:11">
      <c r="C330" s="537" t="s">
        <v>2042</v>
      </c>
      <c r="D330" s="586">
        <v>1</v>
      </c>
      <c r="E330" s="586">
        <v>536.1</v>
      </c>
      <c r="F330" s="97">
        <f t="shared" si="24"/>
        <v>536.1</v>
      </c>
      <c r="G330" s="161" t="s">
        <v>1486</v>
      </c>
      <c r="H330" s="142" t="s">
        <v>1003</v>
      </c>
      <c r="I330" s="130" t="str">
        <f>VLOOKUP(H330,Presupuesto!$B$11:$C$565,2,0)</f>
        <v>EQUIPO MEDICO Y LABORATORIO</v>
      </c>
      <c r="J330" s="98" t="str">
        <f t="shared" si="25"/>
        <v>Gestión Administrativa y  financiera en apoyo al Desarrollo Académico</v>
      </c>
      <c r="K330" s="98" t="s">
        <v>403</v>
      </c>
    </row>
    <row r="331" spans="3:11">
      <c r="C331" s="537" t="s">
        <v>2043</v>
      </c>
      <c r="D331" s="586">
        <v>1</v>
      </c>
      <c r="E331" s="586">
        <v>536.1</v>
      </c>
      <c r="F331" s="97">
        <f t="shared" si="24"/>
        <v>536.1</v>
      </c>
      <c r="G331" s="161" t="s">
        <v>1486</v>
      </c>
      <c r="H331" s="142" t="s">
        <v>1003</v>
      </c>
      <c r="I331" s="130" t="str">
        <f>VLOOKUP(H331,Presupuesto!$B$11:$C$565,2,0)</f>
        <v>EQUIPO MEDICO Y LABORATORIO</v>
      </c>
      <c r="J331" s="98" t="str">
        <f t="shared" si="25"/>
        <v>Gestión Administrativa y  financiera en apoyo al Desarrollo Académico</v>
      </c>
      <c r="K331" s="98" t="s">
        <v>412</v>
      </c>
    </row>
    <row r="332" spans="3:11">
      <c r="C332" s="537" t="s">
        <v>2044</v>
      </c>
      <c r="D332" s="586">
        <v>1</v>
      </c>
      <c r="E332" s="586">
        <v>536.1</v>
      </c>
      <c r="F332" s="97">
        <f t="shared" si="24"/>
        <v>536.1</v>
      </c>
      <c r="G332" s="161" t="s">
        <v>1486</v>
      </c>
      <c r="H332" s="142" t="s">
        <v>1003</v>
      </c>
      <c r="I332" s="130" t="str">
        <f>VLOOKUP(H332,Presupuesto!$B$11:$C$565,2,0)</f>
        <v>EQUIPO MEDICO Y LABORATORIO</v>
      </c>
      <c r="J332" s="98" t="str">
        <f t="shared" si="25"/>
        <v>Gestión Administrativa y  financiera en apoyo al Desarrollo Académico</v>
      </c>
      <c r="K332" s="98" t="s">
        <v>412</v>
      </c>
    </row>
    <row r="333" spans="3:11">
      <c r="C333" s="537" t="s">
        <v>2045</v>
      </c>
      <c r="D333" s="586">
        <v>1</v>
      </c>
      <c r="E333" s="586">
        <v>536.1</v>
      </c>
      <c r="F333" s="97">
        <f t="shared" si="24"/>
        <v>536.1</v>
      </c>
      <c r="G333" s="161" t="s">
        <v>1486</v>
      </c>
      <c r="H333" s="142" t="s">
        <v>1003</v>
      </c>
      <c r="I333" s="130" t="str">
        <f>VLOOKUP(H333,Presupuesto!$B$11:$C$565,2,0)</f>
        <v>EQUIPO MEDICO Y LABORATORIO</v>
      </c>
      <c r="J333" s="98" t="str">
        <f t="shared" si="25"/>
        <v>Gestión Administrativa y  financiera en apoyo al Desarrollo Académico</v>
      </c>
      <c r="K333" s="98" t="s">
        <v>412</v>
      </c>
    </row>
    <row r="334" spans="3:11" ht="30.75" thickBot="1">
      <c r="C334" s="537" t="s">
        <v>2046</v>
      </c>
      <c r="D334" s="586">
        <v>1</v>
      </c>
      <c r="E334" s="586">
        <v>536.1</v>
      </c>
      <c r="F334" s="105">
        <f t="shared" si="24"/>
        <v>536.1</v>
      </c>
      <c r="G334" s="161" t="s">
        <v>1486</v>
      </c>
      <c r="H334" s="142" t="s">
        <v>1003</v>
      </c>
      <c r="I334" s="132" t="str">
        <f>VLOOKUP(H334,Presupuesto!$B$11:$C$565,2,0)</f>
        <v>EQUIPO MEDICO Y LABORATORIO</v>
      </c>
      <c r="J334" s="106" t="str">
        <f t="shared" si="25"/>
        <v>Gestión Administrativa y  financiera en apoyo al Desarrollo Académico</v>
      </c>
      <c r="K334" s="124" t="s">
        <v>394</v>
      </c>
    </row>
    <row r="335" spans="3:11" s="458" customFormat="1" ht="15.75" thickBot="1">
      <c r="C335" s="537" t="s">
        <v>2047</v>
      </c>
      <c r="D335" s="586">
        <v>1</v>
      </c>
      <c r="E335" s="586">
        <v>428.83</v>
      </c>
      <c r="F335" s="105">
        <f t="shared" ref="F335:F338" si="26">D335*E335</f>
        <v>428.83</v>
      </c>
      <c r="G335" s="161" t="s">
        <v>1486</v>
      </c>
      <c r="H335" s="142" t="s">
        <v>1003</v>
      </c>
      <c r="I335" s="132" t="str">
        <f>VLOOKUP(H335,Presupuesto!$B$11:$C$565,2,0)</f>
        <v>EQUIPO MEDICO Y LABORATORIO</v>
      </c>
      <c r="J335" s="106" t="str">
        <f t="shared" si="25"/>
        <v>Gestión Administrativa y  financiera en apoyo al Desarrollo Académico</v>
      </c>
      <c r="K335" s="124" t="s">
        <v>394</v>
      </c>
    </row>
    <row r="336" spans="3:11" s="458" customFormat="1" ht="15.75" thickBot="1">
      <c r="C336" s="537" t="s">
        <v>2048</v>
      </c>
      <c r="D336" s="586">
        <v>1</v>
      </c>
      <c r="E336" s="588">
        <v>75900</v>
      </c>
      <c r="F336" s="105">
        <f t="shared" si="26"/>
        <v>75900</v>
      </c>
      <c r="G336" s="161" t="s">
        <v>1486</v>
      </c>
      <c r="H336" s="142" t="s">
        <v>1003</v>
      </c>
      <c r="I336" s="132" t="str">
        <f>VLOOKUP(H336,Presupuesto!$B$11:$C$565,2,0)</f>
        <v>EQUIPO MEDICO Y LABORATORIO</v>
      </c>
      <c r="J336" s="106" t="str">
        <f t="shared" si="25"/>
        <v>Gestión Administrativa y  financiera en apoyo al Desarrollo Académico</v>
      </c>
      <c r="K336" s="124" t="s">
        <v>394</v>
      </c>
    </row>
    <row r="337" spans="3:11" s="458" customFormat="1" ht="15.75" thickBot="1">
      <c r="C337" s="537" t="s">
        <v>2049</v>
      </c>
      <c r="D337" s="586">
        <v>10</v>
      </c>
      <c r="E337" s="588">
        <v>1000</v>
      </c>
      <c r="F337" s="105">
        <f t="shared" si="26"/>
        <v>10000</v>
      </c>
      <c r="G337" s="161" t="s">
        <v>1486</v>
      </c>
      <c r="H337" s="142" t="s">
        <v>1003</v>
      </c>
      <c r="I337" s="132" t="str">
        <f>VLOOKUP(H337,Presupuesto!$B$11:$C$565,2,0)</f>
        <v>EQUIPO MEDICO Y LABORATORIO</v>
      </c>
      <c r="J337" s="106" t="str">
        <f t="shared" si="25"/>
        <v>Gestión Administrativa y  financiera en apoyo al Desarrollo Académico</v>
      </c>
      <c r="K337" s="124" t="s">
        <v>394</v>
      </c>
    </row>
    <row r="338" spans="3:11" s="458" customFormat="1" ht="15.75" thickBot="1">
      <c r="C338" s="537" t="s">
        <v>2050</v>
      </c>
      <c r="D338" s="586">
        <v>10</v>
      </c>
      <c r="E338" s="588">
        <v>1500</v>
      </c>
      <c r="F338" s="105">
        <f t="shared" si="26"/>
        <v>15000</v>
      </c>
      <c r="G338" s="161" t="s">
        <v>1486</v>
      </c>
      <c r="H338" s="142" t="s">
        <v>1003</v>
      </c>
      <c r="I338" s="132" t="str">
        <f>VLOOKUP(H338,Presupuesto!$B$11:$C$565,2,0)</f>
        <v>EQUIPO MEDICO Y LABORATORIO</v>
      </c>
      <c r="J338" s="106" t="str">
        <f t="shared" si="25"/>
        <v>Gestión Administrativa y  financiera en apoyo al Desarrollo Académico</v>
      </c>
      <c r="K338" s="124" t="s">
        <v>394</v>
      </c>
    </row>
    <row r="340" spans="3:11" ht="15.75" thickBot="1">
      <c r="F340" s="90"/>
      <c r="G340" s="89"/>
      <c r="H340" s="90"/>
      <c r="I340" s="90"/>
    </row>
    <row r="341" spans="3:11" ht="15.75" thickBot="1">
      <c r="C341" s="157" t="s">
        <v>53</v>
      </c>
      <c r="D341" s="365">
        <f>SUM(F348:F348)</f>
        <v>22000</v>
      </c>
      <c r="F341" s="70"/>
      <c r="G341" s="79"/>
      <c r="H341" s="70"/>
      <c r="I341" s="70"/>
    </row>
    <row r="342" spans="3:11">
      <c r="C342" s="70"/>
      <c r="D342" s="31"/>
      <c r="E342" s="93"/>
      <c r="F342" s="93"/>
      <c r="G342" s="93"/>
      <c r="H342" s="76"/>
      <c r="I342" s="76"/>
      <c r="J342" s="76"/>
      <c r="K342" s="112"/>
    </row>
    <row r="343" spans="3:11">
      <c r="C343" s="70"/>
      <c r="D343" s="31"/>
      <c r="E343" s="93"/>
      <c r="F343" s="93"/>
      <c r="G343" s="93"/>
      <c r="H343" s="76"/>
      <c r="I343" s="76"/>
      <c r="J343" s="76"/>
      <c r="K343" s="112"/>
    </row>
    <row r="344" spans="3:11" ht="15.75">
      <c r="C344" s="202" t="s">
        <v>392</v>
      </c>
      <c r="D344" s="361" t="s">
        <v>2058</v>
      </c>
      <c r="E344" s="93"/>
      <c r="F344" s="93"/>
      <c r="G344" s="93"/>
      <c r="H344" s="76"/>
      <c r="I344" s="76"/>
      <c r="J344" s="76"/>
      <c r="K344" s="112"/>
    </row>
    <row r="345" spans="3:11" ht="18.75">
      <c r="C345" s="210" t="str">
        <f>IFERROR(VLOOKUP(D344,'1. Desarrollo e Innov. Curricu.'!$E:$F,2,FALSE),IFERROR(VLOOKUP(D344,'2. Investigación Científica'!$E:$F,2,FALSE),IFERROR(VLOOKUP(D344,'3. Vinculación Univ. Sociedad'!$E:$F,2,FALSE),IFERROR(VLOOKUP(D344,'4. Docencia y Profesorado Univ.'!$E:$F,2,FALSE),IFERROR(VLOOKUP(D344,'5. Estudiantes y Graduados'!$E:$F,2,FALSE),IFERROR(VLOOKUP(D344,'11. Gestion Administrativa'!$E:$F,2,FALSE),IFERROR(VLOOKUP(D344,'13. Gestión Académica'!$E:$F,2,FALSE),IFERROR(VLOOKUP(D344,'8. Asegura. de la Calid. y M'!$E:$F,2,FALSE),IFERROR(VLOOKUP(D344,'6. Gestión del Conocimiento'!$E:$F,2,FALSE),IFERROR(VLOOKUP(D344,'15. Gobernabilidad y Proceso...'!$E:$F,2,FALSE),IFERROR(VLOOKUP(D344,'12. Gestión del Talento Humano'!$E:$F,2,FALSE),IFERROR(VLOOKUP(D344,'14. Internacional... de la E.S.'!$E:$F,2,FALSE),IFERROR(VLOOKUP(D344,'10. Posgrado'!$E:$F,2,FALSE),IFERROR(VLOOKUP(D344,'17. Gestión TIC'!$E:$F,2,FALSE),IFERROR(VLOOKUP(D344,'16. Desa. del Sistema Educ.Sup.'!$E:$F,2,FALSE),IFERROR(VLOOKUP(D344,'9. Cultura de Inno. Insti...'!$E:$F,2,FALSE),VLOOKUP(D344,'7. Lo Esencial de la Reforma U.'!$E:$F,2,0)))))))))))))))))</f>
        <v xml:space="preserve">Continuar  con el proceso de rediseño curriclar de la Carrera de Enfermeria con la escuela de enfermeria y los centros regionales que tienten la carrera  </v>
      </c>
      <c r="D345" s="31"/>
      <c r="E345" s="93"/>
      <c r="F345" s="93"/>
      <c r="G345" s="93"/>
      <c r="H345" s="76"/>
      <c r="I345" s="76"/>
      <c r="J345" s="76"/>
      <c r="K345" s="112"/>
    </row>
    <row r="346" spans="3:11" ht="15.75" thickBot="1">
      <c r="F346" s="93"/>
      <c r="G346" s="76"/>
      <c r="H346" s="76"/>
      <c r="I346" s="76"/>
    </row>
    <row r="347" spans="3:11" ht="30.75" thickBot="1">
      <c r="C347" s="129" t="s">
        <v>44</v>
      </c>
      <c r="D347" s="129" t="s">
        <v>55</v>
      </c>
      <c r="E347" s="136" t="s">
        <v>57</v>
      </c>
      <c r="F347" s="135" t="s">
        <v>27</v>
      </c>
      <c r="G347" s="133" t="s">
        <v>131</v>
      </c>
      <c r="H347" s="136" t="s">
        <v>46</v>
      </c>
      <c r="I347" s="133" t="s">
        <v>132</v>
      </c>
      <c r="J347" s="133" t="s">
        <v>410</v>
      </c>
      <c r="K347" s="133" t="s">
        <v>411</v>
      </c>
    </row>
    <row r="348" spans="3:11">
      <c r="C348" s="220" t="s">
        <v>428</v>
      </c>
      <c r="D348" s="221">
        <f>2*2.75*2</f>
        <v>11</v>
      </c>
      <c r="E348" s="219">
        <f>HLOOKUP(C348,$AH$2:$BU$3,2,0)</f>
        <v>2000</v>
      </c>
      <c r="F348" s="97">
        <f t="shared" ref="F348" si="27">D348*E348</f>
        <v>22000</v>
      </c>
      <c r="G348" s="161" t="s">
        <v>129</v>
      </c>
      <c r="H348" s="142" t="s">
        <v>301</v>
      </c>
      <c r="I348" s="130" t="str">
        <f>VLOOKUP(H348,Presupuesto!$B$11:$C$565,2,0)</f>
        <v>VIATICOS (26200-00)</v>
      </c>
      <c r="J348" s="218" t="s">
        <v>1357</v>
      </c>
      <c r="K348" s="98" t="s">
        <v>394</v>
      </c>
    </row>
    <row r="350" spans="3:11" ht="15.75" thickBot="1"/>
    <row r="351" spans="3:11" ht="15.75" thickBot="1">
      <c r="C351" s="157" t="s">
        <v>53</v>
      </c>
      <c r="D351" s="365">
        <f>SUM(F358:F359)</f>
        <v>21700</v>
      </c>
      <c r="F351" s="70"/>
      <c r="G351" s="79"/>
      <c r="H351" s="70"/>
      <c r="I351" s="70"/>
    </row>
    <row r="352" spans="3:11">
      <c r="C352" s="70"/>
      <c r="D352" s="31"/>
      <c r="E352" s="93"/>
      <c r="F352" s="93"/>
      <c r="G352" s="93"/>
      <c r="H352" s="76"/>
      <c r="I352" s="76"/>
      <c r="J352" s="76"/>
      <c r="K352" s="112"/>
    </row>
    <row r="353" spans="3:11">
      <c r="C353" s="70"/>
      <c r="D353" s="31"/>
      <c r="E353" s="93"/>
      <c r="F353" s="93"/>
      <c r="G353" s="93"/>
      <c r="H353" s="76"/>
      <c r="I353" s="76"/>
      <c r="J353" s="76"/>
      <c r="K353" s="112"/>
    </row>
    <row r="354" spans="3:11" ht="15.75">
      <c r="C354" s="202" t="s">
        <v>392</v>
      </c>
      <c r="D354" s="361" t="s">
        <v>2065</v>
      </c>
      <c r="E354" s="93"/>
      <c r="F354" s="93"/>
      <c r="G354" s="93"/>
      <c r="H354" s="76"/>
      <c r="I354" s="76"/>
      <c r="J354" s="76"/>
      <c r="K354" s="112"/>
    </row>
    <row r="355" spans="3:11" ht="18.75">
      <c r="C355" s="210" t="str">
        <f>IFERROR(VLOOKUP(D354,'1. Desarrollo e Innov. Curricu.'!$E:$F,2,FALSE),IFERROR(VLOOKUP(D354,'2. Investigación Científica'!$E:$F,2,FALSE),IFERROR(VLOOKUP(D354,'3. Vinculación Univ. Sociedad'!$E:$F,2,FALSE),IFERROR(VLOOKUP(D354,'4. Docencia y Profesorado Univ.'!$E:$F,2,FALSE),IFERROR(VLOOKUP(D354,'5. Estudiantes y Graduados'!$E:$F,2,FALSE),IFERROR(VLOOKUP(D354,'11. Gestion Administrativa'!$E:$F,2,FALSE),IFERROR(VLOOKUP(D354,'13. Gestión Académica'!$E:$F,2,FALSE),IFERROR(VLOOKUP(D354,'8. Asegura. de la Calid. y M'!$E:$F,2,FALSE),IFERROR(VLOOKUP(D354,'6. Gestión del Conocimiento'!$E:$F,2,FALSE),IFERROR(VLOOKUP(D354,'15. Gobernabilidad y Proceso...'!$E:$F,2,FALSE),IFERROR(VLOOKUP(D354,'12. Gestión del Talento Humano'!$E:$F,2,FALSE),IFERROR(VLOOKUP(D354,'14. Internacional... de la E.S.'!$E:$F,2,FALSE),IFERROR(VLOOKUP(D354,'10. Posgrado'!$E:$F,2,FALSE),IFERROR(VLOOKUP(D354,'17. Gestión TIC'!$E:$F,2,FALSE),IFERROR(VLOOKUP(D354,'16. Desa. del Sistema Educ.Sup.'!$E:$F,2,FALSE),IFERROR(VLOOKUP(D354,'9. Cultura de Inno. Insti...'!$E:$F,2,FALSE),VLOOKUP(D354,'7. Lo Esencial de la Reforma U.'!$E:$F,2,0)))))))))))))))))</f>
        <v xml:space="preserve">Supervision de estudiantes en Ejercicio Profesional y Servicio Social. En las siguientes comunidades Ojo de Agua, Moroceli, Jacaleapa, El Paraiso, Teupacenti, San Matias, El zapotillo, Jutiapa, San Diego, Quebrada Larga, Alauca y Santa Maria </v>
      </c>
      <c r="D355" s="31"/>
      <c r="E355" s="93"/>
      <c r="F355" s="93"/>
      <c r="G355" s="93"/>
      <c r="H355" s="76"/>
      <c r="I355" s="76"/>
      <c r="J355" s="76"/>
      <c r="K355" s="112"/>
    </row>
    <row r="356" spans="3:11" ht="15.75" thickBot="1">
      <c r="F356" s="93"/>
      <c r="G356" s="76"/>
      <c r="H356" s="76"/>
      <c r="I356" s="76"/>
    </row>
    <row r="357" spans="3:11" ht="30.75" thickBot="1">
      <c r="C357" s="129" t="s">
        <v>44</v>
      </c>
      <c r="D357" s="129" t="s">
        <v>55</v>
      </c>
      <c r="E357" s="136" t="s">
        <v>57</v>
      </c>
      <c r="F357" s="135" t="s">
        <v>27</v>
      </c>
      <c r="G357" s="133" t="s">
        <v>131</v>
      </c>
      <c r="H357" s="136" t="s">
        <v>46</v>
      </c>
      <c r="I357" s="133" t="s">
        <v>132</v>
      </c>
      <c r="J357" s="133" t="s">
        <v>410</v>
      </c>
      <c r="K357" s="133" t="s">
        <v>411</v>
      </c>
    </row>
    <row r="358" spans="3:11">
      <c r="C358" s="220" t="s">
        <v>430</v>
      </c>
      <c r="D358" s="221">
        <f>0.5*7*4</f>
        <v>14</v>
      </c>
      <c r="E358" s="219">
        <f>HLOOKUP(C358,$AH$2:$BU$3,2,0)</f>
        <v>1150</v>
      </c>
      <c r="F358" s="97">
        <f t="shared" ref="F358:F359" si="28">D358*E358</f>
        <v>16100</v>
      </c>
      <c r="G358" s="161" t="s">
        <v>129</v>
      </c>
      <c r="H358" s="142" t="s">
        <v>301</v>
      </c>
      <c r="I358" s="130" t="str">
        <f>VLOOKUP(H358,Presupuesto!$B$11:$C$565,2,0)</f>
        <v>VIATICOS (26200-00)</v>
      </c>
      <c r="J358" s="218" t="s">
        <v>1358</v>
      </c>
      <c r="K358" s="98" t="s">
        <v>394</v>
      </c>
    </row>
    <row r="359" spans="3:11">
      <c r="C359" s="141" t="s">
        <v>2070</v>
      </c>
      <c r="D359" s="158">
        <f>7*4</f>
        <v>28</v>
      </c>
      <c r="E359" s="123">
        <v>200</v>
      </c>
      <c r="F359" s="97">
        <f t="shared" si="28"/>
        <v>5600</v>
      </c>
      <c r="G359" s="161" t="s">
        <v>129</v>
      </c>
      <c r="H359" s="142" t="s">
        <v>871</v>
      </c>
      <c r="I359" s="130" t="str">
        <f>VLOOKUP(H359,Presupuesto!$B$11:$C$565,2,0)</f>
        <v>GASOLINA</v>
      </c>
      <c r="J359" s="98" t="s">
        <v>1358</v>
      </c>
      <c r="K359" s="98" t="s">
        <v>412</v>
      </c>
    </row>
    <row r="361" spans="3:11" ht="15.75" thickBot="1">
      <c r="F361" s="90"/>
      <c r="G361" s="89"/>
      <c r="H361" s="90"/>
      <c r="I361" s="90"/>
    </row>
    <row r="362" spans="3:11" ht="15.75" thickBot="1">
      <c r="C362" s="157" t="s">
        <v>53</v>
      </c>
      <c r="D362" s="365">
        <f>SUM(F369:F370)</f>
        <v>1200</v>
      </c>
      <c r="F362" s="70"/>
      <c r="G362" s="79"/>
      <c r="H362" s="70"/>
      <c r="I362" s="70"/>
    </row>
    <row r="363" spans="3:11">
      <c r="C363" s="70"/>
      <c r="D363" s="31"/>
      <c r="E363" s="93"/>
      <c r="F363" s="93"/>
      <c r="G363" s="93"/>
      <c r="H363" s="76"/>
      <c r="I363" s="76"/>
      <c r="J363" s="76"/>
      <c r="K363" s="112"/>
    </row>
    <row r="364" spans="3:11">
      <c r="C364" s="70"/>
      <c r="D364" s="31"/>
      <c r="E364" s="93"/>
      <c r="F364" s="93"/>
      <c r="G364" s="93"/>
      <c r="H364" s="76"/>
      <c r="I364" s="76"/>
      <c r="J364" s="76"/>
      <c r="K364" s="112"/>
    </row>
    <row r="365" spans="3:11" ht="15.75">
      <c r="C365" s="202" t="s">
        <v>392</v>
      </c>
      <c r="D365" s="361" t="s">
        <v>2091</v>
      </c>
      <c r="E365" s="93"/>
      <c r="F365" s="93"/>
      <c r="G365" s="93"/>
      <c r="H365" s="76"/>
      <c r="I365" s="76"/>
      <c r="J365" s="76"/>
      <c r="K365" s="112"/>
    </row>
    <row r="366" spans="3:11" ht="18.75">
      <c r="C366" s="210" t="str">
        <f>IFERROR(VLOOKUP(D365,'1. Desarrollo e Innov. Curricu.'!$E:$F,2,FALSE),IFERROR(VLOOKUP(D365,'2. Investigación Científica'!$E:$F,2,FALSE),IFERROR(VLOOKUP(D365,'3. Vinculación Univ. Sociedad'!$E:$F,2,FALSE),IFERROR(VLOOKUP(D365,'4. Docencia y Profesorado Univ.'!$E:$F,2,FALSE),IFERROR(VLOOKUP(D365,'5. Estudiantes y Graduados'!$E:$F,2,FALSE),IFERROR(VLOOKUP(D365,'11. Gestion Administrativa'!$E:$F,2,FALSE),IFERROR(VLOOKUP(D365,'13. Gestión Académica'!$E:$F,2,FALSE),IFERROR(VLOOKUP(D365,'8. Asegura. de la Calid. y M'!$E:$F,2,FALSE),IFERROR(VLOOKUP(D365,'6. Gestión del Conocimiento'!$E:$F,2,FALSE),IFERROR(VLOOKUP(D365,'15. Gobernabilidad y Proceso...'!$E:$F,2,FALSE),IFERROR(VLOOKUP(D365,'12. Gestión del Talento Humano'!$E:$F,2,FALSE),IFERROR(VLOOKUP(D365,'14. Internacional... de la E.S.'!$E:$F,2,FALSE),IFERROR(VLOOKUP(D365,'10. Posgrado'!$E:$F,2,FALSE),IFERROR(VLOOKUP(D365,'17. Gestión TIC'!$E:$F,2,FALSE),IFERROR(VLOOKUP(D365,'16. Desa. del Sistema Educ.Sup.'!$E:$F,2,FALSE),IFERROR(VLOOKUP(D365,'9. Cultura de Inno. Insti...'!$E:$F,2,FALSE),VLOOKUP(D365,'7. Lo Esencial de la Reforma U.'!$E:$F,2,0)))))))))))))))))</f>
        <v xml:space="preserve">Incrementar el numero de beneficiarios de becas por excelencia academicas en las tres categorias, elevando solicitudes en las 2 convocatorias </v>
      </c>
      <c r="D366" s="31"/>
      <c r="E366" s="93"/>
      <c r="F366" s="93"/>
      <c r="G366" s="93"/>
      <c r="H366" s="76"/>
      <c r="I366" s="76"/>
      <c r="J366" s="76"/>
      <c r="K366" s="112"/>
    </row>
    <row r="367" spans="3:11" ht="15.75" thickBot="1">
      <c r="F367" s="93"/>
      <c r="G367" s="76"/>
      <c r="H367" s="76"/>
      <c r="I367" s="76"/>
    </row>
    <row r="368" spans="3:11" ht="30.75" thickBot="1">
      <c r="C368" s="129" t="s">
        <v>44</v>
      </c>
      <c r="D368" s="129" t="s">
        <v>55</v>
      </c>
      <c r="E368" s="136" t="s">
        <v>57</v>
      </c>
      <c r="F368" s="135" t="s">
        <v>27</v>
      </c>
      <c r="G368" s="133" t="s">
        <v>131</v>
      </c>
      <c r="H368" s="136" t="s">
        <v>46</v>
      </c>
      <c r="I368" s="133" t="s">
        <v>132</v>
      </c>
      <c r="J368" s="133" t="s">
        <v>410</v>
      </c>
      <c r="K368" s="133" t="s">
        <v>411</v>
      </c>
    </row>
    <row r="369" spans="3:11">
      <c r="C369" s="220" t="s">
        <v>439</v>
      </c>
      <c r="D369" s="221"/>
      <c r="E369" s="219">
        <f>HLOOKUP(C369,$AH$2:$BU$3,2,0)</f>
        <v>620</v>
      </c>
      <c r="F369" s="97">
        <f t="shared" ref="F369:F370" si="29">D369*E369</f>
        <v>0</v>
      </c>
      <c r="G369" s="161"/>
      <c r="H369" s="142"/>
      <c r="I369" s="130" t="e">
        <f>VLOOKUP(H369,Presupuesto!$B$11:$C$565,2,0)</f>
        <v>#N/A</v>
      </c>
      <c r="J369" s="218" t="s">
        <v>1456</v>
      </c>
      <c r="K369" s="98" t="s">
        <v>394</v>
      </c>
    </row>
    <row r="370" spans="3:11">
      <c r="C370" s="141" t="s">
        <v>2070</v>
      </c>
      <c r="D370" s="158">
        <v>3</v>
      </c>
      <c r="E370" s="123">
        <v>400</v>
      </c>
      <c r="F370" s="97">
        <f t="shared" si="29"/>
        <v>1200</v>
      </c>
      <c r="G370" s="161" t="s">
        <v>129</v>
      </c>
      <c r="H370" s="142" t="s">
        <v>871</v>
      </c>
      <c r="I370" s="130" t="str">
        <f>VLOOKUP(H370,Presupuesto!$B$11:$C$565,2,0)</f>
        <v>GASOLINA</v>
      </c>
      <c r="J370" s="98" t="s">
        <v>1360</v>
      </c>
      <c r="K370" s="98" t="s">
        <v>412</v>
      </c>
    </row>
    <row r="371" spans="3:11" s="458" customFormat="1" ht="15.75" thickBot="1">
      <c r="C371" s="597"/>
      <c r="D371" s="583"/>
      <c r="E371" s="584"/>
      <c r="F371" s="542"/>
      <c r="G371" s="543"/>
      <c r="H371" s="585"/>
      <c r="I371" s="542"/>
      <c r="J371" s="544"/>
      <c r="K371" s="544"/>
    </row>
    <row r="372" spans="3:11" s="458" customFormat="1" ht="15.75" thickBot="1">
      <c r="C372" s="157" t="s">
        <v>53</v>
      </c>
      <c r="D372" s="365">
        <f>SUM(F379:F380)</f>
        <v>1500</v>
      </c>
      <c r="F372" s="70"/>
      <c r="G372" s="79"/>
      <c r="H372" s="70"/>
      <c r="I372" s="70"/>
    </row>
    <row r="373" spans="3:11" s="458" customFormat="1">
      <c r="C373" s="70"/>
      <c r="D373" s="31"/>
      <c r="E373" s="93"/>
      <c r="F373" s="93"/>
      <c r="G373" s="93"/>
      <c r="H373" s="76"/>
      <c r="I373" s="76"/>
      <c r="J373" s="76"/>
      <c r="K373" s="112"/>
    </row>
    <row r="374" spans="3:11" s="458" customFormat="1">
      <c r="C374" s="70"/>
      <c r="D374" s="31"/>
      <c r="E374" s="93"/>
      <c r="F374" s="93"/>
      <c r="G374" s="93"/>
      <c r="H374" s="76"/>
      <c r="I374" s="76"/>
      <c r="J374" s="76"/>
      <c r="K374" s="112"/>
    </row>
    <row r="375" spans="3:11" s="458" customFormat="1" ht="15.75">
      <c r="C375" s="202" t="s">
        <v>392</v>
      </c>
      <c r="D375" s="361" t="s">
        <v>2096</v>
      </c>
      <c r="E375" s="93"/>
      <c r="F375" s="93"/>
      <c r="G375" s="93"/>
      <c r="H375" s="76"/>
      <c r="I375" s="76"/>
      <c r="J375" s="76"/>
      <c r="K375" s="112"/>
    </row>
    <row r="376" spans="3:11" s="458" customFormat="1" ht="18.75">
      <c r="C376" s="210" t="str">
        <f>IFERROR(VLOOKUP(D375,'1. Desarrollo e Innov. Curricu.'!$E:$F,2,FALSE),IFERROR(VLOOKUP(D375,'2. Investigación Científica'!$E:$F,2,FALSE),IFERROR(VLOOKUP(D375,'3. Vinculación Univ. Sociedad'!$E:$F,2,FALSE),IFERROR(VLOOKUP(D375,'4. Docencia y Profesorado Univ.'!$E:$F,2,FALSE),IFERROR(VLOOKUP(D375,'5. Estudiantes y Graduados'!$E:$F,2,FALSE),IFERROR(VLOOKUP(D375,'11. Gestion Administrativa'!$E:$F,2,FALSE),IFERROR(VLOOKUP(D375,'13. Gestión Académica'!$E:$F,2,FALSE),IFERROR(VLOOKUP(D375,'8. Asegura. de la Calid. y M'!$E:$F,2,FALSE),IFERROR(VLOOKUP(D375,'6. Gestión del Conocimiento'!$E:$F,2,FALSE),IFERROR(VLOOKUP(D375,'15. Gobernabilidad y Proceso...'!$E:$F,2,FALSE),IFERROR(VLOOKUP(D375,'12. Gestión del Talento Humano'!$E:$F,2,FALSE),IFERROR(VLOOKUP(D375,'14. Internacional... de la E.S.'!$E:$F,2,FALSE),IFERROR(VLOOKUP(D375,'10. Posgrado'!$E:$F,2,FALSE),IFERROR(VLOOKUP(D375,'17. Gestión TIC'!$E:$F,2,FALSE),IFERROR(VLOOKUP(D375,'16. Desa. del Sistema Educ.Sup.'!$E:$F,2,FALSE),IFERROR(VLOOKUP(D375,'9. Cultura de Inno. Insti...'!$E:$F,2,FALSE),VLOOKUP(D375,'7. Lo Esencial de la Reforma U.'!$E:$F,2,0)))))))))))))))))</f>
        <v xml:space="preserve">Jornadas de promoción y difusión de las carreras de UNAH-TEC en Centros Educativos de educación media </v>
      </c>
      <c r="D376" s="31"/>
      <c r="E376" s="93"/>
      <c r="F376" s="93"/>
      <c r="G376" s="93"/>
      <c r="H376" s="76"/>
      <c r="I376" s="76"/>
      <c r="J376" s="76"/>
      <c r="K376" s="112"/>
    </row>
    <row r="377" spans="3:11" s="458" customFormat="1" ht="15.75" thickBot="1">
      <c r="F377" s="93"/>
      <c r="G377" s="76"/>
      <c r="H377" s="76"/>
      <c r="I377" s="76"/>
    </row>
    <row r="378" spans="3:11" s="458" customFormat="1" ht="30.75" thickBot="1">
      <c r="C378" s="129" t="s">
        <v>44</v>
      </c>
      <c r="D378" s="129" t="s">
        <v>55</v>
      </c>
      <c r="E378" s="136" t="s">
        <v>57</v>
      </c>
      <c r="F378" s="135" t="s">
        <v>27</v>
      </c>
      <c r="G378" s="133" t="s">
        <v>131</v>
      </c>
      <c r="H378" s="136" t="s">
        <v>46</v>
      </c>
      <c r="I378" s="133" t="s">
        <v>132</v>
      </c>
      <c r="J378" s="133" t="s">
        <v>410</v>
      </c>
      <c r="K378" s="133" t="s">
        <v>411</v>
      </c>
    </row>
    <row r="379" spans="3:11" s="458" customFormat="1">
      <c r="C379" s="220" t="s">
        <v>439</v>
      </c>
      <c r="D379" s="221"/>
      <c r="E379" s="219">
        <f>HLOOKUP(C379,$AH$2:$BU$3,2,0)</f>
        <v>620</v>
      </c>
      <c r="F379" s="97">
        <f t="shared" ref="F379:F380" si="30">D379*E379</f>
        <v>0</v>
      </c>
      <c r="G379" s="161"/>
      <c r="H379" s="142"/>
      <c r="I379" s="130" t="e">
        <f>VLOOKUP(H379,Presupuesto!$B$11:$C$565,2,0)</f>
        <v>#N/A</v>
      </c>
      <c r="J379" s="218" t="s">
        <v>1456</v>
      </c>
      <c r="K379" s="98" t="s">
        <v>394</v>
      </c>
    </row>
    <row r="380" spans="3:11" s="458" customFormat="1">
      <c r="C380" s="141" t="s">
        <v>2070</v>
      </c>
      <c r="D380" s="158">
        <v>3</v>
      </c>
      <c r="E380" s="123">
        <v>500</v>
      </c>
      <c r="F380" s="97">
        <f t="shared" si="30"/>
        <v>1500</v>
      </c>
      <c r="G380" s="161" t="s">
        <v>129</v>
      </c>
      <c r="H380" s="142" t="s">
        <v>871</v>
      </c>
      <c r="I380" s="130" t="str">
        <f>VLOOKUP(H380,Presupuesto!$B$11:$C$565,2,0)</f>
        <v>GASOLINA</v>
      </c>
      <c r="J380" s="98" t="s">
        <v>1360</v>
      </c>
      <c r="K380" s="98" t="s">
        <v>412</v>
      </c>
    </row>
    <row r="381" spans="3:11" s="458" customFormat="1">
      <c r="C381" s="597"/>
      <c r="D381" s="583"/>
      <c r="E381" s="584"/>
      <c r="F381" s="542"/>
      <c r="G381" s="543"/>
      <c r="H381" s="585"/>
      <c r="I381" s="542"/>
      <c r="J381" s="544"/>
      <c r="K381" s="544"/>
    </row>
    <row r="382" spans="3:11" s="458" customFormat="1">
      <c r="C382" s="597"/>
      <c r="D382" s="583"/>
      <c r="E382" s="584"/>
      <c r="F382" s="542"/>
      <c r="G382" s="543"/>
      <c r="H382" s="585"/>
      <c r="I382" s="542"/>
      <c r="J382" s="544"/>
      <c r="K382" s="544"/>
    </row>
    <row r="384" spans="3:11" ht="15.75" thickBot="1"/>
    <row r="385" spans="3:11" ht="15.75" thickBot="1">
      <c r="C385" s="157" t="s">
        <v>53</v>
      </c>
      <c r="D385" s="365">
        <f>SUM(F392:F394)</f>
        <v>1700</v>
      </c>
      <c r="F385" s="70"/>
      <c r="G385" s="79"/>
      <c r="H385" s="70"/>
      <c r="I385" s="70"/>
    </row>
    <row r="386" spans="3:11">
      <c r="C386" s="70"/>
      <c r="D386" s="31"/>
      <c r="E386" s="93"/>
      <c r="F386" s="93"/>
      <c r="G386" s="93"/>
      <c r="H386" s="76"/>
      <c r="I386" s="76"/>
      <c r="J386" s="76"/>
      <c r="K386" s="112"/>
    </row>
    <row r="387" spans="3:11">
      <c r="C387" s="70"/>
      <c r="D387" s="31"/>
      <c r="E387" s="93"/>
      <c r="F387" s="93"/>
      <c r="G387" s="93"/>
      <c r="H387" s="76"/>
      <c r="I387" s="76"/>
      <c r="J387" s="76"/>
      <c r="K387" s="112"/>
    </row>
    <row r="388" spans="3:11" ht="15.75">
      <c r="C388" s="202" t="s">
        <v>392</v>
      </c>
      <c r="D388" s="361" t="s">
        <v>2102</v>
      </c>
      <c r="E388" s="93"/>
      <c r="F388" s="93"/>
      <c r="G388" s="93"/>
      <c r="H388" s="76"/>
      <c r="I388" s="76"/>
      <c r="J388" s="76"/>
      <c r="K388" s="112"/>
    </row>
    <row r="389" spans="3:11" ht="18.75">
      <c r="C389" s="210" t="str">
        <f>IFERROR(VLOOKUP(D388,'1. Desarrollo e Innov. Curricu.'!$E:$F,2,FALSE),IFERROR(VLOOKUP(D388,'2. Investigación Científica'!$E:$F,2,FALSE),IFERROR(VLOOKUP(D388,'3. Vinculación Univ. Sociedad'!$E:$F,2,FALSE),IFERROR(VLOOKUP(D388,'4. Docencia y Profesorado Univ.'!$E:$F,2,FALSE),IFERROR(VLOOKUP(D388,'5. Estudiantes y Graduados'!$E:$F,2,FALSE),IFERROR(VLOOKUP(D388,'11. Gestion Administrativa'!$E:$F,2,FALSE),IFERROR(VLOOKUP(D388,'13. Gestión Académica'!$E:$F,2,FALSE),IFERROR(VLOOKUP(D388,'8. Asegura. de la Calid. y M'!$E:$F,2,FALSE),IFERROR(VLOOKUP(D388,'6. Gestión del Conocimiento'!$E:$F,2,FALSE),IFERROR(VLOOKUP(D388,'15. Gobernabilidad y Proceso...'!$E:$F,2,FALSE),IFERROR(VLOOKUP(D388,'12. Gestión del Talento Humano'!$E:$F,2,FALSE),IFERROR(VLOOKUP(D388,'14. Internacional... de la E.S.'!$E:$F,2,FALSE),IFERROR(VLOOKUP(D388,'10. Posgrado'!$E:$F,2,FALSE),IFERROR(VLOOKUP(D388,'17. Gestión TIC'!$E:$F,2,FALSE),IFERROR(VLOOKUP(D388,'16. Desa. del Sistema Educ.Sup.'!$E:$F,2,FALSE),IFERROR(VLOOKUP(D388,'9. Cultura de Inno. Insti...'!$E:$F,2,FALSE),VLOOKUP(D388,'7. Lo Esencial de la Reforma U.'!$E:$F,2,0)))))))))))))))))</f>
        <v>Desarrollar feria de la salud para los estudiantes de UNAH-TEC</v>
      </c>
      <c r="D389" s="31"/>
      <c r="E389" s="93"/>
      <c r="F389" s="93"/>
      <c r="G389" s="93"/>
      <c r="H389" s="76"/>
      <c r="I389" s="76"/>
      <c r="J389" s="76"/>
      <c r="K389" s="112"/>
    </row>
    <row r="390" spans="3:11" ht="15.75" thickBot="1">
      <c r="F390" s="93"/>
      <c r="G390" s="76"/>
      <c r="H390" s="76"/>
      <c r="I390" s="76"/>
    </row>
    <row r="391" spans="3:11" ht="30.75" thickBot="1">
      <c r="C391" s="129" t="s">
        <v>44</v>
      </c>
      <c r="D391" s="129" t="s">
        <v>55</v>
      </c>
      <c r="E391" s="136" t="s">
        <v>57</v>
      </c>
      <c r="F391" s="135" t="s">
        <v>27</v>
      </c>
      <c r="G391" s="133" t="s">
        <v>131</v>
      </c>
      <c r="H391" s="136" t="s">
        <v>46</v>
      </c>
      <c r="I391" s="133" t="s">
        <v>132</v>
      </c>
      <c r="J391" s="133" t="s">
        <v>410</v>
      </c>
      <c r="K391" s="133" t="s">
        <v>411</v>
      </c>
    </row>
    <row r="392" spans="3:11">
      <c r="C392" s="220" t="s">
        <v>439</v>
      </c>
      <c r="D392" s="221"/>
      <c r="E392" s="219">
        <f>HLOOKUP(C392,$AH$2:$BU$3,2,0)</f>
        <v>620</v>
      </c>
      <c r="F392" s="97">
        <f t="shared" ref="F392:F394" si="31">D392*E392</f>
        <v>0</v>
      </c>
      <c r="G392" s="161"/>
      <c r="H392" s="142"/>
      <c r="I392" s="130" t="e">
        <f>VLOOKUP(H392,Presupuesto!$B$11:$C$565,2,0)</f>
        <v>#N/A</v>
      </c>
      <c r="J392" s="218" t="s">
        <v>1360</v>
      </c>
      <c r="K392" s="98" t="s">
        <v>394</v>
      </c>
    </row>
    <row r="393" spans="3:11">
      <c r="C393" s="141" t="s">
        <v>2107</v>
      </c>
      <c r="D393" s="158">
        <v>30</v>
      </c>
      <c r="E393" s="123">
        <v>40</v>
      </c>
      <c r="F393" s="97">
        <f t="shared" si="31"/>
        <v>1200</v>
      </c>
      <c r="G393" s="161" t="s">
        <v>129</v>
      </c>
      <c r="H393" s="98" t="s">
        <v>792</v>
      </c>
      <c r="I393" s="130" t="str">
        <f>VLOOKUP(H393,Presupuesto!$B$11:$C$565,2,0)</f>
        <v>ALIMENTOS B EBIDAS PARA PERSONAS</v>
      </c>
      <c r="J393" s="98" t="str">
        <f>$J$392</f>
        <v>Estudiantes y Graduados</v>
      </c>
      <c r="K393" s="98" t="s">
        <v>412</v>
      </c>
    </row>
    <row r="394" spans="3:11">
      <c r="C394" s="141" t="s">
        <v>2070</v>
      </c>
      <c r="D394" s="158">
        <v>1</v>
      </c>
      <c r="E394" s="123">
        <v>500</v>
      </c>
      <c r="F394" s="97">
        <f t="shared" si="31"/>
        <v>500</v>
      </c>
      <c r="G394" s="161" t="s">
        <v>129</v>
      </c>
      <c r="H394" s="142" t="s">
        <v>871</v>
      </c>
      <c r="I394" s="130" t="str">
        <f>VLOOKUP(H394,Presupuesto!$B$11:$C$565,2,0)</f>
        <v>GASOLINA</v>
      </c>
      <c r="J394" s="98" t="str">
        <f t="shared" ref="J394" si="32">$J$392</f>
        <v>Estudiantes y Graduados</v>
      </c>
      <c r="K394" s="98" t="s">
        <v>412</v>
      </c>
    </row>
    <row r="396" spans="3:11" ht="15.75" thickBot="1">
      <c r="F396" s="90"/>
      <c r="G396" s="89"/>
      <c r="H396" s="90"/>
      <c r="I396" s="90"/>
    </row>
    <row r="397" spans="3:11" ht="15.75" thickBot="1">
      <c r="C397" s="157" t="s">
        <v>53</v>
      </c>
      <c r="D397" s="365">
        <f>SUM(F404:F406)</f>
        <v>2400</v>
      </c>
      <c r="F397" s="70"/>
      <c r="G397" s="79"/>
      <c r="H397" s="70"/>
      <c r="I397" s="70"/>
    </row>
    <row r="398" spans="3:11">
      <c r="C398" s="70"/>
      <c r="D398" s="31"/>
      <c r="E398" s="93"/>
      <c r="F398" s="93"/>
      <c r="G398" s="93"/>
      <c r="H398" s="76"/>
      <c r="I398" s="76"/>
      <c r="J398" s="76"/>
      <c r="K398" s="112"/>
    </row>
    <row r="399" spans="3:11">
      <c r="C399" s="70"/>
      <c r="D399" s="31"/>
      <c r="E399" s="93"/>
      <c r="F399" s="93"/>
      <c r="G399" s="93"/>
      <c r="H399" s="76"/>
      <c r="I399" s="76"/>
      <c r="J399" s="76"/>
      <c r="K399" s="112"/>
    </row>
    <row r="400" spans="3:11" ht="15.75">
      <c r="C400" s="202" t="s">
        <v>392</v>
      </c>
      <c r="D400" s="361" t="s">
        <v>2131</v>
      </c>
      <c r="E400" s="93"/>
      <c r="F400" s="93"/>
      <c r="G400" s="93"/>
      <c r="H400" s="76"/>
      <c r="I400" s="76"/>
      <c r="J400" s="76"/>
      <c r="K400" s="112"/>
    </row>
    <row r="401" spans="3:11" ht="18.75">
      <c r="C401" s="210" t="str">
        <f>IFERROR(VLOOKUP(D400,'1. Desarrollo e Innov. Curricu.'!$E:$F,2,FALSE),IFERROR(VLOOKUP(D400,'2. Investigación Científica'!$E:$F,2,FALSE),IFERROR(VLOOKUP(D400,'3. Vinculación Univ. Sociedad'!$E:$F,2,FALSE),IFERROR(VLOOKUP(D400,'4. Docencia y Profesorado Univ.'!$E:$F,2,FALSE),IFERROR(VLOOKUP(D400,'5. Estudiantes y Graduados'!$E:$F,2,FALSE),IFERROR(VLOOKUP(D400,'11. Gestion Administrativa'!$E:$F,2,FALSE),IFERROR(VLOOKUP(D400,'13. Gestión Académica'!$E:$F,2,FALSE),IFERROR(VLOOKUP(D400,'8. Asegura. de la Calid. y M'!$E:$F,2,FALSE),IFERROR(VLOOKUP(D400,'6. Gestión del Conocimiento'!$E:$F,2,FALSE),IFERROR(VLOOKUP(D400,'15. Gobernabilidad y Proceso...'!$E:$F,2,FALSE),IFERROR(VLOOKUP(D400,'12. Gestión del Talento Humano'!$E:$F,2,FALSE),IFERROR(VLOOKUP(D400,'14. Internacional... de la E.S.'!$E:$F,2,FALSE),IFERROR(VLOOKUP(D400,'10. Posgrado'!$E:$F,2,FALSE),IFERROR(VLOOKUP(D400,'17. Gestión TIC'!$E:$F,2,FALSE),IFERROR(VLOOKUP(D400,'16. Desa. del Sistema Educ.Sup.'!$E:$F,2,FALSE),IFERROR(VLOOKUP(D400,'9. Cultura de Inno. Insti...'!$E:$F,2,FALSE),VLOOKUP(D400,'7. Lo Esencial de la Reforma U.'!$E:$F,2,0)))))))))))))))))</f>
        <v xml:space="preserve">Celebración del día del estudiante universitario </v>
      </c>
      <c r="D401" s="31"/>
      <c r="E401" s="93"/>
      <c r="F401" s="93"/>
      <c r="G401" s="93"/>
      <c r="H401" s="76"/>
      <c r="I401" s="76"/>
      <c r="J401" s="76"/>
      <c r="K401" s="112"/>
    </row>
    <row r="402" spans="3:11" ht="15.75" thickBot="1">
      <c r="F402" s="93"/>
      <c r="G402" s="76"/>
      <c r="H402" s="76"/>
      <c r="I402" s="76"/>
    </row>
    <row r="403" spans="3:11" ht="30.75" thickBot="1">
      <c r="C403" s="129" t="s">
        <v>44</v>
      </c>
      <c r="D403" s="129" t="s">
        <v>55</v>
      </c>
      <c r="E403" s="136" t="s">
        <v>57</v>
      </c>
      <c r="F403" s="135" t="s">
        <v>27</v>
      </c>
      <c r="G403" s="133" t="s">
        <v>131</v>
      </c>
      <c r="H403" s="136" t="s">
        <v>46</v>
      </c>
      <c r="I403" s="133" t="s">
        <v>132</v>
      </c>
      <c r="J403" s="133" t="s">
        <v>410</v>
      </c>
      <c r="K403" s="133" t="s">
        <v>411</v>
      </c>
    </row>
    <row r="404" spans="3:11">
      <c r="C404" s="220" t="s">
        <v>439</v>
      </c>
      <c r="D404" s="221"/>
      <c r="E404" s="219">
        <f>HLOOKUP(C404,$AH$2:$BU$3,2,0)</f>
        <v>620</v>
      </c>
      <c r="F404" s="97">
        <f t="shared" ref="F404:F406" si="33">D404*E404</f>
        <v>0</v>
      </c>
      <c r="G404" s="161"/>
      <c r="H404" s="142"/>
      <c r="I404" s="130" t="e">
        <f>VLOOKUP(H404,Presupuesto!$B$11:$C$565,2,0)</f>
        <v>#N/A</v>
      </c>
      <c r="J404" s="218" t="s">
        <v>1360</v>
      </c>
      <c r="K404" s="98" t="s">
        <v>394</v>
      </c>
    </row>
    <row r="405" spans="3:11">
      <c r="C405" s="141" t="s">
        <v>2107</v>
      </c>
      <c r="D405" s="158">
        <v>30</v>
      </c>
      <c r="E405" s="123">
        <v>40</v>
      </c>
      <c r="F405" s="97">
        <f t="shared" si="33"/>
        <v>1200</v>
      </c>
      <c r="G405" s="161" t="s">
        <v>129</v>
      </c>
      <c r="H405" s="98" t="s">
        <v>792</v>
      </c>
      <c r="I405" s="130" t="str">
        <f>VLOOKUP(H405,Presupuesto!$B$11:$C$565,2,0)</f>
        <v>ALIMENTOS B EBIDAS PARA PERSONAS</v>
      </c>
      <c r="J405" s="98" t="str">
        <f>$J$404</f>
        <v>Estudiantes y Graduados</v>
      </c>
      <c r="K405" s="98" t="s">
        <v>412</v>
      </c>
    </row>
    <row r="406" spans="3:11">
      <c r="C406" s="141" t="s">
        <v>1982</v>
      </c>
      <c r="D406" s="158">
        <v>1</v>
      </c>
      <c r="E406" s="123">
        <v>1200</v>
      </c>
      <c r="F406" s="97">
        <f t="shared" si="33"/>
        <v>1200</v>
      </c>
      <c r="G406" s="161" t="s">
        <v>129</v>
      </c>
      <c r="H406" s="142" t="s">
        <v>661</v>
      </c>
      <c r="I406" s="130" t="str">
        <f>VLOOKUP(H406,Presupuesto!$B$11:$C$565,2,0)</f>
        <v>OTROS ALQUILERES</v>
      </c>
      <c r="J406" s="98" t="str">
        <f t="shared" ref="J406" si="34">$J$404</f>
        <v>Estudiantes y Graduados</v>
      </c>
      <c r="K406" s="98" t="s">
        <v>412</v>
      </c>
    </row>
    <row r="408" spans="3:11" ht="15.75" thickBot="1"/>
    <row r="409" spans="3:11" ht="15.75" thickBot="1">
      <c r="C409" s="157" t="s">
        <v>53</v>
      </c>
      <c r="D409" s="365">
        <f>SUM(F416:F417)</f>
        <v>3000</v>
      </c>
      <c r="F409" s="70"/>
      <c r="G409" s="79"/>
      <c r="H409" s="70"/>
      <c r="I409" s="70"/>
    </row>
    <row r="410" spans="3:11">
      <c r="C410" s="70"/>
      <c r="D410" s="31"/>
      <c r="E410" s="93"/>
      <c r="F410" s="93"/>
      <c r="G410" s="93"/>
      <c r="H410" s="76"/>
      <c r="I410" s="76"/>
      <c r="J410" s="76"/>
      <c r="K410" s="112"/>
    </row>
    <row r="411" spans="3:11">
      <c r="C411" s="70"/>
      <c r="D411" s="31"/>
      <c r="E411" s="93"/>
      <c r="F411" s="93"/>
      <c r="G411" s="93"/>
      <c r="H411" s="76"/>
      <c r="I411" s="76"/>
      <c r="J411" s="76"/>
      <c r="K411" s="112"/>
    </row>
    <row r="412" spans="3:11" ht="15.75">
      <c r="C412" s="202" t="s">
        <v>392</v>
      </c>
      <c r="D412" s="361" t="s">
        <v>2135</v>
      </c>
      <c r="E412" s="93"/>
      <c r="F412" s="93"/>
      <c r="G412" s="93"/>
      <c r="H412" s="76"/>
      <c r="I412" s="76"/>
      <c r="J412" s="76"/>
      <c r="K412" s="112"/>
    </row>
    <row r="413" spans="3:11" ht="18.75">
      <c r="C413" s="210" t="str">
        <f>IFERROR(VLOOKUP(D412,'1. Desarrollo e Innov. Curricu.'!$E:$F,2,FALSE),IFERROR(VLOOKUP(D412,'2. Investigación Científica'!$E:$F,2,FALSE),IFERROR(VLOOKUP(D412,'3. Vinculación Univ. Sociedad'!$E:$F,2,FALSE),IFERROR(VLOOKUP(D412,'4. Docencia y Profesorado Univ.'!$E:$F,2,FALSE),IFERROR(VLOOKUP(D412,'5. Estudiantes y Graduados'!$E:$F,2,FALSE),IFERROR(VLOOKUP(D412,'11. Gestion Administrativa'!$E:$F,2,FALSE),IFERROR(VLOOKUP(D412,'13. Gestión Académica'!$E:$F,2,FALSE),IFERROR(VLOOKUP(D412,'8. Asegura. de la Calid. y M'!$E:$F,2,FALSE),IFERROR(VLOOKUP(D412,'6. Gestión del Conocimiento'!$E:$F,2,FALSE),IFERROR(VLOOKUP(D412,'15. Gobernabilidad y Proceso...'!$E:$F,2,FALSE),IFERROR(VLOOKUP(D412,'12. Gestión del Talento Humano'!$E:$F,2,FALSE),IFERROR(VLOOKUP(D412,'14. Internacional... de la E.S.'!$E:$F,2,FALSE),IFERROR(VLOOKUP(D412,'10. Posgrado'!$E:$F,2,FALSE),IFERROR(VLOOKUP(D412,'17. Gestión TIC'!$E:$F,2,FALSE),IFERROR(VLOOKUP(D412,'16. Desa. del Sistema Educ.Sup.'!$E:$F,2,FALSE),IFERROR(VLOOKUP(D412,'9. Cultura de Inno. Insti...'!$E:$F,2,FALSE),VLOOKUP(D412,'7. Lo Esencial de la Reforma U.'!$E:$F,2,0)))))))))))))))))</f>
        <v>Consurso de Poesia, pintura y dibujo</v>
      </c>
      <c r="D413" s="31"/>
      <c r="E413" s="93"/>
      <c r="F413" s="93"/>
      <c r="G413" s="93"/>
      <c r="H413" s="76"/>
      <c r="I413" s="76"/>
      <c r="J413" s="76"/>
      <c r="K413" s="112"/>
    </row>
    <row r="414" spans="3:11" ht="15.75" thickBot="1">
      <c r="F414" s="93"/>
      <c r="G414" s="76"/>
      <c r="H414" s="76"/>
      <c r="I414" s="76"/>
    </row>
    <row r="415" spans="3:11" ht="30.75" thickBot="1">
      <c r="C415" s="129" t="s">
        <v>44</v>
      </c>
      <c r="D415" s="129" t="s">
        <v>55</v>
      </c>
      <c r="E415" s="136" t="s">
        <v>57</v>
      </c>
      <c r="F415" s="135" t="s">
        <v>27</v>
      </c>
      <c r="G415" s="133" t="s">
        <v>131</v>
      </c>
      <c r="H415" s="136" t="s">
        <v>46</v>
      </c>
      <c r="I415" s="133" t="s">
        <v>132</v>
      </c>
      <c r="J415" s="133" t="s">
        <v>410</v>
      </c>
      <c r="K415" s="133" t="s">
        <v>411</v>
      </c>
    </row>
    <row r="416" spans="3:11">
      <c r="C416" s="220" t="s">
        <v>439</v>
      </c>
      <c r="D416" s="221"/>
      <c r="E416" s="219">
        <f>HLOOKUP(C416,$AH$2:$BU$3,2,0)</f>
        <v>620</v>
      </c>
      <c r="F416" s="97">
        <f t="shared" ref="F416:F417" si="35">D416*E416</f>
        <v>0</v>
      </c>
      <c r="G416" s="161"/>
      <c r="H416" s="142"/>
      <c r="I416" s="130" t="e">
        <f>VLOOKUP(H416,Presupuesto!$B$11:$C$565,2,0)</f>
        <v>#N/A</v>
      </c>
      <c r="J416" s="218" t="s">
        <v>1360</v>
      </c>
      <c r="K416" s="98" t="s">
        <v>394</v>
      </c>
    </row>
    <row r="417" spans="3:11">
      <c r="C417" s="141" t="s">
        <v>2139</v>
      </c>
      <c r="D417" s="158">
        <v>1</v>
      </c>
      <c r="E417" s="123">
        <v>3000</v>
      </c>
      <c r="F417" s="97">
        <f t="shared" si="35"/>
        <v>3000</v>
      </c>
      <c r="G417" s="161" t="s">
        <v>129</v>
      </c>
      <c r="H417" s="142" t="s">
        <v>743</v>
      </c>
      <c r="I417" s="130" t="str">
        <f>VLOOKUP(H417,Presupuesto!$B$11:$C$565,2,0)</f>
        <v>OTROS SERVICIOS COMERCIALES Y FINANCIEROS</v>
      </c>
      <c r="J417" s="98" t="str">
        <f>$J$416</f>
        <v>Estudiantes y Graduados</v>
      </c>
      <c r="K417" s="98" t="s">
        <v>412</v>
      </c>
    </row>
    <row r="419" spans="3:11" ht="15.75" thickBot="1">
      <c r="F419" s="90"/>
      <c r="G419" s="89"/>
      <c r="H419" s="90"/>
      <c r="I419" s="90"/>
    </row>
    <row r="420" spans="3:11" ht="15.75" thickBot="1">
      <c r="C420" s="157" t="s">
        <v>53</v>
      </c>
      <c r="D420" s="365">
        <f>SUM(F427:F428)</f>
        <v>1600</v>
      </c>
      <c r="F420" s="70"/>
      <c r="G420" s="79"/>
      <c r="H420" s="70"/>
      <c r="I420" s="70"/>
    </row>
    <row r="421" spans="3:11">
      <c r="C421" s="70"/>
      <c r="D421" s="31"/>
      <c r="E421" s="93"/>
      <c r="F421" s="93"/>
      <c r="G421" s="93"/>
      <c r="H421" s="76"/>
      <c r="I421" s="76"/>
      <c r="J421" s="76"/>
      <c r="K421" s="112"/>
    </row>
    <row r="422" spans="3:11">
      <c r="C422" s="70"/>
      <c r="D422" s="31"/>
      <c r="E422" s="93"/>
      <c r="F422" s="93"/>
      <c r="G422" s="93"/>
      <c r="H422" s="76"/>
      <c r="I422" s="76"/>
      <c r="J422" s="76"/>
      <c r="K422" s="112"/>
    </row>
    <row r="423" spans="3:11" ht="15.75">
      <c r="C423" s="202" t="s">
        <v>392</v>
      </c>
      <c r="D423" s="361" t="s">
        <v>2143</v>
      </c>
      <c r="E423" s="93"/>
      <c r="F423" s="93"/>
      <c r="G423" s="93"/>
      <c r="H423" s="76"/>
      <c r="I423" s="76"/>
      <c r="J423" s="76"/>
      <c r="K423" s="112"/>
    </row>
    <row r="424" spans="3:11" ht="18.75">
      <c r="C424" s="210" t="str">
        <f>IFERROR(VLOOKUP(D423,'1. Desarrollo e Innov. Curricu.'!$E:$F,2,FALSE),IFERROR(VLOOKUP(D423,'2. Investigación Científica'!$E:$F,2,FALSE),IFERROR(VLOOKUP(D423,'3. Vinculación Univ. Sociedad'!$E:$F,2,FALSE),IFERROR(VLOOKUP(D423,'4. Docencia y Profesorado Univ.'!$E:$F,2,FALSE),IFERROR(VLOOKUP(D423,'5. Estudiantes y Graduados'!$E:$F,2,FALSE),IFERROR(VLOOKUP(D423,'11. Gestion Administrativa'!$E:$F,2,FALSE),IFERROR(VLOOKUP(D423,'13. Gestión Académica'!$E:$F,2,FALSE),IFERROR(VLOOKUP(D423,'8. Asegura. de la Calid. y M'!$E:$F,2,FALSE),IFERROR(VLOOKUP(D423,'6. Gestión del Conocimiento'!$E:$F,2,FALSE),IFERROR(VLOOKUP(D423,'15. Gobernabilidad y Proceso...'!$E:$F,2,FALSE),IFERROR(VLOOKUP(D423,'12. Gestión del Talento Humano'!$E:$F,2,FALSE),IFERROR(VLOOKUP(D423,'14. Internacional... de la E.S.'!$E:$F,2,FALSE),IFERROR(VLOOKUP(D423,'10. Posgrado'!$E:$F,2,FALSE),IFERROR(VLOOKUP(D423,'17. Gestión TIC'!$E:$F,2,FALSE),IFERROR(VLOOKUP(D423,'16. Desa. del Sistema Educ.Sup.'!$E:$F,2,FALSE),IFERROR(VLOOKUP(D423,'9. Cultura de Inno. Insti...'!$E:$F,2,FALSE),VLOOKUP(D423,'7. Lo Esencial de la Reforma U.'!$E:$F,2,0)))))))))))))))))</f>
        <v xml:space="preserve">Premiación a la excelencia academica </v>
      </c>
      <c r="D424" s="31"/>
      <c r="E424" s="93"/>
      <c r="F424" s="93"/>
      <c r="G424" s="93"/>
      <c r="H424" s="76"/>
      <c r="I424" s="76"/>
      <c r="J424" s="76"/>
      <c r="K424" s="112"/>
    </row>
    <row r="425" spans="3:11" ht="15.75" thickBot="1">
      <c r="F425" s="93"/>
      <c r="G425" s="76"/>
      <c r="H425" s="76"/>
      <c r="I425" s="76"/>
    </row>
    <row r="426" spans="3:11" ht="30.75" thickBot="1">
      <c r="C426" s="129" t="s">
        <v>44</v>
      </c>
      <c r="D426" s="129" t="s">
        <v>55</v>
      </c>
      <c r="E426" s="136" t="s">
        <v>57</v>
      </c>
      <c r="F426" s="135" t="s">
        <v>27</v>
      </c>
      <c r="G426" s="133" t="s">
        <v>131</v>
      </c>
      <c r="H426" s="136" t="s">
        <v>46</v>
      </c>
      <c r="I426" s="133" t="s">
        <v>132</v>
      </c>
      <c r="J426" s="133" t="s">
        <v>410</v>
      </c>
      <c r="K426" s="133" t="s">
        <v>411</v>
      </c>
    </row>
    <row r="427" spans="3:11">
      <c r="C427" s="220" t="s">
        <v>439</v>
      </c>
      <c r="D427" s="221"/>
      <c r="E427" s="219">
        <f>HLOOKUP(C427,$AH$2:$BU$3,2,0)</f>
        <v>620</v>
      </c>
      <c r="F427" s="97">
        <f t="shared" ref="F427:F428" si="36">D427*E427</f>
        <v>0</v>
      </c>
      <c r="G427" s="161"/>
      <c r="H427" s="142"/>
      <c r="I427" s="130" t="e">
        <f>VLOOKUP(H427,Presupuesto!$B$11:$C$565,2,0)</f>
        <v>#N/A</v>
      </c>
      <c r="J427" s="218" t="s">
        <v>1456</v>
      </c>
      <c r="K427" s="98" t="s">
        <v>394</v>
      </c>
    </row>
    <row r="428" spans="3:11">
      <c r="C428" s="141" t="s">
        <v>2107</v>
      </c>
      <c r="D428" s="158">
        <v>40</v>
      </c>
      <c r="E428" s="123">
        <v>40</v>
      </c>
      <c r="F428" s="97">
        <f t="shared" si="36"/>
        <v>1600</v>
      </c>
      <c r="G428" s="161" t="s">
        <v>129</v>
      </c>
      <c r="H428" s="98" t="s">
        <v>792</v>
      </c>
      <c r="I428" s="130" t="str">
        <f>VLOOKUP(H428,Presupuesto!$B$11:$C$565,2,0)</f>
        <v>ALIMENTOS B EBIDAS PARA PERSONAS</v>
      </c>
      <c r="J428" s="98" t="str">
        <f>$J$427</f>
        <v>Desarrollo del Sistema de Educación Superior</v>
      </c>
      <c r="K428" s="98" t="s">
        <v>412</v>
      </c>
    </row>
    <row r="430" spans="3:11" ht="15.75" thickBot="1"/>
    <row r="431" spans="3:11" ht="15.75" thickBot="1">
      <c r="C431" s="624" t="s">
        <v>53</v>
      </c>
      <c r="D431" s="365">
        <f>SUM(F438:F456)</f>
        <v>33775</v>
      </c>
      <c r="E431" s="606"/>
      <c r="F431" s="603"/>
      <c r="G431" s="605"/>
      <c r="H431" s="603"/>
      <c r="I431" s="603"/>
      <c r="J431" s="606"/>
      <c r="K431" s="606"/>
    </row>
    <row r="432" spans="3:11">
      <c r="C432" s="603"/>
      <c r="D432" s="601"/>
      <c r="E432" s="607"/>
      <c r="F432" s="607"/>
      <c r="G432" s="607"/>
      <c r="H432" s="604"/>
      <c r="I432" s="604"/>
      <c r="J432" s="604"/>
      <c r="K432" s="613"/>
    </row>
    <row r="433" spans="3:11">
      <c r="C433" s="603"/>
      <c r="D433" s="601"/>
      <c r="E433" s="607"/>
      <c r="F433" s="607"/>
      <c r="G433" s="607"/>
      <c r="H433" s="604"/>
      <c r="I433" s="604"/>
      <c r="J433" s="604"/>
      <c r="K433" s="613"/>
    </row>
    <row r="434" spans="3:11" ht="15.75">
      <c r="C434" s="630" t="s">
        <v>392</v>
      </c>
      <c r="D434" s="361" t="s">
        <v>2145</v>
      </c>
      <c r="E434" s="607"/>
      <c r="F434" s="607"/>
      <c r="G434" s="607"/>
      <c r="H434" s="604"/>
      <c r="I434" s="604"/>
      <c r="J434" s="604"/>
      <c r="K434" s="613"/>
    </row>
    <row r="435" spans="3:11" ht="18.75">
      <c r="C435" s="631" t="str">
        <f>IFERROR(VLOOKUP(D434,'1. Desarrollo e Innov. Curricu.'!$E:$F,2,FALSE),IFERROR(VLOOKUP(D434,'2. Investigación Científica'!$E:$F,2,FALSE),IFERROR(VLOOKUP(D434,'3. Vinculación Univ. Sociedad'!$E:$F,2,FALSE),IFERROR(VLOOKUP(D434,'4. Docencia y Profesorado Univ.'!$E:$F,2,FALSE),IFERROR(VLOOKUP(D434,'5. Estudiantes y Graduados'!$E:$F,2,FALSE),IFERROR(VLOOKUP(D434,'11. Gestion Administrativa'!$E:$F,2,FALSE),IFERROR(VLOOKUP(D434,'13. Gestión Académica'!$E:$F,2,FALSE),IFERROR(VLOOKUP(D434,'8. Asegura. de la Calid. y M'!$E:$F,2,FALSE),IFERROR(VLOOKUP(D434,'6. Gestión del Conocimiento'!$E:$F,2,FALSE),IFERROR(VLOOKUP(D434,'15. Gobernabilidad y Proceso...'!$E:$F,2,FALSE),IFERROR(VLOOKUP(D434,'12. Gestión del Talento Humano'!$E:$F,2,FALSE),IFERROR(VLOOKUP(D434,'14. Internacional... de la E.S.'!$E:$F,2,FALSE),IFERROR(VLOOKUP(D434,'10. Posgrado'!$E:$F,2,FALSE),IFERROR(VLOOKUP(D434,'17. Gestión TIC'!$E:$F,2,FALSE),IFERROR(VLOOKUP(D434,'16. Desa. del Sistema Educ.Sup.'!$E:$F,2,FALSE),IFERROR(VLOOKUP(D434,'9. Cultura de Inno. Insti...'!$E:$F,2,FALSE),VLOOKUP(D434,'7. Lo Esencial de la Reforma U.'!$E:$F,2,0)))))))))))))))))</f>
        <v>cuarta expoventa agroindustrial 2016, participacion del equipo docente de agroindustria, venta de productos, expocisiones, gastronomia regional.</v>
      </c>
      <c r="D435" s="601"/>
      <c r="E435" s="607"/>
      <c r="F435" s="607"/>
      <c r="G435" s="607"/>
      <c r="H435" s="604"/>
      <c r="I435" s="604"/>
      <c r="J435" s="604"/>
      <c r="K435" s="613"/>
    </row>
    <row r="436" spans="3:11" ht="15.75" thickBot="1">
      <c r="C436" s="606"/>
      <c r="D436" s="606"/>
      <c r="E436" s="606"/>
      <c r="F436" s="607"/>
      <c r="G436" s="604"/>
      <c r="H436" s="604"/>
      <c r="I436" s="604"/>
      <c r="J436" s="606"/>
      <c r="K436" s="606"/>
    </row>
    <row r="437" spans="3:11" ht="30.75" thickBot="1">
      <c r="C437" s="616" t="s">
        <v>44</v>
      </c>
      <c r="D437" s="616" t="s">
        <v>55</v>
      </c>
      <c r="E437" s="620" t="s">
        <v>57</v>
      </c>
      <c r="F437" s="619" t="s">
        <v>27</v>
      </c>
      <c r="G437" s="618" t="s">
        <v>131</v>
      </c>
      <c r="H437" s="620" t="s">
        <v>46</v>
      </c>
      <c r="I437" s="618" t="s">
        <v>132</v>
      </c>
      <c r="J437" s="618" t="s">
        <v>410</v>
      </c>
      <c r="K437" s="618" t="s">
        <v>411</v>
      </c>
    </row>
    <row r="438" spans="3:11">
      <c r="C438" s="634" t="s">
        <v>439</v>
      </c>
      <c r="D438" s="635"/>
      <c r="E438" s="633">
        <f>HLOOKUP(C438,$AH$2:$BU$3,2,0)</f>
        <v>620</v>
      </c>
      <c r="F438" s="608">
        <f t="shared" ref="F438:F442" si="37">D438*E438</f>
        <v>0</v>
      </c>
      <c r="G438" s="626"/>
      <c r="H438" s="622"/>
      <c r="I438" s="617" t="e">
        <f>VLOOKUP(H438,Presupuesto!$B$11:$C$565,2,0)</f>
        <v>#N/A</v>
      </c>
      <c r="J438" s="632" t="s">
        <v>471</v>
      </c>
      <c r="K438" s="609" t="s">
        <v>394</v>
      </c>
    </row>
    <row r="439" spans="3:11">
      <c r="C439" s="647" t="s">
        <v>1627</v>
      </c>
      <c r="D439" s="586">
        <v>1</v>
      </c>
      <c r="E439" s="587">
        <v>1800</v>
      </c>
      <c r="F439" s="608">
        <f t="shared" si="37"/>
        <v>1800</v>
      </c>
      <c r="G439" s="626" t="s">
        <v>129</v>
      </c>
      <c r="H439" s="622" t="s">
        <v>661</v>
      </c>
      <c r="I439" s="617" t="str">
        <f>VLOOKUP(H439,Presupuesto!$B$11:$C$565,2,0)</f>
        <v>OTROS ALQUILERES</v>
      </c>
      <c r="J439" s="609" t="s">
        <v>471</v>
      </c>
      <c r="K439" s="609" t="s">
        <v>412</v>
      </c>
    </row>
    <row r="440" spans="3:11">
      <c r="C440" s="647" t="s">
        <v>1628</v>
      </c>
      <c r="D440" s="586">
        <v>1</v>
      </c>
      <c r="E440" s="587">
        <v>6000</v>
      </c>
      <c r="F440" s="608">
        <f t="shared" si="37"/>
        <v>6000</v>
      </c>
      <c r="G440" s="626" t="s">
        <v>129</v>
      </c>
      <c r="H440" s="622" t="s">
        <v>661</v>
      </c>
      <c r="I440" s="617" t="str">
        <f>VLOOKUP(H440,Presupuesto!$B$11:$C$565,2,0)</f>
        <v>OTROS ALQUILERES</v>
      </c>
      <c r="J440" s="609" t="s">
        <v>471</v>
      </c>
      <c r="K440" s="609" t="s">
        <v>412</v>
      </c>
    </row>
    <row r="441" spans="3:11">
      <c r="C441" s="647" t="s">
        <v>2107</v>
      </c>
      <c r="D441" s="586">
        <v>50</v>
      </c>
      <c r="E441" s="587">
        <v>30</v>
      </c>
      <c r="F441" s="608">
        <f t="shared" si="37"/>
        <v>1500</v>
      </c>
      <c r="G441" s="626" t="s">
        <v>129</v>
      </c>
      <c r="H441" s="609" t="s">
        <v>792</v>
      </c>
      <c r="I441" s="617" t="str">
        <f>VLOOKUP(H441,Presupuesto!$B$11:$C$565,2,0)</f>
        <v>ALIMENTOS B EBIDAS PARA PERSONAS</v>
      </c>
      <c r="J441" s="609" t="s">
        <v>471</v>
      </c>
      <c r="K441" s="609" t="s">
        <v>412</v>
      </c>
    </row>
    <row r="442" spans="3:11">
      <c r="C442" s="647" t="s">
        <v>2070</v>
      </c>
      <c r="D442" s="586">
        <v>1</v>
      </c>
      <c r="E442" s="587">
        <v>3000</v>
      </c>
      <c r="F442" s="608">
        <f t="shared" si="37"/>
        <v>3000</v>
      </c>
      <c r="G442" s="626" t="s">
        <v>129</v>
      </c>
      <c r="H442" s="622" t="s">
        <v>871</v>
      </c>
      <c r="I442" s="617" t="str">
        <f>VLOOKUP(H442,Presupuesto!$B$11:$C$565,2,0)</f>
        <v>GASOLINA</v>
      </c>
      <c r="J442" s="609" t="s">
        <v>471</v>
      </c>
      <c r="K442" s="609" t="s">
        <v>412</v>
      </c>
    </row>
    <row r="444" spans="3:11" ht="15.75" thickBot="1"/>
    <row r="445" spans="3:11" ht="15.75" thickBot="1">
      <c r="C445" s="624" t="s">
        <v>53</v>
      </c>
      <c r="D445" s="365">
        <f>SUM(F452:F467)</f>
        <v>34075</v>
      </c>
      <c r="E445" s="606"/>
      <c r="F445" s="603"/>
      <c r="G445" s="605"/>
      <c r="H445" s="603"/>
      <c r="I445" s="603"/>
      <c r="J445" s="606"/>
      <c r="K445" s="606"/>
    </row>
    <row r="446" spans="3:11">
      <c r="C446" s="603"/>
      <c r="D446" s="601"/>
      <c r="E446" s="607"/>
      <c r="F446" s="607"/>
      <c r="G446" s="607"/>
      <c r="H446" s="604"/>
      <c r="I446" s="604"/>
      <c r="J446" s="604"/>
      <c r="K446" s="613"/>
    </row>
    <row r="447" spans="3:11">
      <c r="C447" s="603"/>
      <c r="D447" s="601"/>
      <c r="E447" s="607"/>
      <c r="F447" s="607"/>
      <c r="G447" s="607"/>
      <c r="H447" s="604"/>
      <c r="I447" s="604"/>
      <c r="J447" s="604"/>
      <c r="K447" s="613"/>
    </row>
    <row r="448" spans="3:11" ht="15.75">
      <c r="C448" s="630" t="s">
        <v>392</v>
      </c>
      <c r="D448" s="361" t="s">
        <v>2152</v>
      </c>
      <c r="E448" s="607"/>
      <c r="F448" s="607"/>
      <c r="G448" s="607"/>
      <c r="H448" s="604"/>
      <c r="I448" s="604"/>
      <c r="J448" s="604"/>
      <c r="K448" s="613"/>
    </row>
    <row r="449" spans="3:11" ht="18.75">
      <c r="C449" s="631" t="str">
        <f>IFERROR(VLOOKUP(D448,'1. Desarrollo e Innov. Curricu.'!$E:$F,2,FALSE),IFERROR(VLOOKUP(D448,'2. Investigación Científica'!$E:$F,2,FALSE),IFERROR(VLOOKUP(D448,'3. Vinculación Univ. Sociedad'!$E:$F,2,FALSE),IFERROR(VLOOKUP(D448,'4. Docencia y Profesorado Univ.'!$E:$F,2,FALSE),IFERROR(VLOOKUP(D448,'5. Estudiantes y Graduados'!$E:$F,2,FALSE),IFERROR(VLOOKUP(D448,'11. Gestion Administrativa'!$E:$F,2,FALSE),IFERROR(VLOOKUP(D448,'13. Gestión Académica'!$E:$F,2,FALSE),IFERROR(VLOOKUP(D448,'8. Asegura. de la Calid. y M'!$E:$F,2,FALSE),IFERROR(VLOOKUP(D448,'6. Gestión del Conocimiento'!$E:$F,2,FALSE),IFERROR(VLOOKUP(D448,'15. Gobernabilidad y Proceso...'!$E:$F,2,FALSE),IFERROR(VLOOKUP(D448,'12. Gestión del Talento Humano'!$E:$F,2,FALSE),IFERROR(VLOOKUP(D448,'14. Internacional... de la E.S.'!$E:$F,2,FALSE),IFERROR(VLOOKUP(D448,'10. Posgrado'!$E:$F,2,FALSE),IFERROR(VLOOKUP(D448,'17. Gestión TIC'!$E:$F,2,FALSE),IFERROR(VLOOKUP(D448,'16. Desa. del Sistema Educ.Sup.'!$E:$F,2,FALSE),IFERROR(VLOOKUP(D448,'9. Cultura de Inno. Insti...'!$E:$F,2,FALSE),VLOOKUP(D448,'7. Lo Esencial de la Reforma U.'!$E:$F,2,0)))))))))))))))))</f>
        <v>Cuarto Congreso regional de Ingenieria Agroindustrial</v>
      </c>
      <c r="D449" s="601"/>
      <c r="E449" s="607"/>
      <c r="F449" s="607"/>
      <c r="G449" s="607"/>
      <c r="H449" s="604"/>
      <c r="I449" s="604"/>
      <c r="J449" s="604"/>
      <c r="K449" s="613"/>
    </row>
    <row r="450" spans="3:11" ht="15.75" thickBot="1">
      <c r="C450" s="606"/>
      <c r="D450" s="606"/>
      <c r="E450" s="606"/>
      <c r="F450" s="607"/>
      <c r="G450" s="604"/>
      <c r="H450" s="604"/>
      <c r="I450" s="604"/>
      <c r="J450" s="606"/>
      <c r="K450" s="606"/>
    </row>
    <row r="451" spans="3:11" ht="30.75" thickBot="1">
      <c r="C451" s="616" t="s">
        <v>44</v>
      </c>
      <c r="D451" s="616" t="s">
        <v>55</v>
      </c>
      <c r="E451" s="620" t="s">
        <v>57</v>
      </c>
      <c r="F451" s="619" t="s">
        <v>27</v>
      </c>
      <c r="G451" s="618" t="s">
        <v>131</v>
      </c>
      <c r="H451" s="620" t="s">
        <v>46</v>
      </c>
      <c r="I451" s="618" t="s">
        <v>132</v>
      </c>
      <c r="J451" s="618" t="s">
        <v>410</v>
      </c>
      <c r="K451" s="618" t="s">
        <v>411</v>
      </c>
    </row>
    <row r="452" spans="3:11">
      <c r="C452" s="634" t="s">
        <v>430</v>
      </c>
      <c r="D452" s="635">
        <f>1.5*3</f>
        <v>4.5</v>
      </c>
      <c r="E452" s="633">
        <f>HLOOKUP(C452,$AH$2:$BU$3,2,0)</f>
        <v>1150</v>
      </c>
      <c r="F452" s="608">
        <f t="shared" ref="F452:F456" si="38">D452*E452</f>
        <v>5175</v>
      </c>
      <c r="G452" s="626"/>
      <c r="H452" s="622"/>
      <c r="I452" s="617" t="e">
        <f>VLOOKUP(H452,Presupuesto!$B$11:$C$565,2,0)</f>
        <v>#N/A</v>
      </c>
      <c r="J452" s="632" t="s">
        <v>1359</v>
      </c>
      <c r="K452" s="609" t="s">
        <v>394</v>
      </c>
    </row>
    <row r="453" spans="3:11">
      <c r="C453" s="647" t="s">
        <v>1628</v>
      </c>
      <c r="D453" s="586">
        <v>1</v>
      </c>
      <c r="E453" s="587">
        <v>7000</v>
      </c>
      <c r="F453" s="608">
        <f t="shared" si="38"/>
        <v>7000</v>
      </c>
      <c r="G453" s="626" t="s">
        <v>129</v>
      </c>
      <c r="H453" s="622" t="s">
        <v>661</v>
      </c>
      <c r="I453" s="617" t="str">
        <f>VLOOKUP(H453,Presupuesto!$B$11:$C$565,2,0)</f>
        <v>OTROS ALQUILERES</v>
      </c>
      <c r="J453" s="609" t="s">
        <v>1359</v>
      </c>
      <c r="K453" s="609" t="s">
        <v>412</v>
      </c>
    </row>
    <row r="454" spans="3:11">
      <c r="C454" s="647" t="s">
        <v>1627</v>
      </c>
      <c r="D454" s="586">
        <v>3</v>
      </c>
      <c r="E454" s="587">
        <v>1500</v>
      </c>
      <c r="F454" s="608">
        <f t="shared" si="38"/>
        <v>4500</v>
      </c>
      <c r="G454" s="626" t="s">
        <v>129</v>
      </c>
      <c r="H454" s="622" t="s">
        <v>661</v>
      </c>
      <c r="I454" s="617" t="str">
        <f>VLOOKUP(H454,Presupuesto!$B$11:$C$565,2,0)</f>
        <v>OTROS ALQUILERES</v>
      </c>
      <c r="J454" s="609" t="s">
        <v>1359</v>
      </c>
      <c r="K454" s="609" t="s">
        <v>412</v>
      </c>
    </row>
    <row r="455" spans="3:11">
      <c r="C455" s="647" t="s">
        <v>2070</v>
      </c>
      <c r="D455" s="586">
        <v>3</v>
      </c>
      <c r="E455" s="587">
        <v>1000</v>
      </c>
      <c r="F455" s="608">
        <f t="shared" si="38"/>
        <v>3000</v>
      </c>
      <c r="G455" s="626" t="s">
        <v>129</v>
      </c>
      <c r="H455" s="622" t="s">
        <v>871</v>
      </c>
      <c r="I455" s="617" t="str">
        <f>VLOOKUP(H455,Presupuesto!$B$11:$C$565,2,0)</f>
        <v>GASOLINA</v>
      </c>
      <c r="J455" s="609" t="s">
        <v>1359</v>
      </c>
      <c r="K455" s="609" t="s">
        <v>412</v>
      </c>
    </row>
    <row r="456" spans="3:11">
      <c r="C456" s="647" t="s">
        <v>1626</v>
      </c>
      <c r="D456" s="586">
        <v>120</v>
      </c>
      <c r="E456" s="587">
        <v>15</v>
      </c>
      <c r="F456" s="608">
        <f t="shared" si="38"/>
        <v>1800</v>
      </c>
      <c r="G456" s="626" t="s">
        <v>129</v>
      </c>
      <c r="H456" s="609" t="s">
        <v>717</v>
      </c>
      <c r="I456" s="617" t="str">
        <f>VLOOKUP(H456,Presupuesto!$B$11:$C$565,2,0)</f>
        <v>SERVICIOS DE IMPRENTA PUBLIC.Y REPRODUCCION</v>
      </c>
      <c r="J456" s="609" t="s">
        <v>1359</v>
      </c>
      <c r="K456" s="609" t="s">
        <v>412</v>
      </c>
    </row>
    <row r="458" spans="3:11" ht="15.75" thickBot="1"/>
    <row r="459" spans="3:11" ht="15.75" thickBot="1">
      <c r="C459" s="624" t="s">
        <v>53</v>
      </c>
      <c r="D459" s="365">
        <f>SUM(F466:F479)</f>
        <v>42861.487000000001</v>
      </c>
      <c r="E459" s="606"/>
      <c r="F459" s="603"/>
      <c r="G459" s="605"/>
      <c r="H459" s="603"/>
      <c r="I459" s="603"/>
      <c r="J459" s="606"/>
      <c r="K459" s="606"/>
    </row>
    <row r="460" spans="3:11">
      <c r="C460" s="603"/>
      <c r="D460" s="601"/>
      <c r="E460" s="607"/>
      <c r="F460" s="607"/>
      <c r="G460" s="607"/>
      <c r="H460" s="604"/>
      <c r="I460" s="604"/>
      <c r="J460" s="604"/>
      <c r="K460" s="613"/>
    </row>
    <row r="461" spans="3:11">
      <c r="C461" s="603"/>
      <c r="D461" s="601"/>
      <c r="E461" s="607"/>
      <c r="F461" s="607"/>
      <c r="G461" s="607"/>
      <c r="H461" s="604"/>
      <c r="I461" s="604"/>
      <c r="J461" s="604"/>
      <c r="K461" s="613"/>
    </row>
    <row r="462" spans="3:11" ht="15.75">
      <c r="C462" s="630" t="s">
        <v>392</v>
      </c>
      <c r="D462" s="361" t="s">
        <v>2188</v>
      </c>
      <c r="E462" s="607"/>
      <c r="F462" s="607"/>
      <c r="G462" s="607"/>
      <c r="H462" s="604"/>
      <c r="I462" s="604"/>
      <c r="J462" s="604"/>
      <c r="K462" s="613"/>
    </row>
    <row r="463" spans="3:11" ht="18.75">
      <c r="C463" s="631" t="str">
        <f>IFERROR(VLOOKUP(D462,'1. Desarrollo e Innov. Curricu.'!$E:$F,2,FALSE),IFERROR(VLOOKUP(D462,'2. Investigación Científica'!$E:$F,2,FALSE),IFERROR(VLOOKUP(D462,'3. Vinculación Univ. Sociedad'!$E:$F,2,FALSE),IFERROR(VLOOKUP(D462,'4. Docencia y Profesorado Univ.'!$E:$F,2,FALSE),IFERROR(VLOOKUP(D462,'5. Estudiantes y Graduados'!$E:$F,2,FALSE),IFERROR(VLOOKUP(D462,'11. Gestion Administrativa'!$E:$F,2,FALSE),IFERROR(VLOOKUP(D462,'13. Gestión Académica'!$E:$F,2,FALSE),IFERROR(VLOOKUP(D462,'8. Asegura. de la Calid. y M'!$E:$F,2,FALSE),IFERROR(VLOOKUP(D462,'6. Gestión del Conocimiento'!$E:$F,2,FALSE),IFERROR(VLOOKUP(D462,'15. Gobernabilidad y Proceso...'!$E:$F,2,FALSE),IFERROR(VLOOKUP(D462,'12. Gestión del Talento Humano'!$E:$F,2,FALSE),IFERROR(VLOOKUP(D462,'14. Internacional... de la E.S.'!$E:$F,2,FALSE),IFERROR(VLOOKUP(D462,'10. Posgrado'!$E:$F,2,FALSE),IFERROR(VLOOKUP(D462,'17. Gestión TIC'!$E:$F,2,FALSE),IFERROR(VLOOKUP(D462,'16. Desa. del Sistema Educ.Sup.'!$E:$F,2,FALSE),IFERROR(VLOOKUP(D462,'9. Cultura de Inno. Insti...'!$E:$F,2,FALSE),VLOOKUP(D462,'7. Lo Esencial de la Reforma U.'!$E:$F,2,0)))))))))))))))))</f>
        <v>Intercambio, juntas, reuniones con la VRI para fortalecimiento de la internacionalizacion de UNAH-TEC-DANLI.</v>
      </c>
      <c r="D463" s="601"/>
      <c r="E463" s="607"/>
      <c r="F463" s="607"/>
      <c r="G463" s="607"/>
      <c r="H463" s="604"/>
      <c r="I463" s="604"/>
      <c r="J463" s="604"/>
      <c r="K463" s="613"/>
    </row>
    <row r="464" spans="3:11" ht="15.75" thickBot="1">
      <c r="C464" s="606"/>
      <c r="D464" s="606"/>
      <c r="E464" s="606"/>
      <c r="F464" s="607"/>
      <c r="G464" s="604"/>
      <c r="H464" s="604"/>
      <c r="I464" s="604"/>
      <c r="J464" s="606"/>
      <c r="K464" s="606"/>
    </row>
    <row r="465" spans="3:11" ht="30.75" thickBot="1">
      <c r="C465" s="616" t="s">
        <v>44</v>
      </c>
      <c r="D465" s="616" t="s">
        <v>55</v>
      </c>
      <c r="E465" s="620" t="s">
        <v>57</v>
      </c>
      <c r="F465" s="619" t="s">
        <v>27</v>
      </c>
      <c r="G465" s="618" t="s">
        <v>131</v>
      </c>
      <c r="H465" s="620" t="s">
        <v>46</v>
      </c>
      <c r="I465" s="618" t="s">
        <v>132</v>
      </c>
      <c r="J465" s="618" t="s">
        <v>410</v>
      </c>
      <c r="K465" s="618" t="s">
        <v>411</v>
      </c>
    </row>
    <row r="466" spans="3:11">
      <c r="C466" s="634" t="s">
        <v>428</v>
      </c>
      <c r="D466" s="635">
        <f>0.75*6</f>
        <v>4.5</v>
      </c>
      <c r="E466" s="633">
        <f>HLOOKUP(C466,$AH$2:$BU$3,2,0)</f>
        <v>2000</v>
      </c>
      <c r="F466" s="608">
        <f t="shared" ref="F466:F467" si="39">D466*E466</f>
        <v>9000</v>
      </c>
      <c r="G466" s="626" t="s">
        <v>129</v>
      </c>
      <c r="H466" s="622" t="s">
        <v>301</v>
      </c>
      <c r="I466" s="617" t="str">
        <f>VLOOKUP(H466,Presupuesto!$B$11:$C$565,2,0)</f>
        <v>VIATICOS (26200-00)</v>
      </c>
      <c r="J466" s="632" t="s">
        <v>1367</v>
      </c>
      <c r="K466" s="609" t="s">
        <v>394</v>
      </c>
    </row>
    <row r="467" spans="3:11">
      <c r="C467" s="647" t="s">
        <v>2070</v>
      </c>
      <c r="D467" s="586">
        <v>6</v>
      </c>
      <c r="E467" s="587">
        <v>600</v>
      </c>
      <c r="F467" s="608">
        <f t="shared" si="39"/>
        <v>3600</v>
      </c>
      <c r="G467" s="626" t="s">
        <v>129</v>
      </c>
      <c r="H467" s="622" t="s">
        <v>871</v>
      </c>
      <c r="I467" s="617" t="str">
        <f>VLOOKUP(H467,Presupuesto!$B$11:$C$565,2,0)</f>
        <v>GASOLINA</v>
      </c>
      <c r="J467" s="609" t="s">
        <v>1367</v>
      </c>
      <c r="K467" s="609" t="s">
        <v>412</v>
      </c>
    </row>
    <row r="469" spans="3:11" ht="15.75" thickBot="1"/>
    <row r="470" spans="3:11" ht="15.75" thickBot="1">
      <c r="C470" s="624" t="s">
        <v>53</v>
      </c>
      <c r="D470" s="365">
        <f>SUM(F477:F491)</f>
        <v>53861.487000000001</v>
      </c>
      <c r="E470" s="606"/>
      <c r="F470" s="603"/>
      <c r="G470" s="605"/>
      <c r="H470" s="603"/>
      <c r="I470" s="603"/>
      <c r="J470" s="606"/>
      <c r="K470" s="606"/>
    </row>
    <row r="471" spans="3:11">
      <c r="C471" s="603"/>
      <c r="D471" s="601"/>
      <c r="E471" s="607"/>
      <c r="F471" s="607"/>
      <c r="G471" s="607"/>
      <c r="H471" s="604"/>
      <c r="I471" s="604"/>
      <c r="J471" s="604"/>
      <c r="K471" s="613"/>
    </row>
    <row r="472" spans="3:11">
      <c r="C472" s="603"/>
      <c r="D472" s="601"/>
      <c r="E472" s="607"/>
      <c r="F472" s="607"/>
      <c r="G472" s="607"/>
      <c r="H472" s="604"/>
      <c r="I472" s="604"/>
      <c r="J472" s="604"/>
      <c r="K472" s="613"/>
    </row>
    <row r="473" spans="3:11" ht="15.75">
      <c r="C473" s="630" t="s">
        <v>392</v>
      </c>
      <c r="D473" s="361" t="s">
        <v>2190</v>
      </c>
      <c r="E473" s="607"/>
      <c r="F473" s="607"/>
      <c r="G473" s="607"/>
      <c r="H473" s="604"/>
      <c r="I473" s="604"/>
      <c r="J473" s="604"/>
      <c r="K473" s="613"/>
    </row>
    <row r="474" spans="3:11" ht="18.75">
      <c r="C474" s="631" t="str">
        <f>IFERROR(VLOOKUP(D473,'1. Desarrollo e Innov. Curricu.'!$E:$F,2,FALSE),IFERROR(VLOOKUP(D473,'2. Investigación Científica'!$E:$F,2,FALSE),IFERROR(VLOOKUP(D473,'3. Vinculación Univ. Sociedad'!$E:$F,2,FALSE),IFERROR(VLOOKUP(D473,'4. Docencia y Profesorado Univ.'!$E:$F,2,FALSE),IFERROR(VLOOKUP(D473,'5. Estudiantes y Graduados'!$E:$F,2,FALSE),IFERROR(VLOOKUP(D473,'11. Gestion Administrativa'!$E:$F,2,FALSE),IFERROR(VLOOKUP(D473,'13. Gestión Académica'!$E:$F,2,FALSE),IFERROR(VLOOKUP(D473,'8. Asegura. de la Calid. y M'!$E:$F,2,FALSE),IFERROR(VLOOKUP(D473,'6. Gestión del Conocimiento'!$E:$F,2,FALSE),IFERROR(VLOOKUP(D473,'15. Gobernabilidad y Proceso...'!$E:$F,2,FALSE),IFERROR(VLOOKUP(D473,'12. Gestión del Talento Humano'!$E:$F,2,FALSE),IFERROR(VLOOKUP(D473,'14. Internacional... de la E.S.'!$E:$F,2,FALSE),IFERROR(VLOOKUP(D473,'10. Posgrado'!$E:$F,2,FALSE),IFERROR(VLOOKUP(D473,'17. Gestión TIC'!$E:$F,2,FALSE),IFERROR(VLOOKUP(D473,'16. Desa. del Sistema Educ.Sup.'!$E:$F,2,FALSE),IFERROR(VLOOKUP(D473,'9. Cultura de Inno. Insti...'!$E:$F,2,FALSE),VLOOKUP(D473,'7. Lo Esencial de la Reforma U.'!$E:$F,2,0)))))))))))))))))</f>
        <v xml:space="preserve">Gestionar capacitacion a docentes de la carrera de agroindustria en eventos nacionales e internacionales en el area </v>
      </c>
      <c r="D474" s="601"/>
      <c r="E474" s="607"/>
      <c r="F474" s="607"/>
      <c r="G474" s="607"/>
      <c r="H474" s="604"/>
      <c r="I474" s="604"/>
      <c r="J474" s="604"/>
      <c r="K474" s="613"/>
    </row>
    <row r="475" spans="3:11" ht="15.75" thickBot="1">
      <c r="C475" s="606"/>
      <c r="D475" s="606"/>
      <c r="E475" s="606"/>
      <c r="F475" s="607"/>
      <c r="G475" s="604"/>
      <c r="H475" s="604"/>
      <c r="I475" s="604"/>
      <c r="J475" s="606"/>
      <c r="K475" s="606"/>
    </row>
    <row r="476" spans="3:11" ht="30.75" thickBot="1">
      <c r="C476" s="616" t="s">
        <v>44</v>
      </c>
      <c r="D476" s="616" t="s">
        <v>55</v>
      </c>
      <c r="E476" s="620" t="s">
        <v>57</v>
      </c>
      <c r="F476" s="619" t="s">
        <v>27</v>
      </c>
      <c r="G476" s="618" t="s">
        <v>131</v>
      </c>
      <c r="H476" s="620" t="s">
        <v>46</v>
      </c>
      <c r="I476" s="618" t="s">
        <v>132</v>
      </c>
      <c r="J476" s="618" t="s">
        <v>410</v>
      </c>
      <c r="K476" s="618" t="s">
        <v>411</v>
      </c>
    </row>
    <row r="477" spans="3:11" ht="15.75" thickBot="1">
      <c r="C477" s="634" t="s">
        <v>428</v>
      </c>
      <c r="D477" s="635">
        <f>1.75*2</f>
        <v>3.5</v>
      </c>
      <c r="E477" s="633">
        <f>HLOOKUP(C477,$AH$2:$BU$3,2,0)</f>
        <v>2000</v>
      </c>
      <c r="F477" s="608">
        <f t="shared" ref="F477:F479" si="40">D477*E477</f>
        <v>7000</v>
      </c>
      <c r="G477" s="626" t="s">
        <v>129</v>
      </c>
      <c r="H477" s="622" t="s">
        <v>301</v>
      </c>
      <c r="I477" s="617" t="str">
        <f>VLOOKUP(H477,Presupuesto!$B$11:$C$565,2,0)</f>
        <v>VIATICOS (26200-00)</v>
      </c>
      <c r="J477" s="632" t="s">
        <v>1367</v>
      </c>
      <c r="K477" s="609" t="s">
        <v>394</v>
      </c>
    </row>
    <row r="478" spans="3:11">
      <c r="C478" s="634" t="s">
        <v>449</v>
      </c>
      <c r="D478" s="635">
        <v>5.5</v>
      </c>
      <c r="E478" s="633">
        <f>HLOOKUP(C478,$AH$2:$BU$3,2,0)</f>
        <v>3956.634</v>
      </c>
      <c r="F478" s="608">
        <f t="shared" si="40"/>
        <v>21761.487000000001</v>
      </c>
      <c r="G478" s="626" t="s">
        <v>1486</v>
      </c>
      <c r="H478" s="622" t="s">
        <v>301</v>
      </c>
      <c r="I478" s="617" t="str">
        <f>VLOOKUP(H478,Presupuesto!$B$11:$C$565,2,0)</f>
        <v>VIATICOS (26200-00)</v>
      </c>
      <c r="J478" s="632" t="s">
        <v>1367</v>
      </c>
      <c r="K478" s="609" t="s">
        <v>412</v>
      </c>
    </row>
    <row r="479" spans="3:11">
      <c r="C479" s="647" t="s">
        <v>2070</v>
      </c>
      <c r="D479" s="586">
        <v>1</v>
      </c>
      <c r="E479" s="587">
        <v>1500</v>
      </c>
      <c r="F479" s="608">
        <f t="shared" si="40"/>
        <v>1500</v>
      </c>
      <c r="G479" s="626" t="s">
        <v>129</v>
      </c>
      <c r="H479" s="622" t="s">
        <v>871</v>
      </c>
      <c r="I479" s="617" t="str">
        <f>VLOOKUP(H479,Presupuesto!$B$11:$C$565,2,0)</f>
        <v>GASOLINA</v>
      </c>
      <c r="J479" s="632" t="s">
        <v>1367</v>
      </c>
      <c r="K479" s="609" t="s">
        <v>412</v>
      </c>
    </row>
    <row r="480" spans="3:11">
      <c r="C480" s="647" t="s">
        <v>2199</v>
      </c>
      <c r="D480" s="586">
        <v>1</v>
      </c>
      <c r="E480" s="587">
        <v>17600</v>
      </c>
      <c r="F480" s="608">
        <f t="shared" ref="F480" si="41">D480*E480</f>
        <v>17600</v>
      </c>
      <c r="G480" s="626" t="s">
        <v>1486</v>
      </c>
      <c r="H480" s="622" t="s">
        <v>871</v>
      </c>
      <c r="I480" s="617" t="str">
        <f>VLOOKUP(H480,Presupuesto!$B$11:$C$565,2,0)</f>
        <v>GASOLINA</v>
      </c>
      <c r="J480" s="632" t="s">
        <v>1367</v>
      </c>
      <c r="K480" s="609" t="s">
        <v>412</v>
      </c>
    </row>
    <row r="482" spans="3:11" ht="15.75" thickBot="1"/>
    <row r="483" spans="3:11" ht="15.75" thickBot="1">
      <c r="C483" s="624" t="s">
        <v>53</v>
      </c>
      <c r="D483" s="365">
        <f>SUM(F490:F549)</f>
        <v>3345535.4503017464</v>
      </c>
      <c r="E483" s="606"/>
      <c r="F483" s="603"/>
      <c r="G483" s="605"/>
      <c r="H483" s="603"/>
      <c r="I483" s="603"/>
      <c r="J483" s="606"/>
      <c r="K483" s="606"/>
    </row>
    <row r="484" spans="3:11">
      <c r="C484" s="603"/>
      <c r="D484" s="601"/>
      <c r="E484" s="607"/>
      <c r="F484" s="607"/>
      <c r="G484" s="607"/>
      <c r="H484" s="604"/>
      <c r="I484" s="604"/>
      <c r="J484" s="604"/>
      <c r="K484" s="613"/>
    </row>
    <row r="485" spans="3:11">
      <c r="C485" s="603"/>
      <c r="D485" s="601"/>
      <c r="E485" s="607"/>
      <c r="F485" s="607"/>
      <c r="G485" s="607"/>
      <c r="H485" s="604"/>
      <c r="I485" s="604"/>
      <c r="J485" s="604"/>
      <c r="K485" s="613"/>
    </row>
    <row r="486" spans="3:11" ht="15.75">
      <c r="C486" s="630" t="s">
        <v>392</v>
      </c>
      <c r="D486" s="361" t="s">
        <v>2202</v>
      </c>
      <c r="E486" s="607"/>
      <c r="F486" s="607"/>
      <c r="G486" s="607"/>
      <c r="H486" s="604"/>
      <c r="I486" s="604"/>
      <c r="J486" s="604"/>
      <c r="K486" s="613"/>
    </row>
    <row r="487" spans="3:11" ht="18.75">
      <c r="C487" s="631" t="str">
        <f>IFERROR(VLOOKUP(D486,'1. Desarrollo e Innov. Curricu.'!$E:$F,2,FALSE),IFERROR(VLOOKUP(D486,'2. Investigación Científica'!$E:$F,2,FALSE),IFERROR(VLOOKUP(D486,'3. Vinculación Univ. Sociedad'!$E:$F,2,FALSE),IFERROR(VLOOKUP(D486,'4. Docencia y Profesorado Univ.'!$E:$F,2,FALSE),IFERROR(VLOOKUP(D486,'5. Estudiantes y Graduados'!$E:$F,2,FALSE),IFERROR(VLOOKUP(D486,'11. Gestion Administrativa'!$E:$F,2,FALSE),IFERROR(VLOOKUP(D486,'13. Gestión Académica'!$E:$F,2,FALSE),IFERROR(VLOOKUP(D486,'8. Asegura. de la Calid. y M'!$E:$F,2,FALSE),IFERROR(VLOOKUP(D486,'6. Gestión del Conocimiento'!$E:$F,2,FALSE),IFERROR(VLOOKUP(D486,'15. Gobernabilidad y Proceso...'!$E:$F,2,FALSE),IFERROR(VLOOKUP(D486,'12. Gestión del Talento Humano'!$E:$F,2,FALSE),IFERROR(VLOOKUP(D486,'14. Internacional... de la E.S.'!$E:$F,2,FALSE),IFERROR(VLOOKUP(D486,'10. Posgrado'!$E:$F,2,FALSE),IFERROR(VLOOKUP(D486,'17. Gestión TIC'!$E:$F,2,FALSE),IFERROR(VLOOKUP(D486,'16. Desa. del Sistema Educ.Sup.'!$E:$F,2,FALSE),IFERROR(VLOOKUP(D486,'9. Cultura de Inno. Insti...'!$E:$F,2,FALSE),VLOOKUP(D486,'7. Lo Esencial de la Reforma U.'!$E:$F,2,0)))))))))))))))))</f>
        <v xml:space="preserve">Participar en la elaboracion de la propuesta de proyecto de Poligono Agroindustrial de la VRI para la carrera de agroindustria, y otros que que brinden oportunidad de mejorar la calidad de la educacion </v>
      </c>
      <c r="D487" s="601"/>
      <c r="E487" s="607"/>
      <c r="F487" s="607"/>
      <c r="G487" s="607"/>
      <c r="H487" s="604"/>
      <c r="I487" s="604"/>
      <c r="J487" s="604"/>
      <c r="K487" s="613"/>
    </row>
    <row r="488" spans="3:11" ht="15.75" thickBot="1">
      <c r="C488" s="606"/>
      <c r="D488" s="606"/>
      <c r="E488" s="606"/>
      <c r="F488" s="607"/>
      <c r="G488" s="604"/>
      <c r="H488" s="604"/>
      <c r="I488" s="604"/>
      <c r="J488" s="606"/>
      <c r="K488" s="606"/>
    </row>
    <row r="489" spans="3:11" ht="30.75" thickBot="1">
      <c r="C489" s="616" t="s">
        <v>44</v>
      </c>
      <c r="D489" s="616" t="s">
        <v>55</v>
      </c>
      <c r="E489" s="620" t="s">
        <v>57</v>
      </c>
      <c r="F489" s="619" t="s">
        <v>27</v>
      </c>
      <c r="G489" s="618" t="s">
        <v>131</v>
      </c>
      <c r="H489" s="620" t="s">
        <v>46</v>
      </c>
      <c r="I489" s="618" t="s">
        <v>132</v>
      </c>
      <c r="J489" s="618" t="s">
        <v>410</v>
      </c>
      <c r="K489" s="618" t="s">
        <v>411</v>
      </c>
    </row>
    <row r="490" spans="3:11">
      <c r="C490" s="634" t="s">
        <v>428</v>
      </c>
      <c r="D490" s="635">
        <f>0.75*3</f>
        <v>2.25</v>
      </c>
      <c r="E490" s="633">
        <f>HLOOKUP(C490,$AH$2:$BU$3,2,0)</f>
        <v>2000</v>
      </c>
      <c r="F490" s="608">
        <f t="shared" ref="F490:F491" si="42">D490*E490</f>
        <v>4500</v>
      </c>
      <c r="G490" s="626" t="s">
        <v>129</v>
      </c>
      <c r="H490" s="622" t="s">
        <v>301</v>
      </c>
      <c r="I490" s="617" t="str">
        <f>VLOOKUP(H490,Presupuesto!$B$11:$C$565,2,0)</f>
        <v>VIATICOS (26200-00)</v>
      </c>
      <c r="J490" s="632" t="s">
        <v>1364</v>
      </c>
      <c r="K490" s="609" t="s">
        <v>394</v>
      </c>
    </row>
    <row r="491" spans="3:11">
      <c r="C491" s="647" t="s">
        <v>2070</v>
      </c>
      <c r="D491" s="586">
        <v>1</v>
      </c>
      <c r="E491" s="587">
        <v>1500</v>
      </c>
      <c r="F491" s="608">
        <f t="shared" si="42"/>
        <v>1500</v>
      </c>
      <c r="G491" s="626" t="s">
        <v>129</v>
      </c>
      <c r="H491" s="622" t="s">
        <v>871</v>
      </c>
      <c r="I491" s="617" t="str">
        <f>VLOOKUP(H491,Presupuesto!$B$11:$C$565,2,0)</f>
        <v>GASOLINA</v>
      </c>
      <c r="J491" s="609" t="str">
        <f>$J$300</f>
        <v>Gestión Administrativa y  financiera en apoyo al Desarrollo Académico</v>
      </c>
      <c r="K491" s="609" t="s">
        <v>412</v>
      </c>
    </row>
    <row r="493" spans="3:11" ht="15.75" thickBot="1"/>
    <row r="494" spans="3:11" ht="15.75" thickBot="1">
      <c r="C494" s="624" t="s">
        <v>53</v>
      </c>
      <c r="D494" s="365">
        <f>SUM(F501:F567)</f>
        <v>3487883.550301746</v>
      </c>
      <c r="E494" s="606"/>
      <c r="F494" s="603"/>
      <c r="G494" s="605"/>
      <c r="H494" s="603"/>
      <c r="I494" s="603"/>
      <c r="J494" s="606"/>
      <c r="K494" s="606"/>
    </row>
    <row r="495" spans="3:11">
      <c r="C495" s="603"/>
      <c r="D495" s="601"/>
      <c r="E495" s="607"/>
      <c r="F495" s="607"/>
      <c r="G495" s="607"/>
      <c r="H495" s="604"/>
      <c r="I495" s="604"/>
      <c r="J495" s="604"/>
      <c r="K495" s="613"/>
    </row>
    <row r="496" spans="3:11">
      <c r="C496" s="603"/>
      <c r="D496" s="601"/>
      <c r="E496" s="607"/>
      <c r="F496" s="607"/>
      <c r="G496" s="607"/>
      <c r="H496" s="604"/>
      <c r="I496" s="604"/>
      <c r="J496" s="604"/>
      <c r="K496" s="613"/>
    </row>
    <row r="497" spans="3:11" ht="15.75">
      <c r="C497" s="630" t="s">
        <v>392</v>
      </c>
      <c r="D497" s="361" t="s">
        <v>2209</v>
      </c>
      <c r="E497" s="607"/>
      <c r="F497" s="607"/>
      <c r="G497" s="607"/>
      <c r="H497" s="604"/>
      <c r="I497" s="604"/>
      <c r="J497" s="604"/>
      <c r="K497" s="613"/>
    </row>
    <row r="498" spans="3:11" ht="18.75">
      <c r="C498" s="631" t="str">
        <f>IFERROR(VLOOKUP(D497,'1. Desarrollo e Innov. Curricu.'!$E:$F,2,FALSE),IFERROR(VLOOKUP(D497,'2. Investigación Científica'!$E:$F,2,FALSE),IFERROR(VLOOKUP(D497,'3. Vinculación Univ. Sociedad'!$E:$F,2,FALSE),IFERROR(VLOOKUP(D497,'4. Docencia y Profesorado Univ.'!$E:$F,2,FALSE),IFERROR(VLOOKUP(D497,'5. Estudiantes y Graduados'!$E:$F,2,FALSE),IFERROR(VLOOKUP(D497,'11. Gestion Administrativa'!$E:$F,2,FALSE),IFERROR(VLOOKUP(D497,'13. Gestión Académica'!$E:$F,2,FALSE),IFERROR(VLOOKUP(D497,'8. Asegura. de la Calid. y M'!$E:$F,2,FALSE),IFERROR(VLOOKUP(D497,'6. Gestión del Conocimiento'!$E:$F,2,FALSE),IFERROR(VLOOKUP(D497,'15. Gobernabilidad y Proceso...'!$E:$F,2,FALSE),IFERROR(VLOOKUP(D497,'12. Gestión del Talento Humano'!$E:$F,2,FALSE),IFERROR(VLOOKUP(D497,'14. Internacional... de la E.S.'!$E:$F,2,FALSE),IFERROR(VLOOKUP(D497,'10. Posgrado'!$E:$F,2,FALSE),IFERROR(VLOOKUP(D497,'17. Gestión TIC'!$E:$F,2,FALSE),IFERROR(VLOOKUP(D497,'16. Desa. del Sistema Educ.Sup.'!$E:$F,2,FALSE),IFERROR(VLOOKUP(D497,'9. Cultura de Inno. Insti...'!$E:$F,2,FALSE),VLOOKUP(D497,'7. Lo Esencial de la Reforma U.'!$E:$F,2,0)))))))))))))))))</f>
        <v>gestion de equipo de laboratorio para ingenieria agroindustrial, para usos multiples.</v>
      </c>
      <c r="D498" s="601"/>
      <c r="E498" s="607"/>
      <c r="F498" s="607"/>
      <c r="G498" s="607"/>
      <c r="H498" s="604"/>
      <c r="I498" s="604"/>
      <c r="J498" s="604"/>
      <c r="K498" s="613"/>
    </row>
    <row r="499" spans="3:11" ht="15.75" thickBot="1">
      <c r="C499" s="606"/>
      <c r="D499" s="606"/>
      <c r="E499" s="606"/>
      <c r="F499" s="607"/>
      <c r="G499" s="604"/>
      <c r="H499" s="604"/>
      <c r="I499" s="604"/>
      <c r="J499" s="606"/>
      <c r="K499" s="606"/>
    </row>
    <row r="500" spans="3:11" ht="30.75" thickBot="1">
      <c r="C500" s="616" t="s">
        <v>44</v>
      </c>
      <c r="D500" s="616" t="s">
        <v>55</v>
      </c>
      <c r="E500" s="620" t="s">
        <v>57</v>
      </c>
      <c r="F500" s="619" t="s">
        <v>27</v>
      </c>
      <c r="G500" s="618" t="s">
        <v>131</v>
      </c>
      <c r="H500" s="620" t="s">
        <v>46</v>
      </c>
      <c r="I500" s="618" t="s">
        <v>132</v>
      </c>
      <c r="J500" s="618" t="s">
        <v>410</v>
      </c>
      <c r="K500" s="618" t="s">
        <v>411</v>
      </c>
    </row>
    <row r="501" spans="3:11">
      <c r="C501" s="634" t="s">
        <v>439</v>
      </c>
      <c r="D501" s="635"/>
      <c r="E501" s="633">
        <f>HLOOKUP(C501,$AH$2:$BU$3,2,0)</f>
        <v>620</v>
      </c>
      <c r="F501" s="608">
        <f t="shared" ref="F501:F555" si="43">D501*E501</f>
        <v>0</v>
      </c>
      <c r="G501" s="626"/>
      <c r="H501" s="622"/>
      <c r="I501" s="617" t="e">
        <f>VLOOKUP(H501,Presupuesto!$B$11:$C$565,2,0)</f>
        <v>#N/A</v>
      </c>
      <c r="J501" s="632" t="s">
        <v>1364</v>
      </c>
      <c r="K501" s="609" t="s">
        <v>394</v>
      </c>
    </row>
    <row r="502" spans="3:11" ht="30">
      <c r="C502" s="581" t="s">
        <v>2215</v>
      </c>
      <c r="D502" s="692">
        <v>1</v>
      </c>
      <c r="E502" s="693">
        <v>51000</v>
      </c>
      <c r="F502" s="608">
        <f t="shared" si="43"/>
        <v>51000</v>
      </c>
      <c r="G502" s="626" t="s">
        <v>1486</v>
      </c>
      <c r="H502" s="622" t="s">
        <v>1003</v>
      </c>
      <c r="I502" s="617" t="str">
        <f>VLOOKUP(H502,Presupuesto!$B$11:$C$565,2,0)</f>
        <v>EQUIPO MEDICO Y LABORATORIO</v>
      </c>
      <c r="J502" s="609" t="str">
        <f>$J$300</f>
        <v>Gestión Administrativa y  financiera en apoyo al Desarrollo Académico</v>
      </c>
      <c r="K502" s="609" t="s">
        <v>412</v>
      </c>
    </row>
    <row r="503" spans="3:11" ht="30">
      <c r="C503" s="581" t="s">
        <v>2216</v>
      </c>
      <c r="D503" s="692">
        <v>1</v>
      </c>
      <c r="E503" s="693">
        <v>9000</v>
      </c>
      <c r="F503" s="608">
        <f t="shared" si="43"/>
        <v>9000</v>
      </c>
      <c r="G503" s="626" t="s">
        <v>1486</v>
      </c>
      <c r="H503" s="622" t="s">
        <v>1003</v>
      </c>
      <c r="I503" s="617" t="str">
        <f>VLOOKUP(H503,Presupuesto!$B$11:$C$565,2,0)</f>
        <v>EQUIPO MEDICO Y LABORATORIO</v>
      </c>
      <c r="J503" s="609" t="str">
        <f t="shared" ref="J503:J555" si="44">$J$300</f>
        <v>Gestión Administrativa y  financiera en apoyo al Desarrollo Académico</v>
      </c>
      <c r="K503" s="609" t="s">
        <v>412</v>
      </c>
    </row>
    <row r="504" spans="3:11" s="606" customFormat="1" ht="30">
      <c r="C504" s="581" t="s">
        <v>2217</v>
      </c>
      <c r="D504" s="692">
        <v>1</v>
      </c>
      <c r="E504" s="693">
        <v>4500</v>
      </c>
      <c r="F504" s="608">
        <f t="shared" ref="F504:F540" si="45">D504*E504</f>
        <v>4500</v>
      </c>
      <c r="G504" s="626" t="s">
        <v>1486</v>
      </c>
      <c r="H504" s="622" t="s">
        <v>1003</v>
      </c>
      <c r="I504" s="617" t="str">
        <f>VLOOKUP(H504,Presupuesto!$B$11:$C$565,2,0)</f>
        <v>EQUIPO MEDICO Y LABORATORIO</v>
      </c>
      <c r="J504" s="609" t="str">
        <f t="shared" si="44"/>
        <v>Gestión Administrativa y  financiera en apoyo al Desarrollo Académico</v>
      </c>
      <c r="K504" s="609" t="s">
        <v>412</v>
      </c>
    </row>
    <row r="505" spans="3:11" s="606" customFormat="1" ht="30">
      <c r="C505" s="581" t="s">
        <v>2218</v>
      </c>
      <c r="D505" s="692">
        <v>1</v>
      </c>
      <c r="E505" s="693">
        <v>7500</v>
      </c>
      <c r="F505" s="608">
        <f t="shared" si="45"/>
        <v>7500</v>
      </c>
      <c r="G505" s="626" t="s">
        <v>1486</v>
      </c>
      <c r="H505" s="622" t="s">
        <v>1003</v>
      </c>
      <c r="I505" s="617" t="str">
        <f>VLOOKUP(H505,Presupuesto!$B$11:$C$565,2,0)</f>
        <v>EQUIPO MEDICO Y LABORATORIO</v>
      </c>
      <c r="J505" s="609" t="str">
        <f t="shared" si="44"/>
        <v>Gestión Administrativa y  financiera en apoyo al Desarrollo Académico</v>
      </c>
      <c r="K505" s="609" t="s">
        <v>412</v>
      </c>
    </row>
    <row r="506" spans="3:11" s="606" customFormat="1" ht="30">
      <c r="C506" s="581" t="s">
        <v>2219</v>
      </c>
      <c r="D506" s="692">
        <v>1</v>
      </c>
      <c r="E506" s="693">
        <v>9000</v>
      </c>
      <c r="F506" s="608">
        <f t="shared" si="45"/>
        <v>9000</v>
      </c>
      <c r="G506" s="626" t="s">
        <v>1486</v>
      </c>
      <c r="H506" s="622" t="s">
        <v>1003</v>
      </c>
      <c r="I506" s="617" t="str">
        <f>VLOOKUP(H506,Presupuesto!$B$11:$C$565,2,0)</f>
        <v>EQUIPO MEDICO Y LABORATORIO</v>
      </c>
      <c r="J506" s="609" t="str">
        <f t="shared" si="44"/>
        <v>Gestión Administrativa y  financiera en apoyo al Desarrollo Académico</v>
      </c>
      <c r="K506" s="609" t="s">
        <v>412</v>
      </c>
    </row>
    <row r="507" spans="3:11" s="606" customFormat="1" ht="30">
      <c r="C507" s="581" t="s">
        <v>2220</v>
      </c>
      <c r="D507" s="692">
        <v>1</v>
      </c>
      <c r="E507" s="693">
        <v>115000</v>
      </c>
      <c r="F507" s="608">
        <f t="shared" si="45"/>
        <v>115000</v>
      </c>
      <c r="G507" s="626" t="s">
        <v>1486</v>
      </c>
      <c r="H507" s="622" t="s">
        <v>1003</v>
      </c>
      <c r="I507" s="617" t="str">
        <f>VLOOKUP(H507,Presupuesto!$B$11:$C$565,2,0)</f>
        <v>EQUIPO MEDICO Y LABORATORIO</v>
      </c>
      <c r="J507" s="609" t="str">
        <f t="shared" si="44"/>
        <v>Gestión Administrativa y  financiera en apoyo al Desarrollo Académico</v>
      </c>
      <c r="K507" s="609" t="s">
        <v>412</v>
      </c>
    </row>
    <row r="508" spans="3:11" s="606" customFormat="1" ht="30">
      <c r="C508" s="581" t="s">
        <v>2221</v>
      </c>
      <c r="D508" s="692">
        <v>1</v>
      </c>
      <c r="E508" s="693">
        <v>70000</v>
      </c>
      <c r="F508" s="608">
        <f t="shared" si="45"/>
        <v>70000</v>
      </c>
      <c r="G508" s="626" t="s">
        <v>1486</v>
      </c>
      <c r="H508" s="622" t="s">
        <v>1003</v>
      </c>
      <c r="I508" s="617" t="str">
        <f>VLOOKUP(H508,Presupuesto!$B$11:$C$565,2,0)</f>
        <v>EQUIPO MEDICO Y LABORATORIO</v>
      </c>
      <c r="J508" s="609" t="str">
        <f t="shared" si="44"/>
        <v>Gestión Administrativa y  financiera en apoyo al Desarrollo Académico</v>
      </c>
      <c r="K508" s="609" t="s">
        <v>412</v>
      </c>
    </row>
    <row r="509" spans="3:11" s="606" customFormat="1" ht="30">
      <c r="C509" s="581" t="s">
        <v>2222</v>
      </c>
      <c r="D509" s="692">
        <v>1</v>
      </c>
      <c r="E509" s="693">
        <v>20000</v>
      </c>
      <c r="F509" s="608">
        <f t="shared" si="45"/>
        <v>20000</v>
      </c>
      <c r="G509" s="626" t="s">
        <v>1486</v>
      </c>
      <c r="H509" s="622" t="s">
        <v>1003</v>
      </c>
      <c r="I509" s="617" t="str">
        <f>VLOOKUP(H509,Presupuesto!$B$11:$C$565,2,0)</f>
        <v>EQUIPO MEDICO Y LABORATORIO</v>
      </c>
      <c r="J509" s="609" t="str">
        <f t="shared" si="44"/>
        <v>Gestión Administrativa y  financiera en apoyo al Desarrollo Académico</v>
      </c>
      <c r="K509" s="609" t="s">
        <v>412</v>
      </c>
    </row>
    <row r="510" spans="3:11" s="606" customFormat="1">
      <c r="C510" s="581" t="s">
        <v>2223</v>
      </c>
      <c r="D510" s="692">
        <v>1</v>
      </c>
      <c r="E510" s="693">
        <v>6000</v>
      </c>
      <c r="F510" s="608">
        <f t="shared" si="45"/>
        <v>6000</v>
      </c>
      <c r="G510" s="626" t="s">
        <v>1486</v>
      </c>
      <c r="H510" s="622" t="s">
        <v>1003</v>
      </c>
      <c r="I510" s="617" t="str">
        <f>VLOOKUP(H510,Presupuesto!$B$11:$C$565,2,0)</f>
        <v>EQUIPO MEDICO Y LABORATORIO</v>
      </c>
      <c r="J510" s="609" t="str">
        <f t="shared" si="44"/>
        <v>Gestión Administrativa y  financiera en apoyo al Desarrollo Académico</v>
      </c>
      <c r="K510" s="609" t="s">
        <v>412</v>
      </c>
    </row>
    <row r="511" spans="3:11" s="606" customFormat="1">
      <c r="C511" s="581" t="s">
        <v>2224</v>
      </c>
      <c r="D511" s="692">
        <v>1</v>
      </c>
      <c r="E511" s="693">
        <f>221116+16934</f>
        <v>238050</v>
      </c>
      <c r="F511" s="608">
        <f t="shared" si="45"/>
        <v>238050</v>
      </c>
      <c r="G511" s="626" t="s">
        <v>1486</v>
      </c>
      <c r="H511" s="622" t="s">
        <v>1003</v>
      </c>
      <c r="I511" s="617" t="str">
        <f>VLOOKUP(H511,Presupuesto!$B$11:$C$565,2,0)</f>
        <v>EQUIPO MEDICO Y LABORATORIO</v>
      </c>
      <c r="J511" s="609" t="str">
        <f t="shared" si="44"/>
        <v>Gestión Administrativa y  financiera en apoyo al Desarrollo Académico</v>
      </c>
      <c r="K511" s="609" t="s">
        <v>412</v>
      </c>
    </row>
    <row r="512" spans="3:11" s="606" customFormat="1">
      <c r="C512" s="581" t="s">
        <v>2225</v>
      </c>
      <c r="D512" s="692">
        <v>1</v>
      </c>
      <c r="E512" s="693">
        <f>45550+16934</f>
        <v>62484</v>
      </c>
      <c r="F512" s="608">
        <f t="shared" si="45"/>
        <v>62484</v>
      </c>
      <c r="G512" s="626" t="s">
        <v>1486</v>
      </c>
      <c r="H512" s="622" t="s">
        <v>1003</v>
      </c>
      <c r="I512" s="617" t="str">
        <f>VLOOKUP(H512,Presupuesto!$B$11:$C$565,2,0)</f>
        <v>EQUIPO MEDICO Y LABORATORIO</v>
      </c>
      <c r="J512" s="609" t="str">
        <f t="shared" si="44"/>
        <v>Gestión Administrativa y  financiera en apoyo al Desarrollo Académico</v>
      </c>
      <c r="K512" s="609" t="s">
        <v>412</v>
      </c>
    </row>
    <row r="513" spans="3:11" s="606" customFormat="1">
      <c r="C513" s="581" t="s">
        <v>2226</v>
      </c>
      <c r="D513" s="692">
        <v>1</v>
      </c>
      <c r="E513" s="693">
        <v>4500</v>
      </c>
      <c r="F513" s="608">
        <f t="shared" si="45"/>
        <v>4500</v>
      </c>
      <c r="G513" s="626" t="s">
        <v>1486</v>
      </c>
      <c r="H513" s="622" t="s">
        <v>1003</v>
      </c>
      <c r="I513" s="617" t="str">
        <f>VLOOKUP(H513,Presupuesto!$B$11:$C$565,2,0)</f>
        <v>EQUIPO MEDICO Y LABORATORIO</v>
      </c>
      <c r="J513" s="609" t="str">
        <f t="shared" si="44"/>
        <v>Gestión Administrativa y  financiera en apoyo al Desarrollo Académico</v>
      </c>
      <c r="K513" s="609" t="s">
        <v>412</v>
      </c>
    </row>
    <row r="514" spans="3:11" s="606" customFormat="1">
      <c r="C514" s="581" t="s">
        <v>2227</v>
      </c>
      <c r="D514" s="692">
        <v>1</v>
      </c>
      <c r="E514" s="693">
        <v>12000</v>
      </c>
      <c r="F514" s="608">
        <f t="shared" si="45"/>
        <v>12000</v>
      </c>
      <c r="G514" s="626" t="s">
        <v>1486</v>
      </c>
      <c r="H514" s="622" t="s">
        <v>1003</v>
      </c>
      <c r="I514" s="617" t="str">
        <f>VLOOKUP(H514,Presupuesto!$B$11:$C$565,2,0)</f>
        <v>EQUIPO MEDICO Y LABORATORIO</v>
      </c>
      <c r="J514" s="609" t="str">
        <f t="shared" si="44"/>
        <v>Gestión Administrativa y  financiera en apoyo al Desarrollo Académico</v>
      </c>
      <c r="K514" s="609" t="s">
        <v>412</v>
      </c>
    </row>
    <row r="515" spans="3:11" s="606" customFormat="1">
      <c r="C515" s="581" t="s">
        <v>2228</v>
      </c>
      <c r="D515" s="692">
        <v>1</v>
      </c>
      <c r="E515" s="693">
        <v>2000</v>
      </c>
      <c r="F515" s="608">
        <f t="shared" si="45"/>
        <v>2000</v>
      </c>
      <c r="G515" s="626" t="s">
        <v>1486</v>
      </c>
      <c r="H515" s="622" t="s">
        <v>1003</v>
      </c>
      <c r="I515" s="617" t="str">
        <f>VLOOKUP(H515,Presupuesto!$B$11:$C$565,2,0)</f>
        <v>EQUIPO MEDICO Y LABORATORIO</v>
      </c>
      <c r="J515" s="609" t="str">
        <f t="shared" si="44"/>
        <v>Gestión Administrativa y  financiera en apoyo al Desarrollo Académico</v>
      </c>
      <c r="K515" s="609" t="s">
        <v>412</v>
      </c>
    </row>
    <row r="516" spans="3:11" s="606" customFormat="1">
      <c r="C516" s="581" t="s">
        <v>2229</v>
      </c>
      <c r="D516" s="692">
        <v>2</v>
      </c>
      <c r="E516" s="693">
        <v>1400</v>
      </c>
      <c r="F516" s="608">
        <f t="shared" si="45"/>
        <v>2800</v>
      </c>
      <c r="G516" s="626" t="s">
        <v>1486</v>
      </c>
      <c r="H516" s="622" t="s">
        <v>1003</v>
      </c>
      <c r="I516" s="617" t="str">
        <f>VLOOKUP(H516,Presupuesto!$B$11:$C$565,2,0)</f>
        <v>EQUIPO MEDICO Y LABORATORIO</v>
      </c>
      <c r="J516" s="609" t="str">
        <f t="shared" si="44"/>
        <v>Gestión Administrativa y  financiera en apoyo al Desarrollo Académico</v>
      </c>
      <c r="K516" s="609" t="s">
        <v>412</v>
      </c>
    </row>
    <row r="517" spans="3:11" s="606" customFormat="1">
      <c r="C517" s="581" t="s">
        <v>2230</v>
      </c>
      <c r="D517" s="692">
        <v>1</v>
      </c>
      <c r="E517" s="693">
        <v>4000</v>
      </c>
      <c r="F517" s="608">
        <f t="shared" si="45"/>
        <v>4000</v>
      </c>
      <c r="G517" s="626" t="s">
        <v>1486</v>
      </c>
      <c r="H517" s="622" t="s">
        <v>1003</v>
      </c>
      <c r="I517" s="617" t="str">
        <f>VLOOKUP(H517,Presupuesto!$B$11:$C$565,2,0)</f>
        <v>EQUIPO MEDICO Y LABORATORIO</v>
      </c>
      <c r="J517" s="609" t="str">
        <f t="shared" si="44"/>
        <v>Gestión Administrativa y  financiera en apoyo al Desarrollo Académico</v>
      </c>
      <c r="K517" s="609" t="s">
        <v>412</v>
      </c>
    </row>
    <row r="518" spans="3:11" s="606" customFormat="1">
      <c r="C518" s="528" t="s">
        <v>2231</v>
      </c>
      <c r="D518" s="692">
        <v>1</v>
      </c>
      <c r="E518" s="693">
        <v>14000</v>
      </c>
      <c r="F518" s="608">
        <f t="shared" si="45"/>
        <v>14000</v>
      </c>
      <c r="G518" s="626" t="s">
        <v>1486</v>
      </c>
      <c r="H518" s="622" t="s">
        <v>1003</v>
      </c>
      <c r="I518" s="617" t="str">
        <f>VLOOKUP(H518,Presupuesto!$B$11:$C$565,2,0)</f>
        <v>EQUIPO MEDICO Y LABORATORIO</v>
      </c>
      <c r="J518" s="609" t="str">
        <f t="shared" si="44"/>
        <v>Gestión Administrativa y  financiera en apoyo al Desarrollo Académico</v>
      </c>
      <c r="K518" s="609" t="s">
        <v>412</v>
      </c>
    </row>
    <row r="519" spans="3:11" s="606" customFormat="1">
      <c r="C519" s="581" t="s">
        <v>2232</v>
      </c>
      <c r="D519" s="692">
        <v>1</v>
      </c>
      <c r="E519" s="693">
        <v>30000</v>
      </c>
      <c r="F519" s="608">
        <f t="shared" si="45"/>
        <v>30000</v>
      </c>
      <c r="G519" s="626" t="s">
        <v>1486</v>
      </c>
      <c r="H519" s="622" t="s">
        <v>1003</v>
      </c>
      <c r="I519" s="617" t="str">
        <f>VLOOKUP(H519,Presupuesto!$B$11:$C$565,2,0)</f>
        <v>EQUIPO MEDICO Y LABORATORIO</v>
      </c>
      <c r="J519" s="609" t="str">
        <f t="shared" si="44"/>
        <v>Gestión Administrativa y  financiera en apoyo al Desarrollo Académico</v>
      </c>
      <c r="K519" s="609" t="s">
        <v>412</v>
      </c>
    </row>
    <row r="520" spans="3:11" s="606" customFormat="1" ht="30">
      <c r="C520" s="581" t="s">
        <v>2233</v>
      </c>
      <c r="D520" s="586">
        <v>1</v>
      </c>
      <c r="E520" s="653">
        <v>74550</v>
      </c>
      <c r="F520" s="608">
        <f t="shared" si="45"/>
        <v>74550</v>
      </c>
      <c r="G520" s="626" t="s">
        <v>1486</v>
      </c>
      <c r="H520" s="622" t="s">
        <v>1003</v>
      </c>
      <c r="I520" s="617" t="str">
        <f>VLOOKUP(H520,Presupuesto!$B$11:$C$565,2,0)</f>
        <v>EQUIPO MEDICO Y LABORATORIO</v>
      </c>
      <c r="J520" s="609" t="str">
        <f t="shared" si="44"/>
        <v>Gestión Administrativa y  financiera en apoyo al Desarrollo Académico</v>
      </c>
      <c r="K520" s="609" t="s">
        <v>412</v>
      </c>
    </row>
    <row r="521" spans="3:11" s="606" customFormat="1" ht="195">
      <c r="C521" s="669" t="s">
        <v>2234</v>
      </c>
      <c r="D521" s="586">
        <v>1</v>
      </c>
      <c r="E521" s="653">
        <v>185000</v>
      </c>
      <c r="F521" s="608">
        <f t="shared" si="45"/>
        <v>185000</v>
      </c>
      <c r="G521" s="626" t="s">
        <v>1486</v>
      </c>
      <c r="H521" s="622" t="s">
        <v>1003</v>
      </c>
      <c r="I521" s="617" t="str">
        <f>VLOOKUP(H521,Presupuesto!$B$11:$C$565,2,0)</f>
        <v>EQUIPO MEDICO Y LABORATORIO</v>
      </c>
      <c r="J521" s="609" t="str">
        <f t="shared" si="44"/>
        <v>Gestión Administrativa y  financiera en apoyo al Desarrollo Académico</v>
      </c>
      <c r="K521" s="609" t="s">
        <v>412</v>
      </c>
    </row>
    <row r="522" spans="3:11" s="606" customFormat="1">
      <c r="C522" s="581" t="s">
        <v>2235</v>
      </c>
      <c r="D522" s="586">
        <v>1</v>
      </c>
      <c r="E522" s="653">
        <v>1000</v>
      </c>
      <c r="F522" s="608">
        <f t="shared" si="45"/>
        <v>1000</v>
      </c>
      <c r="G522" s="626" t="s">
        <v>1486</v>
      </c>
      <c r="H522" s="622" t="s">
        <v>1003</v>
      </c>
      <c r="I522" s="617" t="str">
        <f>VLOOKUP(H522,Presupuesto!$B$11:$C$565,2,0)</f>
        <v>EQUIPO MEDICO Y LABORATORIO</v>
      </c>
      <c r="J522" s="609" t="str">
        <f t="shared" si="44"/>
        <v>Gestión Administrativa y  financiera en apoyo al Desarrollo Académico</v>
      </c>
      <c r="K522" s="609" t="s">
        <v>412</v>
      </c>
    </row>
    <row r="523" spans="3:11" s="606" customFormat="1" ht="165">
      <c r="C523" s="690" t="s">
        <v>2236</v>
      </c>
      <c r="D523" s="586">
        <v>1</v>
      </c>
      <c r="E523" s="653">
        <v>400000</v>
      </c>
      <c r="F523" s="608">
        <f t="shared" si="45"/>
        <v>400000</v>
      </c>
      <c r="G523" s="626" t="s">
        <v>1486</v>
      </c>
      <c r="H523" s="622" t="s">
        <v>1003</v>
      </c>
      <c r="I523" s="617" t="str">
        <f>VLOOKUP(H523,Presupuesto!$B$11:$C$565,2,0)</f>
        <v>EQUIPO MEDICO Y LABORATORIO</v>
      </c>
      <c r="J523" s="609" t="str">
        <f t="shared" si="44"/>
        <v>Gestión Administrativa y  financiera en apoyo al Desarrollo Académico</v>
      </c>
      <c r="K523" s="609" t="s">
        <v>412</v>
      </c>
    </row>
    <row r="524" spans="3:11" s="606" customFormat="1">
      <c r="C524" s="691" t="s">
        <v>2237</v>
      </c>
      <c r="D524" s="586">
        <v>1</v>
      </c>
      <c r="E524" s="653">
        <v>135000</v>
      </c>
      <c r="F524" s="608">
        <f t="shared" si="45"/>
        <v>135000</v>
      </c>
      <c r="G524" s="626" t="s">
        <v>1486</v>
      </c>
      <c r="H524" s="622" t="s">
        <v>1003</v>
      </c>
      <c r="I524" s="617" t="str">
        <f>VLOOKUP(H524,Presupuesto!$B$11:$C$565,2,0)</f>
        <v>EQUIPO MEDICO Y LABORATORIO</v>
      </c>
      <c r="J524" s="609" t="str">
        <f t="shared" si="44"/>
        <v>Gestión Administrativa y  financiera en apoyo al Desarrollo Académico</v>
      </c>
      <c r="K524" s="609" t="s">
        <v>412</v>
      </c>
    </row>
    <row r="525" spans="3:11" s="606" customFormat="1">
      <c r="C525" s="691" t="s">
        <v>2238</v>
      </c>
      <c r="D525" s="586">
        <v>2</v>
      </c>
      <c r="E525" s="653">
        <v>10000</v>
      </c>
      <c r="F525" s="608">
        <f t="shared" si="45"/>
        <v>20000</v>
      </c>
      <c r="G525" s="626" t="s">
        <v>1486</v>
      </c>
      <c r="H525" s="622" t="s">
        <v>1003</v>
      </c>
      <c r="I525" s="617" t="str">
        <f>VLOOKUP(H525,Presupuesto!$B$11:$C$565,2,0)</f>
        <v>EQUIPO MEDICO Y LABORATORIO</v>
      </c>
      <c r="J525" s="609" t="str">
        <f t="shared" si="44"/>
        <v>Gestión Administrativa y  financiera en apoyo al Desarrollo Académico</v>
      </c>
      <c r="K525" s="609" t="s">
        <v>412</v>
      </c>
    </row>
    <row r="526" spans="3:11" s="606" customFormat="1">
      <c r="C526" s="691" t="s">
        <v>2239</v>
      </c>
      <c r="D526" s="586">
        <v>1</v>
      </c>
      <c r="E526" s="653">
        <v>65000</v>
      </c>
      <c r="F526" s="608">
        <f t="shared" si="45"/>
        <v>65000</v>
      </c>
      <c r="G526" s="626" t="s">
        <v>1486</v>
      </c>
      <c r="H526" s="622" t="s">
        <v>1003</v>
      </c>
      <c r="I526" s="617" t="str">
        <f>VLOOKUP(H526,Presupuesto!$B$11:$C$565,2,0)</f>
        <v>EQUIPO MEDICO Y LABORATORIO</v>
      </c>
      <c r="J526" s="609" t="str">
        <f t="shared" si="44"/>
        <v>Gestión Administrativa y  financiera en apoyo al Desarrollo Académico</v>
      </c>
      <c r="K526" s="609" t="s">
        <v>412</v>
      </c>
    </row>
    <row r="527" spans="3:11" s="606" customFormat="1" ht="30">
      <c r="C527" s="691" t="s">
        <v>2240</v>
      </c>
      <c r="D527" s="586">
        <v>1</v>
      </c>
      <c r="E527" s="653">
        <v>119450</v>
      </c>
      <c r="F527" s="608">
        <f t="shared" si="45"/>
        <v>119450</v>
      </c>
      <c r="G527" s="626" t="s">
        <v>1486</v>
      </c>
      <c r="H527" s="622" t="s">
        <v>1003</v>
      </c>
      <c r="I527" s="617" t="str">
        <f>VLOOKUP(H527,Presupuesto!$B$11:$C$565,2,0)</f>
        <v>EQUIPO MEDICO Y LABORATORIO</v>
      </c>
      <c r="J527" s="609" t="str">
        <f t="shared" si="44"/>
        <v>Gestión Administrativa y  financiera en apoyo al Desarrollo Académico</v>
      </c>
      <c r="K527" s="609" t="s">
        <v>412</v>
      </c>
    </row>
    <row r="528" spans="3:11" s="606" customFormat="1">
      <c r="C528" s="691" t="s">
        <v>2241</v>
      </c>
      <c r="D528" s="586">
        <v>4</v>
      </c>
      <c r="E528" s="653">
        <v>15000</v>
      </c>
      <c r="F528" s="608">
        <f t="shared" si="45"/>
        <v>60000</v>
      </c>
      <c r="G528" s="626" t="s">
        <v>1486</v>
      </c>
      <c r="H528" s="622" t="s">
        <v>1003</v>
      </c>
      <c r="I528" s="617" t="str">
        <f>VLOOKUP(H528,Presupuesto!$B$11:$C$565,2,0)</f>
        <v>EQUIPO MEDICO Y LABORATORIO</v>
      </c>
      <c r="J528" s="609" t="str">
        <f t="shared" si="44"/>
        <v>Gestión Administrativa y  financiera en apoyo al Desarrollo Académico</v>
      </c>
      <c r="K528" s="609" t="s">
        <v>412</v>
      </c>
    </row>
    <row r="529" spans="3:11" s="606" customFormat="1" ht="45">
      <c r="C529" s="691" t="s">
        <v>2242</v>
      </c>
      <c r="D529" s="586">
        <v>2</v>
      </c>
      <c r="E529" s="653">
        <v>92000</v>
      </c>
      <c r="F529" s="608">
        <f t="shared" si="45"/>
        <v>184000</v>
      </c>
      <c r="G529" s="626" t="s">
        <v>1486</v>
      </c>
      <c r="H529" s="622" t="s">
        <v>1003</v>
      </c>
      <c r="I529" s="617" t="str">
        <f>VLOOKUP(H529,Presupuesto!$B$11:$C$565,2,0)</f>
        <v>EQUIPO MEDICO Y LABORATORIO</v>
      </c>
      <c r="J529" s="609" t="str">
        <f t="shared" si="44"/>
        <v>Gestión Administrativa y  financiera en apoyo al Desarrollo Académico</v>
      </c>
      <c r="K529" s="609" t="s">
        <v>412</v>
      </c>
    </row>
    <row r="530" spans="3:11" s="606" customFormat="1" ht="30">
      <c r="C530" s="691" t="s">
        <v>2243</v>
      </c>
      <c r="D530" s="586">
        <v>1</v>
      </c>
      <c r="E530" s="653">
        <v>75000</v>
      </c>
      <c r="F530" s="608">
        <f t="shared" si="45"/>
        <v>75000</v>
      </c>
      <c r="G530" s="626" t="s">
        <v>1486</v>
      </c>
      <c r="H530" s="622" t="s">
        <v>1003</v>
      </c>
      <c r="I530" s="617" t="str">
        <f>VLOOKUP(H530,Presupuesto!$B$11:$C$565,2,0)</f>
        <v>EQUIPO MEDICO Y LABORATORIO</v>
      </c>
      <c r="J530" s="609" t="str">
        <f t="shared" si="44"/>
        <v>Gestión Administrativa y  financiera en apoyo al Desarrollo Académico</v>
      </c>
      <c r="K530" s="609" t="s">
        <v>412</v>
      </c>
    </row>
    <row r="531" spans="3:11" s="606" customFormat="1">
      <c r="C531" s="691" t="s">
        <v>2244</v>
      </c>
      <c r="D531" s="586">
        <v>1</v>
      </c>
      <c r="E531" s="653">
        <v>14000</v>
      </c>
      <c r="F531" s="608">
        <f t="shared" si="45"/>
        <v>14000</v>
      </c>
      <c r="G531" s="626" t="s">
        <v>1486</v>
      </c>
      <c r="H531" s="622" t="s">
        <v>1003</v>
      </c>
      <c r="I531" s="617" t="str">
        <f>VLOOKUP(H531,Presupuesto!$B$11:$C$565,2,0)</f>
        <v>EQUIPO MEDICO Y LABORATORIO</v>
      </c>
      <c r="J531" s="609" t="str">
        <f t="shared" si="44"/>
        <v>Gestión Administrativa y  financiera en apoyo al Desarrollo Académico</v>
      </c>
      <c r="K531" s="609" t="s">
        <v>412</v>
      </c>
    </row>
    <row r="532" spans="3:11" s="606" customFormat="1" ht="30">
      <c r="C532" s="691" t="s">
        <v>2245</v>
      </c>
      <c r="D532" s="586">
        <v>2</v>
      </c>
      <c r="E532" s="653">
        <v>13000</v>
      </c>
      <c r="F532" s="608">
        <f t="shared" si="45"/>
        <v>26000</v>
      </c>
      <c r="G532" s="626" t="s">
        <v>1486</v>
      </c>
      <c r="H532" s="622" t="s">
        <v>1003</v>
      </c>
      <c r="I532" s="617" t="str">
        <f>VLOOKUP(H532,Presupuesto!$B$11:$C$565,2,0)</f>
        <v>EQUIPO MEDICO Y LABORATORIO</v>
      </c>
      <c r="J532" s="609" t="str">
        <f t="shared" si="44"/>
        <v>Gestión Administrativa y  financiera en apoyo al Desarrollo Académico</v>
      </c>
      <c r="K532" s="609" t="s">
        <v>412</v>
      </c>
    </row>
    <row r="533" spans="3:11" s="606" customFormat="1" ht="30">
      <c r="C533" s="581" t="s">
        <v>2246</v>
      </c>
      <c r="D533" s="586">
        <v>2</v>
      </c>
      <c r="E533" s="653">
        <v>12000</v>
      </c>
      <c r="F533" s="608">
        <f t="shared" si="45"/>
        <v>24000</v>
      </c>
      <c r="G533" s="626" t="s">
        <v>1486</v>
      </c>
      <c r="H533" s="622" t="s">
        <v>1003</v>
      </c>
      <c r="I533" s="617" t="str">
        <f>VLOOKUP(H533,Presupuesto!$B$11:$C$565,2,0)</f>
        <v>EQUIPO MEDICO Y LABORATORIO</v>
      </c>
      <c r="J533" s="609" t="str">
        <f t="shared" si="44"/>
        <v>Gestión Administrativa y  financiera en apoyo al Desarrollo Académico</v>
      </c>
      <c r="K533" s="609" t="s">
        <v>412</v>
      </c>
    </row>
    <row r="534" spans="3:11" s="606" customFormat="1" ht="45">
      <c r="C534" s="582" t="s">
        <v>2247</v>
      </c>
      <c r="D534" s="592">
        <v>1</v>
      </c>
      <c r="E534" s="694">
        <v>160000</v>
      </c>
      <c r="F534" s="608">
        <f t="shared" si="45"/>
        <v>160000</v>
      </c>
      <c r="G534" s="626" t="s">
        <v>1486</v>
      </c>
      <c r="H534" s="622" t="s">
        <v>1003</v>
      </c>
      <c r="I534" s="617" t="str">
        <f>VLOOKUP(H534,Presupuesto!$B$11:$C$565,2,0)</f>
        <v>EQUIPO MEDICO Y LABORATORIO</v>
      </c>
      <c r="J534" s="609" t="str">
        <f t="shared" si="44"/>
        <v>Gestión Administrativa y  financiera en apoyo al Desarrollo Académico</v>
      </c>
      <c r="K534" s="609" t="s">
        <v>412</v>
      </c>
    </row>
    <row r="535" spans="3:11" s="606" customFormat="1" ht="30">
      <c r="C535" s="582" t="s">
        <v>2248</v>
      </c>
      <c r="D535" s="592">
        <v>1</v>
      </c>
      <c r="E535" s="694">
        <v>150000</v>
      </c>
      <c r="F535" s="608">
        <f t="shared" si="45"/>
        <v>150000</v>
      </c>
      <c r="G535" s="626" t="s">
        <v>1486</v>
      </c>
      <c r="H535" s="622" t="s">
        <v>1003</v>
      </c>
      <c r="I535" s="617" t="str">
        <f>VLOOKUP(H535,Presupuesto!$B$11:$C$565,2,0)</f>
        <v>EQUIPO MEDICO Y LABORATORIO</v>
      </c>
      <c r="J535" s="609" t="str">
        <f t="shared" si="44"/>
        <v>Gestión Administrativa y  financiera en apoyo al Desarrollo Académico</v>
      </c>
      <c r="K535" s="609" t="s">
        <v>412</v>
      </c>
    </row>
    <row r="536" spans="3:11" s="606" customFormat="1" ht="30">
      <c r="C536" s="582" t="s">
        <v>2249</v>
      </c>
      <c r="D536" s="592">
        <v>1</v>
      </c>
      <c r="E536" s="694">
        <v>90000</v>
      </c>
      <c r="F536" s="608">
        <f t="shared" si="45"/>
        <v>90000</v>
      </c>
      <c r="G536" s="626" t="s">
        <v>1486</v>
      </c>
      <c r="H536" s="622" t="s">
        <v>1003</v>
      </c>
      <c r="I536" s="617" t="str">
        <f>VLOOKUP(H536,Presupuesto!$B$11:$C$565,2,0)</f>
        <v>EQUIPO MEDICO Y LABORATORIO</v>
      </c>
      <c r="J536" s="609" t="str">
        <f t="shared" si="44"/>
        <v>Gestión Administrativa y  financiera en apoyo al Desarrollo Académico</v>
      </c>
      <c r="K536" s="609" t="s">
        <v>412</v>
      </c>
    </row>
    <row r="537" spans="3:11" s="606" customFormat="1" ht="30">
      <c r="C537" s="582" t="s">
        <v>2250</v>
      </c>
      <c r="D537" s="592">
        <v>1</v>
      </c>
      <c r="E537" s="694">
        <v>290000</v>
      </c>
      <c r="F537" s="608">
        <f t="shared" si="45"/>
        <v>290000</v>
      </c>
      <c r="G537" s="626" t="s">
        <v>1486</v>
      </c>
      <c r="H537" s="622" t="s">
        <v>1003</v>
      </c>
      <c r="I537" s="617" t="str">
        <f>VLOOKUP(H537,Presupuesto!$B$11:$C$565,2,0)</f>
        <v>EQUIPO MEDICO Y LABORATORIO</v>
      </c>
      <c r="J537" s="609" t="str">
        <f t="shared" si="44"/>
        <v>Gestión Administrativa y  financiera en apoyo al Desarrollo Académico</v>
      </c>
      <c r="K537" s="609" t="s">
        <v>412</v>
      </c>
    </row>
    <row r="538" spans="3:11" s="606" customFormat="1" ht="60">
      <c r="C538" s="582" t="s">
        <v>2251</v>
      </c>
      <c r="D538" s="592">
        <v>1</v>
      </c>
      <c r="E538" s="694">
        <v>75000</v>
      </c>
      <c r="F538" s="608">
        <f t="shared" si="45"/>
        <v>75000</v>
      </c>
      <c r="G538" s="626" t="s">
        <v>1486</v>
      </c>
      <c r="H538" s="622" t="s">
        <v>1003</v>
      </c>
      <c r="I538" s="617" t="str">
        <f>VLOOKUP(H538,Presupuesto!$B$11:$C$565,2,0)</f>
        <v>EQUIPO MEDICO Y LABORATORIO</v>
      </c>
      <c r="J538" s="609" t="str">
        <f t="shared" si="44"/>
        <v>Gestión Administrativa y  financiera en apoyo al Desarrollo Académico</v>
      </c>
      <c r="K538" s="609" t="s">
        <v>412</v>
      </c>
    </row>
    <row r="539" spans="3:11" s="606" customFormat="1">
      <c r="C539" s="582" t="s">
        <v>2252</v>
      </c>
      <c r="D539" s="592">
        <v>1</v>
      </c>
      <c r="E539" s="651">
        <v>299704.870301747</v>
      </c>
      <c r="F539" s="608">
        <f t="shared" si="45"/>
        <v>299704.870301747</v>
      </c>
      <c r="G539" s="626" t="s">
        <v>1486</v>
      </c>
      <c r="H539" s="622" t="s">
        <v>1003</v>
      </c>
      <c r="I539" s="617" t="str">
        <f>VLOOKUP(H539,Presupuesto!$B$11:$C$565,2,0)</f>
        <v>EQUIPO MEDICO Y LABORATORIO</v>
      </c>
      <c r="J539" s="609" t="str">
        <f t="shared" si="44"/>
        <v>Gestión Administrativa y  financiera en apoyo al Desarrollo Académico</v>
      </c>
      <c r="K539" s="609" t="s">
        <v>412</v>
      </c>
    </row>
    <row r="540" spans="3:11" s="606" customFormat="1">
      <c r="C540" s="582" t="s">
        <v>2253</v>
      </c>
      <c r="D540" s="592">
        <v>1</v>
      </c>
      <c r="E540" s="651">
        <v>66605</v>
      </c>
      <c r="F540" s="608">
        <f t="shared" si="45"/>
        <v>66605</v>
      </c>
      <c r="G540" s="626" t="s">
        <v>1486</v>
      </c>
      <c r="H540" s="622" t="s">
        <v>1003</v>
      </c>
      <c r="I540" s="617" t="str">
        <f>VLOOKUP(H540,Presupuesto!$B$11:$C$565,2,0)</f>
        <v>EQUIPO MEDICO Y LABORATORIO</v>
      </c>
      <c r="J540" s="609" t="str">
        <f t="shared" si="44"/>
        <v>Gestión Administrativa y  financiera en apoyo al Desarrollo Académico</v>
      </c>
      <c r="K540" s="609" t="s">
        <v>412</v>
      </c>
    </row>
    <row r="541" spans="3:11">
      <c r="C541" s="582" t="s">
        <v>2254</v>
      </c>
      <c r="D541" s="592">
        <v>1</v>
      </c>
      <c r="E541" s="651">
        <v>1617.5500000000002</v>
      </c>
      <c r="F541" s="608">
        <f t="shared" si="43"/>
        <v>1617.5500000000002</v>
      </c>
      <c r="G541" s="626" t="s">
        <v>1486</v>
      </c>
      <c r="H541" s="622" t="s">
        <v>1003</v>
      </c>
      <c r="I541" s="617" t="str">
        <f>VLOOKUP(H541,Presupuesto!$B$11:$C$565,2,0)</f>
        <v>EQUIPO MEDICO Y LABORATORIO</v>
      </c>
      <c r="J541" s="609" t="str">
        <f t="shared" si="44"/>
        <v>Gestión Administrativa y  financiera en apoyo al Desarrollo Académico</v>
      </c>
      <c r="K541" s="609" t="s">
        <v>412</v>
      </c>
    </row>
    <row r="542" spans="3:11">
      <c r="C542" s="582" t="s">
        <v>2255</v>
      </c>
      <c r="D542" s="592">
        <v>1</v>
      </c>
      <c r="E542" s="651">
        <v>19030</v>
      </c>
      <c r="F542" s="608">
        <f t="shared" si="43"/>
        <v>19030</v>
      </c>
      <c r="G542" s="626" t="s">
        <v>1486</v>
      </c>
      <c r="H542" s="622" t="s">
        <v>1003</v>
      </c>
      <c r="I542" s="617" t="str">
        <f>VLOOKUP(H542,Presupuesto!$B$11:$C$565,2,0)</f>
        <v>EQUIPO MEDICO Y LABORATORIO</v>
      </c>
      <c r="J542" s="609" t="str">
        <f t="shared" si="44"/>
        <v>Gestión Administrativa y  financiera en apoyo al Desarrollo Académico</v>
      </c>
      <c r="K542" s="609" t="s">
        <v>412</v>
      </c>
    </row>
    <row r="543" spans="3:11">
      <c r="C543" s="582" t="s">
        <v>2256</v>
      </c>
      <c r="D543" s="592">
        <v>1</v>
      </c>
      <c r="E543" s="651">
        <v>2816.44</v>
      </c>
      <c r="F543" s="608">
        <f t="shared" si="43"/>
        <v>2816.44</v>
      </c>
      <c r="G543" s="626" t="s">
        <v>1486</v>
      </c>
      <c r="H543" s="622" t="s">
        <v>1003</v>
      </c>
      <c r="I543" s="617" t="str">
        <f>VLOOKUP(H543,Presupuesto!$B$11:$C$565,2,0)</f>
        <v>EQUIPO MEDICO Y LABORATORIO</v>
      </c>
      <c r="J543" s="609" t="str">
        <f t="shared" si="44"/>
        <v>Gestión Administrativa y  financiera en apoyo al Desarrollo Académico</v>
      </c>
      <c r="K543" s="609" t="s">
        <v>401</v>
      </c>
    </row>
    <row r="544" spans="3:11">
      <c r="C544" s="582" t="s">
        <v>2257</v>
      </c>
      <c r="D544" s="592">
        <v>1</v>
      </c>
      <c r="E544" s="651">
        <v>66605</v>
      </c>
      <c r="F544" s="608">
        <f t="shared" si="43"/>
        <v>66605</v>
      </c>
      <c r="G544" s="626" t="s">
        <v>1486</v>
      </c>
      <c r="H544" s="622" t="s">
        <v>1003</v>
      </c>
      <c r="I544" s="617" t="str">
        <f>VLOOKUP(H544,Presupuesto!$B$11:$C$565,2,0)</f>
        <v>EQUIPO MEDICO Y LABORATORIO</v>
      </c>
      <c r="J544" s="609" t="str">
        <f t="shared" si="44"/>
        <v>Gestión Administrativa y  financiera en apoyo al Desarrollo Académico</v>
      </c>
      <c r="K544" s="609" t="s">
        <v>412</v>
      </c>
    </row>
    <row r="545" spans="3:11">
      <c r="C545" s="695" t="s">
        <v>2258</v>
      </c>
      <c r="D545" s="649">
        <v>2</v>
      </c>
      <c r="E545" s="650">
        <v>627.99</v>
      </c>
      <c r="F545" s="608">
        <f t="shared" si="43"/>
        <v>1255.98</v>
      </c>
      <c r="G545" s="626" t="s">
        <v>1486</v>
      </c>
      <c r="H545" s="622" t="s">
        <v>1053</v>
      </c>
      <c r="I545" s="617" t="str">
        <f>VLOOKUP(H545,Presupuesto!$B$11:$C$565,2,0)</f>
        <v>CONSTRUCCIONES Y MEJORAS DE BIENES NACIONALES EN DOMINIO PRIVADO</v>
      </c>
      <c r="J545" s="609" t="str">
        <f t="shared" si="44"/>
        <v>Gestión Administrativa y  financiera en apoyo al Desarrollo Académico</v>
      </c>
      <c r="K545" s="609" t="s">
        <v>412</v>
      </c>
    </row>
    <row r="546" spans="3:11">
      <c r="C546" s="695" t="s">
        <v>2259</v>
      </c>
      <c r="D546" s="649">
        <v>4</v>
      </c>
      <c r="E546" s="650">
        <v>627.99</v>
      </c>
      <c r="F546" s="608">
        <f t="shared" si="43"/>
        <v>2511.96</v>
      </c>
      <c r="G546" s="626" t="s">
        <v>1486</v>
      </c>
      <c r="H546" s="622" t="s">
        <v>1053</v>
      </c>
      <c r="I546" s="617" t="str">
        <f>VLOOKUP(H546,Presupuesto!$B$11:$C$565,2,0)</f>
        <v>CONSTRUCCIONES Y MEJORAS DE BIENES NACIONALES EN DOMINIO PRIVADO</v>
      </c>
      <c r="J546" s="609" t="str">
        <f t="shared" si="44"/>
        <v>Gestión Administrativa y  financiera en apoyo al Desarrollo Académico</v>
      </c>
      <c r="K546" s="609" t="s">
        <v>412</v>
      </c>
    </row>
    <row r="547" spans="3:11">
      <c r="C547" s="695" t="s">
        <v>2260</v>
      </c>
      <c r="D547" s="649">
        <v>4</v>
      </c>
      <c r="E547" s="650">
        <v>570.90000000000009</v>
      </c>
      <c r="F547" s="608">
        <f t="shared" si="43"/>
        <v>2283.6000000000004</v>
      </c>
      <c r="G547" s="626" t="s">
        <v>1486</v>
      </c>
      <c r="H547" s="622" t="s">
        <v>1053</v>
      </c>
      <c r="I547" s="617" t="str">
        <f>VLOOKUP(H547,Presupuesto!$B$11:$C$565,2,0)</f>
        <v>CONSTRUCCIONES Y MEJORAS DE BIENES NACIONALES EN DOMINIO PRIVADO</v>
      </c>
      <c r="J547" s="609" t="str">
        <f t="shared" si="44"/>
        <v>Gestión Administrativa y  financiera en apoyo al Desarrollo Académico</v>
      </c>
      <c r="K547" s="609" t="s">
        <v>412</v>
      </c>
    </row>
    <row r="548" spans="3:11">
      <c r="C548" s="695" t="s">
        <v>2257</v>
      </c>
      <c r="D548" s="649">
        <v>1</v>
      </c>
      <c r="E548" s="650">
        <v>66605</v>
      </c>
      <c r="F548" s="608">
        <f t="shared" si="43"/>
        <v>66605</v>
      </c>
      <c r="G548" s="626" t="s">
        <v>1486</v>
      </c>
      <c r="H548" s="622" t="s">
        <v>1053</v>
      </c>
      <c r="I548" s="617" t="str">
        <f>VLOOKUP(H548,Presupuesto!$B$11:$C$565,2,0)</f>
        <v>CONSTRUCCIONES Y MEJORAS DE BIENES NACIONALES EN DOMINIO PRIVADO</v>
      </c>
      <c r="J548" s="609" t="str">
        <f t="shared" si="44"/>
        <v>Gestión Administrativa y  financiera en apoyo al Desarrollo Académico</v>
      </c>
      <c r="K548" s="609" t="s">
        <v>412</v>
      </c>
    </row>
    <row r="549" spans="3:11">
      <c r="C549" s="695" t="s">
        <v>2261</v>
      </c>
      <c r="D549" s="649">
        <v>1</v>
      </c>
      <c r="E549" s="650">
        <v>666.05000000000007</v>
      </c>
      <c r="F549" s="608">
        <f t="shared" si="43"/>
        <v>666.05000000000007</v>
      </c>
      <c r="G549" s="626" t="s">
        <v>1486</v>
      </c>
      <c r="H549" s="622" t="s">
        <v>1053</v>
      </c>
      <c r="I549" s="617" t="str">
        <f>VLOOKUP(H549,Presupuesto!$B$11:$C$565,2,0)</f>
        <v>CONSTRUCCIONES Y MEJORAS DE BIENES NACIONALES EN DOMINIO PRIVADO</v>
      </c>
      <c r="J549" s="609" t="str">
        <f t="shared" si="44"/>
        <v>Gestión Administrativa y  financiera en apoyo al Desarrollo Académico</v>
      </c>
      <c r="K549" s="609" t="s">
        <v>412</v>
      </c>
    </row>
    <row r="550" spans="3:11">
      <c r="C550" s="695" t="s">
        <v>2262</v>
      </c>
      <c r="D550" s="649">
        <v>1</v>
      </c>
      <c r="E550" s="650">
        <v>666.05000000000007</v>
      </c>
      <c r="F550" s="608">
        <f t="shared" si="43"/>
        <v>666.05000000000007</v>
      </c>
      <c r="G550" s="626" t="s">
        <v>1486</v>
      </c>
      <c r="H550" s="622" t="s">
        <v>1053</v>
      </c>
      <c r="I550" s="617" t="str">
        <f>VLOOKUP(H550,Presupuesto!$B$11:$C$565,2,0)</f>
        <v>CONSTRUCCIONES Y MEJORAS DE BIENES NACIONALES EN DOMINIO PRIVADO</v>
      </c>
      <c r="J550" s="609" t="str">
        <f t="shared" si="44"/>
        <v>Gestión Administrativa y  financiera en apoyo al Desarrollo Académico</v>
      </c>
      <c r="K550" s="609" t="s">
        <v>412</v>
      </c>
    </row>
    <row r="551" spans="3:11">
      <c r="C551" s="695" t="s">
        <v>2263</v>
      </c>
      <c r="D551" s="649">
        <v>1</v>
      </c>
      <c r="E551" s="650">
        <v>761.2</v>
      </c>
      <c r="F551" s="608">
        <f t="shared" si="43"/>
        <v>761.2</v>
      </c>
      <c r="G551" s="626" t="s">
        <v>1486</v>
      </c>
      <c r="H551" s="622" t="s">
        <v>1053</v>
      </c>
      <c r="I551" s="617" t="str">
        <f>VLOOKUP(H551,Presupuesto!$B$11:$C$565,2,0)</f>
        <v>CONSTRUCCIONES Y MEJORAS DE BIENES NACIONALES EN DOMINIO PRIVADO</v>
      </c>
      <c r="J551" s="609" t="str">
        <f t="shared" si="44"/>
        <v>Gestión Administrativa y  financiera en apoyo al Desarrollo Académico</v>
      </c>
      <c r="K551" s="609" t="s">
        <v>412</v>
      </c>
    </row>
    <row r="552" spans="3:11">
      <c r="C552" s="695" t="s">
        <v>2264</v>
      </c>
      <c r="D552" s="649">
        <v>1</v>
      </c>
      <c r="E552" s="650">
        <v>666.05000000000007</v>
      </c>
      <c r="F552" s="608">
        <f t="shared" si="43"/>
        <v>666.05000000000007</v>
      </c>
      <c r="G552" s="626" t="s">
        <v>1486</v>
      </c>
      <c r="H552" s="622" t="s">
        <v>1053</v>
      </c>
      <c r="I552" s="617" t="str">
        <f>VLOOKUP(H552,Presupuesto!$B$11:$C$565,2,0)</f>
        <v>CONSTRUCCIONES Y MEJORAS DE BIENES NACIONALES EN DOMINIO PRIVADO</v>
      </c>
      <c r="J552" s="609" t="str">
        <f t="shared" si="44"/>
        <v>Gestión Administrativa y  financiera en apoyo al Desarrollo Académico</v>
      </c>
      <c r="K552" s="609" t="s">
        <v>412</v>
      </c>
    </row>
    <row r="553" spans="3:11">
      <c r="C553" s="695" t="s">
        <v>2265</v>
      </c>
      <c r="D553" s="649">
        <v>1</v>
      </c>
      <c r="E553" s="650">
        <v>1617.5500000000002</v>
      </c>
      <c r="F553" s="608">
        <f t="shared" si="43"/>
        <v>1617.5500000000002</v>
      </c>
      <c r="G553" s="626" t="s">
        <v>1486</v>
      </c>
      <c r="H553" s="622" t="s">
        <v>1053</v>
      </c>
      <c r="I553" s="617" t="str">
        <f>VLOOKUP(H553,Presupuesto!$B$11:$C$565,2,0)</f>
        <v>CONSTRUCCIONES Y MEJORAS DE BIENES NACIONALES EN DOMINIO PRIVADO</v>
      </c>
      <c r="J553" s="609" t="str">
        <f t="shared" si="44"/>
        <v>Gestión Administrativa y  financiera en apoyo al Desarrollo Académico</v>
      </c>
      <c r="K553" s="609" t="s">
        <v>412</v>
      </c>
    </row>
    <row r="554" spans="3:11" ht="30">
      <c r="C554" s="696" t="s">
        <v>2266</v>
      </c>
      <c r="D554" s="649">
        <v>1</v>
      </c>
      <c r="E554" s="650">
        <v>1427.25</v>
      </c>
      <c r="F554" s="608">
        <f t="shared" si="43"/>
        <v>1427.25</v>
      </c>
      <c r="G554" s="626" t="s">
        <v>1486</v>
      </c>
      <c r="H554" s="622" t="s">
        <v>1053</v>
      </c>
      <c r="I554" s="617" t="str">
        <f>VLOOKUP(H554,Presupuesto!$B$11:$C$565,2,0)</f>
        <v>CONSTRUCCIONES Y MEJORAS DE BIENES NACIONALES EN DOMINIO PRIVADO</v>
      </c>
      <c r="J554" s="609" t="str">
        <f t="shared" si="44"/>
        <v>Gestión Administrativa y  financiera en apoyo al Desarrollo Académico</v>
      </c>
      <c r="K554" s="609" t="s">
        <v>412</v>
      </c>
    </row>
    <row r="555" spans="3:11" ht="30">
      <c r="C555" s="696" t="s">
        <v>2267</v>
      </c>
      <c r="D555" s="649">
        <v>1</v>
      </c>
      <c r="E555" s="650">
        <v>133210</v>
      </c>
      <c r="F555" s="608">
        <f t="shared" si="43"/>
        <v>133210</v>
      </c>
      <c r="G555" s="626" t="s">
        <v>1486</v>
      </c>
      <c r="H555" s="622" t="s">
        <v>1053</v>
      </c>
      <c r="I555" s="617" t="str">
        <f>VLOOKUP(H555,Presupuesto!$B$11:$C$565,2,0)</f>
        <v>CONSTRUCCIONES Y MEJORAS DE BIENES NACIONALES EN DOMINIO PRIVADO</v>
      </c>
      <c r="J555" s="609" t="str">
        <f t="shared" si="44"/>
        <v>Gestión Administrativa y  financiera en apoyo al Desarrollo Académico</v>
      </c>
      <c r="K555" s="609" t="s">
        <v>412</v>
      </c>
    </row>
    <row r="559" spans="3:11" ht="15.75" thickBot="1"/>
    <row r="560" spans="3:11" ht="15.75" thickBot="1">
      <c r="C560" s="624" t="s">
        <v>53</v>
      </c>
      <c r="D560" s="365">
        <f>SUM(F567:F588)</f>
        <v>22000</v>
      </c>
      <c r="E560" s="606"/>
      <c r="F560" s="603"/>
      <c r="G560" s="605"/>
      <c r="H560" s="603"/>
      <c r="I560" s="603"/>
      <c r="J560" s="606"/>
      <c r="K560" s="606"/>
    </row>
    <row r="561" spans="3:11">
      <c r="C561" s="603"/>
      <c r="D561" s="601"/>
      <c r="E561" s="607"/>
      <c r="F561" s="607"/>
      <c r="G561" s="607"/>
      <c r="H561" s="604"/>
      <c r="I561" s="604"/>
      <c r="J561" s="604"/>
      <c r="K561" s="613"/>
    </row>
    <row r="562" spans="3:11">
      <c r="C562" s="603"/>
      <c r="D562" s="601"/>
      <c r="E562" s="607"/>
      <c r="F562" s="607"/>
      <c r="G562" s="607"/>
      <c r="H562" s="604"/>
      <c r="I562" s="604"/>
      <c r="J562" s="604"/>
      <c r="K562" s="613"/>
    </row>
    <row r="563" spans="3:11" ht="15.75">
      <c r="C563" s="630" t="s">
        <v>392</v>
      </c>
      <c r="D563" s="361" t="s">
        <v>2280</v>
      </c>
      <c r="E563" s="607"/>
      <c r="F563" s="607"/>
      <c r="G563" s="607"/>
      <c r="H563" s="604"/>
      <c r="I563" s="604"/>
      <c r="J563" s="604"/>
      <c r="K563" s="613"/>
    </row>
    <row r="564" spans="3:11" ht="18.75">
      <c r="C564" s="631" t="str">
        <f>IFERROR(VLOOKUP(D563,'1. Desarrollo e Innov. Curricu.'!$E:$F,2,FALSE),IFERROR(VLOOKUP(D563,'2. Investigación Científica'!$E:$F,2,FALSE),IFERROR(VLOOKUP(D563,'3. Vinculación Univ. Sociedad'!$E:$F,2,FALSE),IFERROR(VLOOKUP(D563,'4. Docencia y Profesorado Univ.'!$E:$F,2,FALSE),IFERROR(VLOOKUP(D563,'5. Estudiantes y Graduados'!$E:$F,2,FALSE),IFERROR(VLOOKUP(D563,'11. Gestion Administrativa'!$E:$F,2,FALSE),IFERROR(VLOOKUP(D563,'13. Gestión Académica'!$E:$F,2,FALSE),IFERROR(VLOOKUP(D563,'8. Asegura. de la Calid. y M'!$E:$F,2,FALSE),IFERROR(VLOOKUP(D563,'6. Gestión del Conocimiento'!$E:$F,2,FALSE),IFERROR(VLOOKUP(D563,'15. Gobernabilidad y Proceso...'!$E:$F,2,FALSE),IFERROR(VLOOKUP(D563,'12. Gestión del Talento Humano'!$E:$F,2,FALSE),IFERROR(VLOOKUP(D563,'14. Internacional... de la E.S.'!$E:$F,2,FALSE),IFERROR(VLOOKUP(D563,'10. Posgrado'!$E:$F,2,FALSE),IFERROR(VLOOKUP(D563,'17. Gestión TIC'!$E:$F,2,FALSE),IFERROR(VLOOKUP(D563,'16. Desa. del Sistema Educ.Sup.'!$E:$F,2,FALSE),IFERROR(VLOOKUP(D563,'9. Cultura de Inno. Insti...'!$E:$F,2,FALSE),VLOOKUP(D563,'7. Lo Esencial de la Reforma U.'!$E:$F,2,0)))))))))))))))))</f>
        <v>realizacion de 3 giras educativas a zonas que cuentan con cultivos y procesos que la zona oriental no cuenta.</v>
      </c>
      <c r="D564" s="601"/>
      <c r="E564" s="607"/>
      <c r="F564" s="607"/>
      <c r="G564" s="607"/>
      <c r="H564" s="604"/>
      <c r="I564" s="604"/>
      <c r="J564" s="604"/>
      <c r="K564" s="613"/>
    </row>
    <row r="565" spans="3:11" ht="15.75" thickBot="1">
      <c r="C565" s="606"/>
      <c r="D565" s="606"/>
      <c r="E565" s="606"/>
      <c r="F565" s="607"/>
      <c r="G565" s="604"/>
      <c r="H565" s="604"/>
      <c r="I565" s="604"/>
      <c r="J565" s="606"/>
      <c r="K565" s="606"/>
    </row>
    <row r="566" spans="3:11" ht="30.75" thickBot="1">
      <c r="C566" s="616" t="s">
        <v>44</v>
      </c>
      <c r="D566" s="616" t="s">
        <v>55</v>
      </c>
      <c r="E566" s="620" t="s">
        <v>57</v>
      </c>
      <c r="F566" s="619" t="s">
        <v>27</v>
      </c>
      <c r="G566" s="618" t="s">
        <v>131</v>
      </c>
      <c r="H566" s="620" t="s">
        <v>46</v>
      </c>
      <c r="I566" s="618" t="s">
        <v>132</v>
      </c>
      <c r="J566" s="618" t="s">
        <v>410</v>
      </c>
      <c r="K566" s="618" t="s">
        <v>411</v>
      </c>
    </row>
    <row r="567" spans="3:11">
      <c r="C567" s="634" t="s">
        <v>428</v>
      </c>
      <c r="D567" s="635">
        <f>2.5*2</f>
        <v>5</v>
      </c>
      <c r="E567" s="633">
        <f>HLOOKUP(C567,$AH$2:$BU$3,2,0)</f>
        <v>2000</v>
      </c>
      <c r="F567" s="608">
        <f t="shared" ref="F567" si="46">D567*E567</f>
        <v>10000</v>
      </c>
      <c r="G567" s="626" t="s">
        <v>129</v>
      </c>
      <c r="H567" s="622" t="s">
        <v>301</v>
      </c>
      <c r="I567" s="617" t="str">
        <f>VLOOKUP(H567,Presupuesto!$B$11:$C$565,2,0)</f>
        <v>VIATICOS (26200-00)</v>
      </c>
      <c r="J567" s="632" t="s">
        <v>472</v>
      </c>
      <c r="K567" s="609" t="s">
        <v>394</v>
      </c>
    </row>
    <row r="570" spans="3:11" ht="15.75">
      <c r="D570" s="701"/>
    </row>
    <row r="571" spans="3:11" ht="15.75" thickBot="1"/>
    <row r="572" spans="3:11" ht="15.75" thickBot="1">
      <c r="C572" s="624" t="s">
        <v>53</v>
      </c>
      <c r="D572" s="365">
        <f>SUM(F579:F636)</f>
        <v>912000</v>
      </c>
      <c r="E572" s="606"/>
      <c r="F572" s="603"/>
      <c r="G572" s="605"/>
      <c r="H572" s="603"/>
      <c r="I572" s="603"/>
      <c r="J572" s="606"/>
      <c r="K572" s="606"/>
    </row>
    <row r="573" spans="3:11">
      <c r="C573" s="603"/>
      <c r="D573" s="601"/>
      <c r="E573" s="607"/>
      <c r="F573" s="607"/>
      <c r="G573" s="607"/>
      <c r="H573" s="604"/>
      <c r="I573" s="604"/>
      <c r="J573" s="604"/>
      <c r="K573" s="613"/>
    </row>
    <row r="574" spans="3:11">
      <c r="C574" s="603"/>
      <c r="D574" s="601"/>
      <c r="E574" s="607"/>
      <c r="F574" s="607"/>
      <c r="G574" s="607"/>
      <c r="H574" s="604"/>
      <c r="I574" s="604"/>
      <c r="J574" s="604"/>
      <c r="K574" s="613"/>
    </row>
    <row r="575" spans="3:11" ht="15.75">
      <c r="C575" s="630" t="s">
        <v>392</v>
      </c>
      <c r="D575" s="361" t="s">
        <v>2318</v>
      </c>
      <c r="E575" s="607"/>
      <c r="F575" s="607"/>
      <c r="G575" s="607"/>
      <c r="H575" s="604"/>
      <c r="I575" s="604"/>
      <c r="J575" s="604"/>
      <c r="K575" s="613"/>
    </row>
    <row r="576" spans="3:11" ht="18.75">
      <c r="C576" s="631" t="str">
        <f>IFERROR(VLOOKUP(D575,'1. Desarrollo e Innov. Curricu.'!$E:$F,2,FALSE),IFERROR(VLOOKUP(D575,'2. Investigación Científica'!$E:$F,2,FALSE),IFERROR(VLOOKUP(D575,'3. Vinculación Univ. Sociedad'!$E:$F,2,FALSE),IFERROR(VLOOKUP(D575,'4. Docencia y Profesorado Univ.'!$E:$F,2,FALSE),IFERROR(VLOOKUP(D575,'5. Estudiantes y Graduados'!$E:$F,2,FALSE),IFERROR(VLOOKUP(D575,'11. Gestion Administrativa'!$E:$F,2,FALSE),IFERROR(VLOOKUP(D575,'13. Gestión Académica'!$E:$F,2,FALSE),IFERROR(VLOOKUP(D575,'8. Asegura. de la Calid. y M'!$E:$F,2,FALSE),IFERROR(VLOOKUP(D575,'6. Gestión del Conocimiento'!$E:$F,2,FALSE),IFERROR(VLOOKUP(D575,'15. Gobernabilidad y Proceso...'!$E:$F,2,FALSE),IFERROR(VLOOKUP(D575,'12. Gestión del Talento Humano'!$E:$F,2,FALSE),IFERROR(VLOOKUP(D575,'14. Internacional... de la E.S.'!$E:$F,2,FALSE),IFERROR(VLOOKUP(D575,'10. Posgrado'!$E:$F,2,FALSE),IFERROR(VLOOKUP(D575,'17. Gestión TIC'!$E:$F,2,FALSE),IFERROR(VLOOKUP(D575,'16. Desa. del Sistema Educ.Sup.'!$E:$F,2,FALSE),IFERROR(VLOOKUP(D575,'9. Cultura de Inno. Insti...'!$E:$F,2,FALSE),VLOOKUP(D575,'7. Lo Esencial de la Reforma U.'!$E:$F,2,0)))))))))))))))))</f>
        <v xml:space="preserve">PRODUCCION DE TRES CORTOMETRAJES </v>
      </c>
      <c r="D576" s="601"/>
      <c r="E576" s="607"/>
      <c r="F576" s="607"/>
      <c r="G576" s="607"/>
      <c r="H576" s="604"/>
      <c r="I576" s="604"/>
      <c r="J576" s="604"/>
      <c r="K576" s="613"/>
    </row>
    <row r="577" spans="3:11" ht="15.75" thickBot="1">
      <c r="C577" s="606"/>
      <c r="D577" s="606"/>
      <c r="E577" s="606"/>
      <c r="F577" s="607"/>
      <c r="G577" s="604"/>
      <c r="H577" s="604"/>
      <c r="I577" s="604"/>
      <c r="J577" s="606"/>
      <c r="K577" s="606"/>
    </row>
    <row r="578" spans="3:11" ht="30.75" thickBot="1">
      <c r="C578" s="616" t="s">
        <v>44</v>
      </c>
      <c r="D578" s="616" t="s">
        <v>55</v>
      </c>
      <c r="E578" s="620" t="s">
        <v>57</v>
      </c>
      <c r="F578" s="619" t="s">
        <v>27</v>
      </c>
      <c r="G578" s="618" t="s">
        <v>131</v>
      </c>
      <c r="H578" s="620" t="s">
        <v>46</v>
      </c>
      <c r="I578" s="618" t="s">
        <v>132</v>
      </c>
      <c r="J578" s="618" t="s">
        <v>410</v>
      </c>
      <c r="K578" s="618" t="s">
        <v>411</v>
      </c>
    </row>
    <row r="579" spans="3:11">
      <c r="C579" s="634" t="s">
        <v>428</v>
      </c>
      <c r="D579" s="635"/>
      <c r="E579" s="633">
        <f>HLOOKUP(C579,$AH$2:$BU$3,2,0)</f>
        <v>2000</v>
      </c>
      <c r="F579" s="608">
        <f t="shared" ref="F579:F580" si="47">D579*E579</f>
        <v>0</v>
      </c>
      <c r="G579" s="626"/>
      <c r="H579" s="622"/>
      <c r="I579" s="617" t="e">
        <f>VLOOKUP(H579,Presupuesto!$B$11:$C$565,2,0)</f>
        <v>#N/A</v>
      </c>
      <c r="J579" s="632" t="s">
        <v>1364</v>
      </c>
      <c r="K579" s="609" t="s">
        <v>394</v>
      </c>
    </row>
    <row r="580" spans="3:11">
      <c r="C580" s="647" t="s">
        <v>2326</v>
      </c>
      <c r="D580" s="586">
        <v>1</v>
      </c>
      <c r="E580" s="587">
        <v>12000</v>
      </c>
      <c r="F580" s="608">
        <f t="shared" si="47"/>
        <v>12000</v>
      </c>
      <c r="G580" s="626" t="s">
        <v>129</v>
      </c>
      <c r="H580" s="622" t="s">
        <v>743</v>
      </c>
      <c r="I580" s="617" t="str">
        <f>VLOOKUP(H580,Presupuesto!$B$11:$C$565,2,0)</f>
        <v>OTROS SERVICIOS COMERCIALES Y FINANCIEROS</v>
      </c>
      <c r="J580" s="609" t="s">
        <v>1361</v>
      </c>
      <c r="K580" s="609" t="s">
        <v>412</v>
      </c>
    </row>
    <row r="582" spans="3:11" ht="15.75" thickBot="1"/>
    <row r="583" spans="3:11" ht="15.75" thickBot="1">
      <c r="C583" s="624" t="s">
        <v>53</v>
      </c>
      <c r="D583" s="365">
        <f>SUM(F590:F647)</f>
        <v>900000</v>
      </c>
      <c r="E583" s="606"/>
      <c r="F583" s="603"/>
      <c r="G583" s="605"/>
      <c r="H583" s="603"/>
      <c r="I583" s="603"/>
      <c r="J583" s="606"/>
      <c r="K583" s="606"/>
    </row>
    <row r="584" spans="3:11">
      <c r="C584" s="603"/>
      <c r="D584" s="601"/>
      <c r="E584" s="607"/>
      <c r="F584" s="607"/>
      <c r="G584" s="607"/>
      <c r="H584" s="604"/>
      <c r="I584" s="604"/>
      <c r="J584" s="604"/>
      <c r="K584" s="613"/>
    </row>
    <row r="585" spans="3:11">
      <c r="C585" s="603"/>
      <c r="D585" s="601"/>
      <c r="E585" s="607"/>
      <c r="F585" s="607"/>
      <c r="G585" s="607"/>
      <c r="H585" s="604"/>
      <c r="I585" s="604"/>
      <c r="J585" s="604"/>
      <c r="K585" s="613"/>
    </row>
    <row r="586" spans="3:11" ht="15.75">
      <c r="C586" s="630" t="s">
        <v>392</v>
      </c>
      <c r="D586" s="361" t="s">
        <v>2344</v>
      </c>
      <c r="E586" s="607"/>
      <c r="F586" s="607"/>
      <c r="G586" s="607"/>
      <c r="H586" s="604"/>
      <c r="I586" s="604"/>
      <c r="J586" s="604"/>
      <c r="K586" s="613"/>
    </row>
    <row r="587" spans="3:11" ht="18.75">
      <c r="C587" s="631"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 xml:space="preserve">Gestionar la Adquisición de un vehiculo doble cabina 4x4 para realizar viajes de supervision a los estudiantes que estan realizando su servicio social  y para realizar viajes de trabajo a CU. </v>
      </c>
      <c r="D587" s="601"/>
      <c r="E587" s="607"/>
      <c r="F587" s="607"/>
      <c r="G587" s="607"/>
      <c r="H587" s="604"/>
      <c r="I587" s="604"/>
      <c r="J587" s="604"/>
      <c r="K587" s="613"/>
    </row>
    <row r="588" spans="3:11" ht="15.75" thickBot="1">
      <c r="C588" s="606"/>
      <c r="D588" s="606"/>
      <c r="E588" s="606"/>
      <c r="F588" s="607"/>
      <c r="G588" s="604"/>
      <c r="H588" s="604"/>
      <c r="I588" s="604"/>
      <c r="J588" s="606"/>
      <c r="K588" s="606"/>
    </row>
    <row r="589" spans="3:11" ht="30.75" thickBot="1">
      <c r="C589" s="616" t="s">
        <v>44</v>
      </c>
      <c r="D589" s="616" t="s">
        <v>55</v>
      </c>
      <c r="E589" s="620" t="s">
        <v>57</v>
      </c>
      <c r="F589" s="619" t="s">
        <v>27</v>
      </c>
      <c r="G589" s="618" t="s">
        <v>131</v>
      </c>
      <c r="H589" s="620" t="s">
        <v>46</v>
      </c>
      <c r="I589" s="618" t="s">
        <v>132</v>
      </c>
      <c r="J589" s="618" t="s">
        <v>410</v>
      </c>
      <c r="K589" s="618" t="s">
        <v>411</v>
      </c>
    </row>
    <row r="590" spans="3:11">
      <c r="C590" s="634" t="s">
        <v>428</v>
      </c>
      <c r="D590" s="635"/>
      <c r="E590" s="633">
        <f>HLOOKUP(C590,$AH$2:$BU$3,2,0)</f>
        <v>2000</v>
      </c>
      <c r="F590" s="608">
        <f t="shared" ref="F590:F591" si="48">D590*E590</f>
        <v>0</v>
      </c>
      <c r="G590" s="626"/>
      <c r="H590" s="622"/>
      <c r="I590" s="617" t="e">
        <f>VLOOKUP(H590,Presupuesto!$B$11:$C$565,2,0)</f>
        <v>#N/A</v>
      </c>
      <c r="J590" s="632" t="s">
        <v>1364</v>
      </c>
      <c r="K590" s="609" t="s">
        <v>394</v>
      </c>
    </row>
    <row r="591" spans="3:11">
      <c r="C591" s="621" t="s">
        <v>2374</v>
      </c>
      <c r="D591" s="645">
        <v>1</v>
      </c>
      <c r="E591" s="646">
        <v>840000</v>
      </c>
      <c r="F591" s="608">
        <f t="shared" si="48"/>
        <v>840000</v>
      </c>
      <c r="G591" s="626" t="s">
        <v>1486</v>
      </c>
      <c r="H591" s="615" t="s">
        <v>1000</v>
      </c>
      <c r="I591" s="617" t="str">
        <f>VLOOKUP(H591,Presupuesto!$B$11:$C$565,2,0)</f>
        <v>EQUIPO DE TRANSPORTE TRACCION Y ELEVACION</v>
      </c>
      <c r="J591" s="609" t="s">
        <v>1364</v>
      </c>
      <c r="K591" s="609" t="s">
        <v>412</v>
      </c>
    </row>
    <row r="593" spans="3:11" ht="15.75" thickBot="1"/>
    <row r="594" spans="3:11" ht="15.75" thickBot="1">
      <c r="C594" s="624" t="s">
        <v>53</v>
      </c>
      <c r="D594" s="365">
        <f>SUM(F601:F614)</f>
        <v>60000</v>
      </c>
      <c r="E594" s="606"/>
      <c r="F594" s="603"/>
      <c r="G594" s="605"/>
      <c r="H594" s="603"/>
      <c r="I594" s="603"/>
      <c r="J594" s="606"/>
      <c r="K594" s="606"/>
    </row>
    <row r="595" spans="3:11">
      <c r="C595" s="603"/>
      <c r="D595" s="601"/>
      <c r="E595" s="607"/>
      <c r="F595" s="607"/>
      <c r="G595" s="607"/>
      <c r="H595" s="604"/>
      <c r="I595" s="604"/>
      <c r="J595" s="604"/>
      <c r="K595" s="613"/>
    </row>
    <row r="596" spans="3:11">
      <c r="C596" s="603"/>
      <c r="D596" s="601"/>
      <c r="E596" s="607"/>
      <c r="F596" s="607"/>
      <c r="G596" s="607"/>
      <c r="H596" s="604"/>
      <c r="I596" s="604"/>
      <c r="J596" s="604"/>
      <c r="K596" s="613"/>
    </row>
    <row r="597" spans="3:11" ht="15.75">
      <c r="C597" s="630" t="s">
        <v>392</v>
      </c>
      <c r="D597" s="361" t="s">
        <v>2375</v>
      </c>
      <c r="E597" s="607"/>
      <c r="F597" s="607"/>
      <c r="G597" s="607"/>
      <c r="H597" s="604"/>
      <c r="I597" s="604"/>
      <c r="J597" s="604"/>
      <c r="K597" s="613"/>
    </row>
    <row r="598" spans="3:11" ht="18.75">
      <c r="C598" s="631" t="str">
        <f>IFERROR(VLOOKUP(D597,'1. Desarrollo e Innov. Curricu.'!$E:$F,2,FALSE),IFERROR(VLOOKUP(D597,'2. Investigación Científica'!$E:$F,2,FALSE),IFERROR(VLOOKUP(D597,'3. Vinculación Univ. Sociedad'!$E:$F,2,FALSE),IFERROR(VLOOKUP(D597,'4. Docencia y Profesorado Univ.'!$E:$F,2,FALSE),IFERROR(VLOOKUP(D597,'5. Estudiantes y Graduados'!$E:$F,2,FALSE),IFERROR(VLOOKUP(D597,'11. Gestion Administrativa'!$E:$F,2,FALSE),IFERROR(VLOOKUP(D597,'13. Gestión Académica'!$E:$F,2,FALSE),IFERROR(VLOOKUP(D597,'8. Asegura. de la Calid. y M'!$E:$F,2,FALSE),IFERROR(VLOOKUP(D597,'6. Gestión del Conocimiento'!$E:$F,2,FALSE),IFERROR(VLOOKUP(D597,'15. Gobernabilidad y Proceso...'!$E:$F,2,FALSE),IFERROR(VLOOKUP(D597,'12. Gestión del Talento Humano'!$E:$F,2,FALSE),IFERROR(VLOOKUP(D597,'14. Internacional... de la E.S.'!$E:$F,2,FALSE),IFERROR(VLOOKUP(D597,'10. Posgrado'!$E:$F,2,FALSE),IFERROR(VLOOKUP(D597,'17. Gestión TIC'!$E:$F,2,FALSE),IFERROR(VLOOKUP(D597,'16. Desa. del Sistema Educ.Sup.'!$E:$F,2,FALSE),IFERROR(VLOOKUP(D597,'9. Cultura de Inno. Insti...'!$E:$F,2,FALSE),VLOOKUP(D597,'7. Lo Esencial de la Reforma U.'!$E:$F,2,0)))))))))))))))))</f>
        <v xml:space="preserve">Gestionar Equipamiento area adminsitrativa, biblioteca, aula de ajedrez </v>
      </c>
      <c r="D598" s="601"/>
      <c r="E598" s="607"/>
      <c r="F598" s="607"/>
      <c r="G598" s="607"/>
      <c r="H598" s="604"/>
      <c r="I598" s="604"/>
      <c r="J598" s="604"/>
      <c r="K598" s="613"/>
    </row>
    <row r="599" spans="3:11" ht="15.75" thickBot="1">
      <c r="C599" s="606"/>
      <c r="D599" s="606"/>
      <c r="E599" s="606"/>
      <c r="F599" s="607"/>
      <c r="G599" s="604"/>
      <c r="H599" s="604"/>
      <c r="I599" s="604"/>
      <c r="J599" s="606"/>
      <c r="K599" s="606"/>
    </row>
    <row r="600" spans="3:11" ht="30.75" thickBot="1">
      <c r="C600" s="616" t="s">
        <v>44</v>
      </c>
      <c r="D600" s="616" t="s">
        <v>55</v>
      </c>
      <c r="E600" s="620" t="s">
        <v>57</v>
      </c>
      <c r="F600" s="619" t="s">
        <v>27</v>
      </c>
      <c r="G600" s="618" t="s">
        <v>131</v>
      </c>
      <c r="H600" s="620" t="s">
        <v>46</v>
      </c>
      <c r="I600" s="618" t="s">
        <v>132</v>
      </c>
      <c r="J600" s="618" t="s">
        <v>410</v>
      </c>
      <c r="K600" s="618" t="s">
        <v>411</v>
      </c>
    </row>
    <row r="601" spans="3:11">
      <c r="C601" s="634" t="s">
        <v>430</v>
      </c>
      <c r="D601" s="635"/>
      <c r="E601" s="633">
        <f>HLOOKUP(C601,$AH$2:$BU$3,2,0)</f>
        <v>1150</v>
      </c>
      <c r="F601" s="608">
        <f t="shared" ref="F601" si="49">D601*E601</f>
        <v>0</v>
      </c>
      <c r="G601" s="626"/>
      <c r="H601" s="622"/>
      <c r="I601" s="617" t="e">
        <f>VLOOKUP(H601,Presupuesto!$B$11:$C$565,2,0)</f>
        <v>#N/A</v>
      </c>
      <c r="J601" s="632" t="s">
        <v>1364</v>
      </c>
      <c r="K601" s="609" t="s">
        <v>394</v>
      </c>
    </row>
    <row r="602" spans="3:11">
      <c r="C602" s="702" t="s">
        <v>2384</v>
      </c>
      <c r="D602" s="586"/>
      <c r="E602" s="703">
        <v>1</v>
      </c>
      <c r="F602" s="704">
        <v>35000</v>
      </c>
      <c r="G602" s="626" t="s">
        <v>1486</v>
      </c>
      <c r="H602" s="622" t="s">
        <v>1000</v>
      </c>
      <c r="I602" s="617" t="str">
        <f>VLOOKUP(H602,Presupuesto!$B$11:$C$565,2,0)</f>
        <v>EQUIPO DE TRANSPORTE TRACCION Y ELEVACION</v>
      </c>
      <c r="J602" s="632" t="s">
        <v>1364</v>
      </c>
      <c r="K602" s="609" t="s">
        <v>412</v>
      </c>
    </row>
    <row r="603" spans="3:11">
      <c r="C603" s="647" t="s">
        <v>2385</v>
      </c>
      <c r="D603" s="586"/>
      <c r="E603" s="703">
        <v>1</v>
      </c>
      <c r="F603" s="704">
        <v>25000</v>
      </c>
      <c r="G603" s="626" t="s">
        <v>1486</v>
      </c>
      <c r="H603" s="622" t="s">
        <v>661</v>
      </c>
      <c r="I603" s="617" t="str">
        <f>VLOOKUP(H603,Presupuesto!$B$11:$C$565,2,0)</f>
        <v>OTROS ALQUILERES</v>
      </c>
      <c r="J603" s="632" t="s">
        <v>1364</v>
      </c>
      <c r="K603" s="609" t="s">
        <v>412</v>
      </c>
    </row>
  </sheetData>
  <dataConsolidate/>
  <conditionalFormatting sqref="H591">
    <cfRule type="duplicateValues" dxfId="2" priority="2"/>
  </conditionalFormatting>
  <conditionalFormatting sqref="H591">
    <cfRule type="duplicateValues" dxfId="1" priority="1"/>
  </conditionalFormatting>
  <dataValidations count="8">
    <dataValidation type="list" allowBlank="1" showInputMessage="1" showErrorMessage="1" errorTitle="¡Ingreso Inválido!" error="Seleccione una opción de la lista." promptTitle="Tipo de Presupuesto" prompt="Seleccione una opción de la lista." sqref="G404:G406 G38:G39 G82:G85 G50:G72 G95:G106 G127:G129 G116:G117 G154:G155 G166:G186 G259:G263 G288:G290 G273:G279 G348 G358:G359 G300:G338 G379:G382 G392:G394 G416:G417 G17:G18 G28:G29 G139:G144 G369:G371 G427:G428 G567 G438:G442 G452:G456 G466:G467 G477:G480 G490:G491 G501:G555 G579:G580 G590:G591 G601:G603 G197:G251">
      <formula1>$R$2:$S$2</formula1>
    </dataValidation>
    <dataValidation type="list" allowBlank="1" showInputMessage="1" showErrorMessage="1" errorTitle="¡Ingreso Inválido!" error="Seleccione una opción de la lista" promptTitle="Mes Requerido" prompt="Seleccione el mes en el que requiere el recurso." sqref="K427:K428 K38:K39 K50:K72 K95:K106 K82:K85 K127:K129 K116:K117 K154:K155 K166:K186 K273:K279 K288:K290 K259:K263 K348 K358:K359 K300:K338 K392:K394 K404:K406 K416:K417 K17:K18 K28:K29 K139:K144 K369:K371 K379:K382 K438:K442 K452:K456 K466:K467 K477:K480 K490:K491 K567 K501:K555 K579:K580 K590:K591 K601:K603 K197:K251">
      <formula1>$U$2:$AF$2</formula1>
    </dataValidation>
    <dataValidation type="list" allowBlank="1" showInputMessage="1" showErrorMessage="1" errorTitle="¡Ingreso Invalido!" error="Seleccione una opción de la lista." promptTitle="Categoria/Zona de Viáticos" prompt="Seleccione una opción de la lista" sqref="C17 C50 C82 C95 C38 C127 C139 C166 C197 C273 C288 C300 C348 C358 C369 C392 C404 C416 C427 C28 C116 C154 C259 C379 C438 C452 C466 C477:C478 C490 C501 C567 C579 C590 C601">
      <formula1>$AH$2:$BU$2</formula1>
    </dataValidation>
    <dataValidation type="list" allowBlank="1" showInputMessage="1" showErrorMessage="1" errorTitle="¡Ingreso Inválido!" error="Verifique el valor ingresado." promptTitle="Ingrese el Objeto de Gasto" prompt="Ingrese el Objeto de Gasto" sqref="H17:H18 H38:H39 H50:H72 H82:H85 H95:H106 H127:H129 H116:H117 H154:H155 H166:H186 H259:H263 H273:H279 H288:H290 H300:H338 H348 H358:H359 H379:H382 H394 H416:H417 H406 H28:H29 H139:H144 H369:H371 H392 H404 H427 H501:H555 H442 H452:H455 H466:H467 H477:H480 H490:H491 H438:H440 H567 H579:H580 H590 H601:H603 H197:H251">
      <formula1>$A$1:$UI$1</formula1>
    </dataValidation>
    <dataValidation type="list" allowBlank="1" showInputMessage="1" showErrorMessage="1" errorTitle="¡Ingreso Inválido!" error="Seleccione una opción de la lista." promptTitle="Dimensión Estratégica" prompt="Seleccione una opción de la lista." sqref="J51:J72 J39 J83:J85 J96:J106 J128:J129 J117 J167:J186 J155 J260:J263 J274:J279 J289:J290 J359 J301:J338 J393:J394 J405:J406 J417 J428 J18 J29 J140:J144 J370:J371 J380:J382 J439:J442 J467 J453:J456 J491 J502:J555 J580 J591 J198:J251">
      <formula1>$A$2:$P$2</formula1>
    </dataValidation>
    <dataValidation type="list" allowBlank="1" showInputMessage="1" showErrorMessage="1" errorTitle="¡Ingreso Inválido!" error="Seleccione una opción de la lista." promptTitle="Dimensión Estratégica" prompt="Seleccione una opción de la lista." sqref="J17 J50 J82 J95 J38 J127 J139 J166 J197 J273 J288 J300 J348 J358 J369 J392 J404 J416 J427 J28 J116 J154 J259 J379 J438 J452 J466 J567 J490 J501 J477:J480 J579 J590 J601:J603">
      <formula1>$A$2:$Q$2</formula1>
    </dataValidation>
    <dataValidation type="list" allowBlank="1" showInputMessage="1" showErrorMessage="1" errorTitle="¡Ingreso Inválido!" error="Verifique el valor ingresado.&#10;" sqref="H393 H405 H428 H441 H456">
      <formula1>$A$1:$UI$1</formula1>
    </dataValidation>
    <dataValidation type="list" allowBlank="1" showInputMessage="1" showErrorMessage="1" errorTitle="¡Ingreso Inválido!" error="Verifique el valor ingresado." promptTitle="Ingrese el Objeto de Gasto" prompt="Ingrese el Objeto de Gasto" sqref="H591">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D4" sqref="D4"/>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1441</v>
      </c>
      <c r="K2" s="122" t="s">
        <v>1364</v>
      </c>
      <c r="L2" s="122" t="s">
        <v>1365</v>
      </c>
      <c r="M2" s="122" t="s">
        <v>1366</v>
      </c>
      <c r="N2" s="122" t="s">
        <v>1367</v>
      </c>
      <c r="O2" s="122" t="s">
        <v>1368</v>
      </c>
      <c r="P2" s="122" t="s">
        <v>1456</v>
      </c>
      <c r="Q2" s="122" t="s">
        <v>1494</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5">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c r="E13" s="93"/>
      <c r="F13" s="93"/>
      <c r="G13" s="93"/>
      <c r="H13" s="76"/>
      <c r="I13" s="76"/>
      <c r="J13" s="76"/>
      <c r="K13" s="112"/>
    </row>
    <row r="14" spans="1:555" ht="18.75">
      <c r="B14" s="93"/>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8" t="s">
        <v>1441</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2"/>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65">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1"/>
      <c r="E44" s="93"/>
      <c r="F44" s="93"/>
      <c r="G44" s="93"/>
      <c r="H44" s="76"/>
      <c r="I44" s="76"/>
      <c r="J44" s="76"/>
      <c r="K44" s="112"/>
    </row>
    <row r="45" spans="3:12" ht="18.75">
      <c r="C45" s="210"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8" t="s">
        <v>1441</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2"/>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65">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1"/>
      <c r="E75" s="93"/>
      <c r="F75" s="93"/>
      <c r="G75" s="93"/>
      <c r="H75" s="76"/>
      <c r="I75" s="76"/>
      <c r="J75" s="76"/>
      <c r="K75" s="112"/>
    </row>
    <row r="76" spans="3:12" ht="18.75">
      <c r="C76" s="210"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8" t="s">
        <v>1441</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2"/>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65">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1"/>
      <c r="E106" s="93"/>
      <c r="F106" s="93"/>
      <c r="G106" s="93"/>
      <c r="H106" s="76"/>
      <c r="I106" s="76"/>
      <c r="J106" s="76"/>
      <c r="K106" s="112"/>
    </row>
    <row r="107" spans="3:12" ht="18.75">
      <c r="C107" s="210"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8" t="s">
        <v>1441</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2"/>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2015-10-05T18:24:14Z</dcterms:modified>
</cp:coreProperties>
</file>