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PERSONAL'!$C$12:$C$1000</definedName>
    <definedName name="_xlnm._FilterDatabase" localSheetId="5" hidden="1">'3. EQUIPO DE OFICINA'!$C$12:$C$235</definedName>
    <definedName name="_xlnm._FilterDatabase" localSheetId="6" hidden="1">'4. EQUIPO TECNOLÓGICOS'!$J$11:$J$288</definedName>
    <definedName name="_xlnm._FilterDatabase" localSheetId="7" hidden="1">'5. ACTIVIDADES ESPECIALES'!$J$13:$J$951</definedName>
    <definedName name="_xlnm._FilterDatabase" localSheetId="8" hidden="1">'6. Becas'!$J$13:$J$131</definedName>
    <definedName name="_xlnm._FilterDatabase" localSheetId="9" hidden="1">'7. Infraestructura'!$J$12:$J$87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21">'11. Gestion Administrativa'!$A$1:$U$40</definedName>
    <definedName name="_xlnm.Print_Area" localSheetId="0">'CME VACIO'!$A$1:$AK$32</definedName>
    <definedName name="_xlnm.Print_Titles" localSheetId="11">'1. Desarrollo e Innov. Curricu.'!$5:$7</definedName>
    <definedName name="_xlnm.Print_Titles" localSheetId="21">'11. Gestion Administrativa'!$1:$7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42" i="24" l="1"/>
  <c r="H42" i="24"/>
  <c r="I125" i="12"/>
  <c r="E125" i="12"/>
  <c r="F125" i="12" s="1"/>
  <c r="I124" i="12"/>
  <c r="E124" i="12"/>
  <c r="F124" i="12" s="1"/>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J106" i="12"/>
  <c r="I106" i="12"/>
  <c r="F106" i="12"/>
  <c r="J105" i="12"/>
  <c r="I105" i="12"/>
  <c r="F105" i="12"/>
  <c r="J104" i="12"/>
  <c r="I104" i="12"/>
  <c r="F104" i="12"/>
  <c r="J103" i="12"/>
  <c r="I103" i="12"/>
  <c r="F103" i="12"/>
  <c r="J102" i="12"/>
  <c r="I102" i="12"/>
  <c r="F102" i="12"/>
  <c r="J101" i="12"/>
  <c r="I101" i="12"/>
  <c r="F101" i="12"/>
  <c r="J100" i="12"/>
  <c r="I100" i="12"/>
  <c r="F100" i="12"/>
  <c r="J99" i="12"/>
  <c r="I99" i="12"/>
  <c r="F99" i="12"/>
  <c r="J98" i="12"/>
  <c r="I98" i="12"/>
  <c r="F98" i="12"/>
  <c r="J97" i="12"/>
  <c r="I97" i="12"/>
  <c r="F97" i="12"/>
  <c r="J96" i="12"/>
  <c r="I96" i="12"/>
  <c r="F96"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J61" i="12"/>
  <c r="I61" i="12"/>
  <c r="F61" i="12"/>
  <c r="J60" i="12"/>
  <c r="I60" i="12"/>
  <c r="F60" i="12"/>
  <c r="J59" i="12"/>
  <c r="I59" i="12"/>
  <c r="F59" i="12"/>
  <c r="J58" i="12"/>
  <c r="I58" i="12"/>
  <c r="F58" i="12"/>
  <c r="J57" i="12"/>
  <c r="I57" i="12"/>
  <c r="F57" i="12"/>
  <c r="J56" i="12"/>
  <c r="I56" i="12"/>
  <c r="F56" i="12"/>
  <c r="J55" i="12"/>
  <c r="I55" i="12"/>
  <c r="F55" i="12"/>
  <c r="J54" i="12"/>
  <c r="I54" i="12"/>
  <c r="F54" i="12"/>
  <c r="J53" i="12"/>
  <c r="I53" i="12"/>
  <c r="F53" i="12"/>
  <c r="J52" i="12"/>
  <c r="I52" i="12"/>
  <c r="F52"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I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I19" i="12"/>
  <c r="F19" i="12"/>
  <c r="I18" i="12"/>
  <c r="E18" i="12"/>
  <c r="D18" i="12"/>
  <c r="I17" i="12"/>
  <c r="E17" i="12"/>
  <c r="F17" i="12" s="1"/>
  <c r="J35" i="10"/>
  <c r="I35" i="10"/>
  <c r="F35" i="10"/>
  <c r="J34" i="10"/>
  <c r="I34" i="10"/>
  <c r="F34" i="10"/>
  <c r="J33" i="10"/>
  <c r="I33" i="10"/>
  <c r="F33" i="10"/>
  <c r="J32" i="10"/>
  <c r="I32" i="10"/>
  <c r="F32" i="10"/>
  <c r="J31" i="10"/>
  <c r="I31" i="10"/>
  <c r="F31" i="10"/>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F18" i="10"/>
  <c r="E18" i="10"/>
  <c r="I17" i="10"/>
  <c r="E17" i="10"/>
  <c r="F17" i="10" s="1"/>
  <c r="J23" i="9"/>
  <c r="I23" i="9"/>
  <c r="F23" i="9"/>
  <c r="K392" i="8"/>
  <c r="K393" i="8"/>
  <c r="K394" i="8"/>
  <c r="K395" i="8"/>
  <c r="K396" i="8"/>
  <c r="K397" i="8"/>
  <c r="K398" i="8"/>
  <c r="K399" i="8"/>
  <c r="K400" i="8"/>
  <c r="J400" i="8"/>
  <c r="G400" i="8"/>
  <c r="J399" i="8"/>
  <c r="J398" i="8"/>
  <c r="G398" i="8"/>
  <c r="F399" i="8" s="1"/>
  <c r="G399" i="8" s="1"/>
  <c r="J397" i="8"/>
  <c r="G397" i="8"/>
  <c r="J396" i="8"/>
  <c r="G396" i="8"/>
  <c r="J395" i="8"/>
  <c r="G395" i="8"/>
  <c r="J394" i="8"/>
  <c r="G394" i="8"/>
  <c r="J393" i="8"/>
  <c r="F393" i="8"/>
  <c r="G393" i="8" s="1"/>
  <c r="J392" i="8"/>
  <c r="G392" i="8"/>
  <c r="K332" i="8"/>
  <c r="K333" i="8"/>
  <c r="K334" i="8"/>
  <c r="J334" i="8"/>
  <c r="G334" i="8"/>
  <c r="J333" i="8"/>
  <c r="J332" i="8"/>
  <c r="G332" i="8"/>
  <c r="F333" i="8" s="1"/>
  <c r="G333" i="8" s="1"/>
  <c r="K272" i="8"/>
  <c r="K273" i="8"/>
  <c r="K274" i="8"/>
  <c r="J274" i="8"/>
  <c r="G274" i="8"/>
  <c r="J273" i="8"/>
  <c r="J272" i="8"/>
  <c r="G272" i="8"/>
  <c r="F273" i="8" s="1"/>
  <c r="G273" i="8" s="1"/>
  <c r="K218" i="8"/>
  <c r="K219" i="8"/>
  <c r="K220" i="8"/>
  <c r="J220" i="8"/>
  <c r="G220" i="8"/>
  <c r="J219" i="8"/>
  <c r="J218" i="8"/>
  <c r="G218" i="8"/>
  <c r="F219" i="8" s="1"/>
  <c r="G219" i="8" s="1"/>
  <c r="K134" i="8"/>
  <c r="K135" i="8"/>
  <c r="K136" i="8"/>
  <c r="K137" i="8"/>
  <c r="K138" i="8"/>
  <c r="K139" i="8"/>
  <c r="K140" i="8"/>
  <c r="K141" i="8"/>
  <c r="K142" i="8"/>
  <c r="K143" i="8"/>
  <c r="K144" i="8"/>
  <c r="K145" i="8"/>
  <c r="K146" i="8"/>
  <c r="K147" i="8"/>
  <c r="K148" i="8"/>
  <c r="K149" i="8"/>
  <c r="K150" i="8"/>
  <c r="K151" i="8"/>
  <c r="K152" i="8"/>
  <c r="K153" i="8"/>
  <c r="K154" i="8"/>
  <c r="J154" i="8"/>
  <c r="G154" i="8"/>
  <c r="J153" i="8"/>
  <c r="J152" i="8"/>
  <c r="G152" i="8"/>
  <c r="F153" i="8" s="1"/>
  <c r="G153" i="8" s="1"/>
  <c r="J151" i="8"/>
  <c r="G151" i="8"/>
  <c r="J150" i="8"/>
  <c r="F150" i="8"/>
  <c r="G150" i="8" s="1"/>
  <c r="J149" i="8"/>
  <c r="G149" i="8"/>
  <c r="J148" i="8"/>
  <c r="G148" i="8"/>
  <c r="J147" i="8"/>
  <c r="J146" i="8"/>
  <c r="G146" i="8"/>
  <c r="F147" i="8" s="1"/>
  <c r="G147" i="8" s="1"/>
  <c r="J145" i="8"/>
  <c r="G145" i="8"/>
  <c r="J144" i="8"/>
  <c r="J143" i="8"/>
  <c r="G143" i="8"/>
  <c r="F144" i="8" s="1"/>
  <c r="G144" i="8" s="1"/>
  <c r="J142" i="8"/>
  <c r="G142" i="8"/>
  <c r="J141" i="8"/>
  <c r="F141" i="8"/>
  <c r="G141" i="8" s="1"/>
  <c r="J140" i="8"/>
  <c r="G140" i="8"/>
  <c r="J139" i="8"/>
  <c r="G139" i="8"/>
  <c r="J138" i="8"/>
  <c r="J137" i="8"/>
  <c r="G137" i="8"/>
  <c r="F138" i="8" s="1"/>
  <c r="G138" i="8" s="1"/>
  <c r="J136" i="8"/>
  <c r="G136" i="8"/>
  <c r="J135" i="8"/>
  <c r="F135" i="8"/>
  <c r="G135" i="8" s="1"/>
  <c r="J134" i="8"/>
  <c r="G134" i="8"/>
  <c r="K82" i="8"/>
  <c r="J82" i="8"/>
  <c r="G82" i="8"/>
  <c r="K81" i="8"/>
  <c r="J81" i="8"/>
  <c r="K80" i="8"/>
  <c r="J80" i="8"/>
  <c r="G80" i="8"/>
  <c r="F81" i="8" s="1"/>
  <c r="G81" i="8" s="1"/>
  <c r="K76" i="8"/>
  <c r="J76" i="8"/>
  <c r="G76" i="8"/>
  <c r="K75" i="8"/>
  <c r="J75" i="8"/>
  <c r="K74" i="8"/>
  <c r="J74" i="8"/>
  <c r="G74" i="8"/>
  <c r="F75" i="8" s="1"/>
  <c r="G75" i="8" s="1"/>
  <c r="K73" i="8"/>
  <c r="J73" i="8"/>
  <c r="G73" i="8"/>
  <c r="K72" i="8"/>
  <c r="J72" i="8"/>
  <c r="F72" i="8"/>
  <c r="G72" i="8" s="1"/>
  <c r="K71" i="8"/>
  <c r="J71" i="8"/>
  <c r="G71" i="8"/>
  <c r="K70" i="8"/>
  <c r="J70" i="8"/>
  <c r="G70" i="8"/>
  <c r="K69" i="8"/>
  <c r="J69" i="8"/>
  <c r="K68" i="8"/>
  <c r="J68" i="8"/>
  <c r="G68" i="8"/>
  <c r="F69" i="8" s="1"/>
  <c r="G69" i="8" s="1"/>
  <c r="K67" i="8"/>
  <c r="J67" i="8"/>
  <c r="G67" i="8"/>
  <c r="K66" i="8"/>
  <c r="J66" i="8"/>
  <c r="K65" i="8"/>
  <c r="J65" i="8"/>
  <c r="G65" i="8"/>
  <c r="F66" i="8" s="1"/>
  <c r="G66" i="8" s="1"/>
  <c r="K64" i="8"/>
  <c r="J64" i="8"/>
  <c r="G64" i="8"/>
  <c r="K63" i="8"/>
  <c r="J63" i="8"/>
  <c r="F63" i="8"/>
  <c r="G63" i="8" s="1"/>
  <c r="K62" i="8"/>
  <c r="J62" i="8"/>
  <c r="G62" i="8"/>
  <c r="K61" i="8"/>
  <c r="J61" i="8"/>
  <c r="G61" i="8"/>
  <c r="K60" i="8"/>
  <c r="J60" i="8"/>
  <c r="K59" i="8"/>
  <c r="J59" i="8"/>
  <c r="G59" i="8"/>
  <c r="F60" i="8" s="1"/>
  <c r="G60" i="8" s="1"/>
  <c r="F18" i="12" l="1"/>
  <c r="P20" i="24"/>
  <c r="I20" i="24" s="1"/>
  <c r="L18" i="24"/>
  <c r="J18" i="24"/>
  <c r="W15" i="24"/>
  <c r="O20" i="24" l="1"/>
  <c r="K20" i="24"/>
  <c r="M20" i="24"/>
  <c r="W16" i="24"/>
  <c r="N17" i="24"/>
  <c r="L17" i="24"/>
  <c r="J17" i="24"/>
  <c r="Y16" i="24"/>
  <c r="X16" i="24"/>
  <c r="N16" i="24"/>
  <c r="L16" i="24"/>
  <c r="J16" i="24"/>
  <c r="H16" i="24"/>
  <c r="Z15" i="24"/>
  <c r="Y15" i="24"/>
  <c r="X15" i="24"/>
  <c r="N15" i="24"/>
  <c r="L15" i="24"/>
  <c r="J15" i="24"/>
  <c r="H15" i="24"/>
  <c r="I98" i="42"/>
  <c r="F98" i="42"/>
  <c r="C94" i="42"/>
  <c r="I18" i="42"/>
  <c r="F18" i="42"/>
  <c r="D91" i="42" l="1"/>
  <c r="C143" i="43" l="1"/>
  <c r="C100" i="43"/>
  <c r="C57" i="43"/>
  <c r="C14" i="43"/>
  <c r="C83" i="42"/>
  <c r="C73" i="42"/>
  <c r="C62" i="42"/>
  <c r="C51" i="42"/>
  <c r="C35" i="42"/>
  <c r="C107" i="40"/>
  <c r="C76" i="40"/>
  <c r="C45" i="40"/>
  <c r="C13" i="42"/>
  <c r="C14" i="40"/>
  <c r="C914" i="12"/>
  <c r="C870" i="12"/>
  <c r="C826" i="12"/>
  <c r="C782" i="12"/>
  <c r="C738" i="12"/>
  <c r="C694" i="12"/>
  <c r="C650" i="12"/>
  <c r="C606" i="12"/>
  <c r="C562" i="12"/>
  <c r="C518" i="12"/>
  <c r="C474" i="12"/>
  <c r="C430" i="12"/>
  <c r="C385" i="12"/>
  <c r="C341" i="12"/>
  <c r="C297" i="12"/>
  <c r="C253" i="12"/>
  <c r="C209" i="12"/>
  <c r="C165" i="12"/>
  <c r="C121" i="12"/>
  <c r="C14" i="12"/>
  <c r="C272" i="10"/>
  <c r="C249" i="10"/>
  <c r="C226" i="10"/>
  <c r="C203" i="10"/>
  <c r="C180" i="10"/>
  <c r="C157" i="10"/>
  <c r="C134" i="10"/>
  <c r="C111" i="10"/>
  <c r="C88" i="10"/>
  <c r="C65" i="10"/>
  <c r="C14" i="10"/>
  <c r="C223" i="9"/>
  <c r="C204" i="9"/>
  <c r="C185" i="9"/>
  <c r="C166" i="9"/>
  <c r="C147" i="9"/>
  <c r="C128" i="9"/>
  <c r="C109" i="9"/>
  <c r="C90" i="9"/>
  <c r="C71" i="9"/>
  <c r="C52" i="9"/>
  <c r="C33" i="9"/>
  <c r="C14" i="9"/>
  <c r="C947" i="8"/>
  <c r="C887" i="8"/>
  <c r="C827" i="8"/>
  <c r="C767" i="8"/>
  <c r="C707" i="8"/>
  <c r="C647" i="8"/>
  <c r="C587" i="8"/>
  <c r="C527" i="8"/>
  <c r="C467" i="8"/>
  <c r="C407" i="8"/>
  <c r="C347" i="8"/>
  <c r="C287" i="8"/>
  <c r="C227" i="8"/>
  <c r="C167" i="8"/>
  <c r="C89"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E33" i="12" s="1"/>
  <c r="F33" i="12" s="1"/>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9" i="42"/>
  <c r="C42"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P15" i="24"/>
  <c r="P16" i="24"/>
  <c r="P17" i="24"/>
  <c r="P18" i="24"/>
  <c r="P19" i="24"/>
  <c r="P21" i="24"/>
  <c r="O22" i="24"/>
  <c r="P22" i="24"/>
  <c r="O23" i="24"/>
  <c r="P23" i="24"/>
  <c r="O24" i="24"/>
  <c r="P24" i="24"/>
  <c r="O25" i="24"/>
  <c r="P25" i="24"/>
  <c r="O26" i="24"/>
  <c r="P26" i="24"/>
  <c r="O27" i="24"/>
  <c r="P27" i="24"/>
  <c r="P28" i="24"/>
  <c r="P29" i="24"/>
  <c r="P30" i="24"/>
  <c r="O31" i="24"/>
  <c r="P31" i="24"/>
  <c r="O32" i="24"/>
  <c r="P32" i="24"/>
  <c r="O33" i="24"/>
  <c r="P33" i="24"/>
  <c r="O34" i="24"/>
  <c r="P34" i="24"/>
  <c r="O35" i="24"/>
  <c r="P35" i="24"/>
  <c r="O36" i="24"/>
  <c r="P36" i="24"/>
  <c r="O37" i="24"/>
  <c r="P37" i="24"/>
  <c r="O38" i="24"/>
  <c r="P38" i="24"/>
  <c r="O39" i="24"/>
  <c r="P39"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M18" i="24" l="1"/>
  <c r="K18" i="24"/>
  <c r="G18" i="24"/>
  <c r="O18" i="24" s="1"/>
  <c r="I18" i="24"/>
  <c r="M16" i="24"/>
  <c r="G16" i="24"/>
  <c r="K16" i="24"/>
  <c r="I16" i="24"/>
  <c r="M19" i="24"/>
  <c r="K19" i="24"/>
  <c r="I19" i="24"/>
  <c r="O19" i="24" s="1"/>
  <c r="K17" i="24"/>
  <c r="M17" i="24"/>
  <c r="G17" i="24"/>
  <c r="I17" i="24"/>
  <c r="K15" i="24"/>
  <c r="I15" i="24"/>
  <c r="G15" i="24"/>
  <c r="M15" i="24"/>
  <c r="K29" i="24"/>
  <c r="G29" i="24"/>
  <c r="M29" i="24"/>
  <c r="I29" i="24"/>
  <c r="I21" i="24"/>
  <c r="K21" i="24"/>
  <c r="M21" i="24"/>
  <c r="K28" i="24"/>
  <c r="G28" i="24"/>
  <c r="M28" i="24"/>
  <c r="I28" i="24"/>
  <c r="M30" i="24"/>
  <c r="K30" i="24"/>
  <c r="I30" i="24"/>
  <c r="G30" i="24"/>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45" i="42"/>
  <c r="J44" i="42"/>
  <c r="J43" i="42"/>
  <c r="J42" i="42"/>
  <c r="J41" i="42"/>
  <c r="J40" i="42"/>
  <c r="J56" i="42"/>
  <c r="J67" i="42"/>
  <c r="I87" i="42"/>
  <c r="F87" i="42"/>
  <c r="I77" i="42"/>
  <c r="F77" i="42"/>
  <c r="I67" i="42"/>
  <c r="F67" i="42"/>
  <c r="I66" i="42"/>
  <c r="F66" i="42"/>
  <c r="I56" i="42"/>
  <c r="F56" i="42"/>
  <c r="I55" i="42"/>
  <c r="F55" i="42"/>
  <c r="I45" i="42"/>
  <c r="F45" i="42"/>
  <c r="I44" i="42"/>
  <c r="F44" i="42"/>
  <c r="I43" i="42"/>
  <c r="F43" i="42"/>
  <c r="I42" i="42"/>
  <c r="F42" i="42"/>
  <c r="I41" i="42"/>
  <c r="F41" i="42"/>
  <c r="I40" i="42"/>
  <c r="F40" i="42"/>
  <c r="I39" i="42"/>
  <c r="F39"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951" i="12"/>
  <c r="J950" i="12"/>
  <c r="J949" i="12"/>
  <c r="J948" i="12"/>
  <c r="J947" i="12"/>
  <c r="J946" i="12"/>
  <c r="J945" i="12"/>
  <c r="J944" i="12"/>
  <c r="J943" i="12"/>
  <c r="J942" i="12"/>
  <c r="J941" i="12"/>
  <c r="J940" i="12"/>
  <c r="J939" i="12"/>
  <c r="J938" i="12"/>
  <c r="J937" i="12"/>
  <c r="J936" i="12"/>
  <c r="J935" i="12"/>
  <c r="J934" i="12"/>
  <c r="J933" i="12"/>
  <c r="J932" i="12"/>
  <c r="J931" i="12"/>
  <c r="J930" i="12"/>
  <c r="J929" i="12"/>
  <c r="J928" i="12"/>
  <c r="J927" i="12"/>
  <c r="J926" i="12"/>
  <c r="J925" i="12"/>
  <c r="J924" i="12"/>
  <c r="J923" i="12"/>
  <c r="J922" i="12"/>
  <c r="J921" i="12"/>
  <c r="J920" i="12"/>
  <c r="J919" i="12"/>
  <c r="J918" i="12"/>
  <c r="J907" i="12"/>
  <c r="J906" i="12"/>
  <c r="J905" i="12"/>
  <c r="J904" i="12"/>
  <c r="J903" i="12"/>
  <c r="J902" i="12"/>
  <c r="J901" i="12"/>
  <c r="J900" i="12"/>
  <c r="J899" i="12"/>
  <c r="J898" i="12"/>
  <c r="J897" i="12"/>
  <c r="J896" i="12"/>
  <c r="J895" i="12"/>
  <c r="J894" i="12"/>
  <c r="J893" i="12"/>
  <c r="J892" i="12"/>
  <c r="J891" i="12"/>
  <c r="J890" i="12"/>
  <c r="J889" i="12"/>
  <c r="J888" i="12"/>
  <c r="J887" i="12"/>
  <c r="J886" i="12"/>
  <c r="J885" i="12"/>
  <c r="J884" i="12"/>
  <c r="J883" i="12"/>
  <c r="J882" i="12"/>
  <c r="J881" i="12"/>
  <c r="J880" i="12"/>
  <c r="J879" i="12"/>
  <c r="J878" i="12"/>
  <c r="J877" i="12"/>
  <c r="J876" i="12"/>
  <c r="J875" i="12"/>
  <c r="J874" i="12"/>
  <c r="J863" i="12"/>
  <c r="J862" i="12"/>
  <c r="J861" i="12"/>
  <c r="J860" i="12"/>
  <c r="J859" i="12"/>
  <c r="J858" i="12"/>
  <c r="J857" i="12"/>
  <c r="J856" i="12"/>
  <c r="J855" i="12"/>
  <c r="J854" i="12"/>
  <c r="J85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19" i="12"/>
  <c r="J818" i="12"/>
  <c r="J817" i="12"/>
  <c r="J816" i="12"/>
  <c r="J815" i="12"/>
  <c r="J814" i="12"/>
  <c r="J813" i="12"/>
  <c r="J812" i="12"/>
  <c r="J811" i="12"/>
  <c r="J810" i="12"/>
  <c r="J80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75" i="12"/>
  <c r="J774" i="12"/>
  <c r="J773" i="12"/>
  <c r="J772" i="12"/>
  <c r="J771" i="12"/>
  <c r="J770" i="12"/>
  <c r="J769" i="12"/>
  <c r="J768" i="12"/>
  <c r="J767" i="12"/>
  <c r="J766" i="12"/>
  <c r="J76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31" i="12"/>
  <c r="J730" i="12"/>
  <c r="J729" i="12"/>
  <c r="J728" i="12"/>
  <c r="J727" i="12"/>
  <c r="J726" i="12"/>
  <c r="J725" i="12"/>
  <c r="J724" i="12"/>
  <c r="J723" i="12"/>
  <c r="J722" i="12"/>
  <c r="J721" i="12"/>
  <c r="J720" i="12"/>
  <c r="J719" i="12"/>
  <c r="J718" i="12"/>
  <c r="J717" i="12"/>
  <c r="J716" i="12"/>
  <c r="J715" i="12"/>
  <c r="J714" i="12"/>
  <c r="J713" i="12"/>
  <c r="J712" i="12"/>
  <c r="J711" i="12"/>
  <c r="J710" i="12"/>
  <c r="J709" i="12"/>
  <c r="J708" i="12"/>
  <c r="J707" i="12"/>
  <c r="J706" i="12"/>
  <c r="J705" i="12"/>
  <c r="J704" i="12"/>
  <c r="J703" i="12"/>
  <c r="J702" i="12"/>
  <c r="J701" i="12"/>
  <c r="J700" i="12"/>
  <c r="J699" i="12"/>
  <c r="J698" i="12"/>
  <c r="J687" i="12"/>
  <c r="J686" i="12"/>
  <c r="J685" i="12"/>
  <c r="J684" i="12"/>
  <c r="J683" i="12"/>
  <c r="J682" i="12"/>
  <c r="J681" i="12"/>
  <c r="J680" i="12"/>
  <c r="J679" i="12"/>
  <c r="J678" i="12"/>
  <c r="J677" i="12"/>
  <c r="J676" i="12"/>
  <c r="J675" i="12"/>
  <c r="J674" i="12"/>
  <c r="J673" i="12"/>
  <c r="J672" i="12"/>
  <c r="J671" i="12"/>
  <c r="J670" i="12"/>
  <c r="J669" i="12"/>
  <c r="J668" i="12"/>
  <c r="J667" i="12"/>
  <c r="J666" i="12"/>
  <c r="J665" i="12"/>
  <c r="J664" i="12"/>
  <c r="J663" i="12"/>
  <c r="J662" i="12"/>
  <c r="J661" i="12"/>
  <c r="J660" i="12"/>
  <c r="J659" i="12"/>
  <c r="J658" i="12"/>
  <c r="J657" i="12"/>
  <c r="J656" i="12"/>
  <c r="J655" i="12"/>
  <c r="J654" i="12"/>
  <c r="J643" i="12"/>
  <c r="J642" i="12"/>
  <c r="J641" i="12"/>
  <c r="J640" i="12"/>
  <c r="J639" i="12"/>
  <c r="J638" i="12"/>
  <c r="J637" i="12"/>
  <c r="J636" i="12"/>
  <c r="J635" i="12"/>
  <c r="J634" i="12"/>
  <c r="J633" i="12"/>
  <c r="J632" i="12"/>
  <c r="J631" i="12"/>
  <c r="J630" i="12"/>
  <c r="J629" i="12"/>
  <c r="J628" i="12"/>
  <c r="J627" i="12"/>
  <c r="J626" i="12"/>
  <c r="J625" i="12"/>
  <c r="J624" i="12"/>
  <c r="J623" i="12"/>
  <c r="J622" i="12"/>
  <c r="J621" i="12"/>
  <c r="J620" i="12"/>
  <c r="J619" i="12"/>
  <c r="J618" i="12"/>
  <c r="J617" i="12"/>
  <c r="J616" i="12"/>
  <c r="J615" i="12"/>
  <c r="J614" i="12"/>
  <c r="J613" i="12"/>
  <c r="J612" i="12"/>
  <c r="J611" i="12"/>
  <c r="J610" i="12"/>
  <c r="J599" i="12"/>
  <c r="J598" i="12"/>
  <c r="J597" i="12"/>
  <c r="J596" i="12"/>
  <c r="J595" i="12"/>
  <c r="J594" i="12"/>
  <c r="J593" i="12"/>
  <c r="J592" i="12"/>
  <c r="J591" i="12"/>
  <c r="J590" i="12"/>
  <c r="J589" i="12"/>
  <c r="J588" i="12"/>
  <c r="J587" i="12"/>
  <c r="J586" i="12"/>
  <c r="J585" i="12"/>
  <c r="J584" i="12"/>
  <c r="J583" i="12"/>
  <c r="J582" i="12"/>
  <c r="J581" i="12"/>
  <c r="J580" i="12"/>
  <c r="J579" i="12"/>
  <c r="J578" i="12"/>
  <c r="J577" i="12"/>
  <c r="J576" i="12"/>
  <c r="J575" i="12"/>
  <c r="J574" i="12"/>
  <c r="J573" i="12"/>
  <c r="J572" i="12"/>
  <c r="J571" i="12"/>
  <c r="J570" i="12"/>
  <c r="J569" i="12"/>
  <c r="J568" i="12"/>
  <c r="J567" i="12"/>
  <c r="J566" i="12"/>
  <c r="J555" i="12"/>
  <c r="J554" i="12"/>
  <c r="J553" i="12"/>
  <c r="J552" i="12"/>
  <c r="J551" i="12"/>
  <c r="J550" i="12"/>
  <c r="J549" i="12"/>
  <c r="J548" i="12"/>
  <c r="J547" i="12"/>
  <c r="J546" i="12"/>
  <c r="J545" i="12"/>
  <c r="J544" i="12"/>
  <c r="J543" i="12"/>
  <c r="J542" i="12"/>
  <c r="J541" i="12"/>
  <c r="J540" i="12"/>
  <c r="J539" i="12"/>
  <c r="J538" i="12"/>
  <c r="J537" i="12"/>
  <c r="J536" i="12"/>
  <c r="J535" i="12"/>
  <c r="J534" i="12"/>
  <c r="J533" i="12"/>
  <c r="J532" i="12"/>
  <c r="J531" i="12"/>
  <c r="J530" i="12"/>
  <c r="J529" i="12"/>
  <c r="J528" i="12"/>
  <c r="J527" i="12"/>
  <c r="J526" i="12"/>
  <c r="J525" i="12"/>
  <c r="J524" i="12"/>
  <c r="J523" i="12"/>
  <c r="J522" i="12"/>
  <c r="J511" i="12"/>
  <c r="J510" i="12"/>
  <c r="J509" i="12"/>
  <c r="J508" i="12"/>
  <c r="J507" i="12"/>
  <c r="J506" i="12"/>
  <c r="J505" i="12"/>
  <c r="J504" i="12"/>
  <c r="J503" i="12"/>
  <c r="J502" i="12"/>
  <c r="J501" i="12"/>
  <c r="J500" i="12"/>
  <c r="J499" i="12"/>
  <c r="J498" i="12"/>
  <c r="J497" i="12"/>
  <c r="J496" i="12"/>
  <c r="J495" i="12"/>
  <c r="J494" i="12"/>
  <c r="J493" i="12"/>
  <c r="J492" i="12"/>
  <c r="J491" i="12"/>
  <c r="J490" i="12"/>
  <c r="J489" i="12"/>
  <c r="J488" i="12"/>
  <c r="J487" i="12"/>
  <c r="J486" i="12"/>
  <c r="J485" i="12"/>
  <c r="J484" i="12"/>
  <c r="J483" i="12"/>
  <c r="J482" i="12"/>
  <c r="J481" i="12"/>
  <c r="J480" i="12"/>
  <c r="J479" i="12"/>
  <c r="J478" i="12"/>
  <c r="J467" i="12"/>
  <c r="J466" i="12"/>
  <c r="J465" i="12"/>
  <c r="J464" i="12"/>
  <c r="J463" i="12"/>
  <c r="J462" i="12"/>
  <c r="J461" i="12"/>
  <c r="J460" i="12"/>
  <c r="J459" i="12"/>
  <c r="J458" i="12"/>
  <c r="J457" i="12"/>
  <c r="J456" i="12"/>
  <c r="J455" i="12"/>
  <c r="J454" i="12"/>
  <c r="J453" i="12"/>
  <c r="J452" i="12"/>
  <c r="J451" i="12"/>
  <c r="J450" i="12"/>
  <c r="J449" i="12"/>
  <c r="J448" i="12"/>
  <c r="J447" i="12"/>
  <c r="J446" i="12"/>
  <c r="J445" i="12"/>
  <c r="J444" i="12"/>
  <c r="J443" i="12"/>
  <c r="J442" i="12"/>
  <c r="J441" i="12"/>
  <c r="J440" i="12"/>
  <c r="J439" i="12"/>
  <c r="J438" i="12"/>
  <c r="J437" i="12"/>
  <c r="J436" i="12"/>
  <c r="J435" i="12"/>
  <c r="J434" i="12"/>
  <c r="J422" i="12"/>
  <c r="J421" i="12"/>
  <c r="J420" i="12"/>
  <c r="J419" i="12"/>
  <c r="J418" i="12"/>
  <c r="J417" i="12"/>
  <c r="J416" i="12"/>
  <c r="J415" i="12"/>
  <c r="J414" i="12"/>
  <c r="J413" i="12"/>
  <c r="J412" i="12"/>
  <c r="J411" i="12"/>
  <c r="J410" i="12"/>
  <c r="J409" i="12"/>
  <c r="J408" i="12"/>
  <c r="J407" i="12"/>
  <c r="J406" i="12"/>
  <c r="J405" i="12"/>
  <c r="J404" i="12"/>
  <c r="J403" i="12"/>
  <c r="J402" i="12"/>
  <c r="J401" i="12"/>
  <c r="J400" i="12"/>
  <c r="J399" i="12"/>
  <c r="J398" i="12"/>
  <c r="J397" i="12"/>
  <c r="J396" i="12"/>
  <c r="J395" i="12"/>
  <c r="J394" i="12"/>
  <c r="J393" i="12"/>
  <c r="J392" i="12"/>
  <c r="J391" i="12"/>
  <c r="J390" i="12"/>
  <c r="J389" i="12"/>
  <c r="J378" i="12"/>
  <c r="J377" i="12"/>
  <c r="J376" i="12"/>
  <c r="J375" i="12"/>
  <c r="J374" i="12"/>
  <c r="J373" i="12"/>
  <c r="J372" i="12"/>
  <c r="J371" i="12"/>
  <c r="J370" i="12"/>
  <c r="J369" i="12"/>
  <c r="J368" i="12"/>
  <c r="J367" i="12"/>
  <c r="J366" i="12"/>
  <c r="J365" i="12"/>
  <c r="J364" i="12"/>
  <c r="J363" i="12"/>
  <c r="J362" i="12"/>
  <c r="J361" i="12"/>
  <c r="J360" i="12"/>
  <c r="J359" i="12"/>
  <c r="J358" i="12"/>
  <c r="J357" i="12"/>
  <c r="J356" i="12"/>
  <c r="J355" i="12"/>
  <c r="J354" i="12"/>
  <c r="J353" i="12"/>
  <c r="J352" i="12"/>
  <c r="J351" i="12"/>
  <c r="J350" i="12"/>
  <c r="J349" i="12"/>
  <c r="J348" i="12"/>
  <c r="J347" i="12"/>
  <c r="J346" i="12"/>
  <c r="J345" i="12"/>
  <c r="J334" i="12"/>
  <c r="J333" i="12"/>
  <c r="J332" i="12"/>
  <c r="J331" i="12"/>
  <c r="J330" i="12"/>
  <c r="J329" i="12"/>
  <c r="J328" i="12"/>
  <c r="J327" i="12"/>
  <c r="J326" i="12"/>
  <c r="J325" i="12"/>
  <c r="J324" i="12"/>
  <c r="J323" i="12"/>
  <c r="J322" i="12"/>
  <c r="J321" i="12"/>
  <c r="J320" i="12"/>
  <c r="J319" i="12"/>
  <c r="J318" i="12"/>
  <c r="J317" i="12"/>
  <c r="J316" i="12"/>
  <c r="J315" i="12"/>
  <c r="J314" i="12"/>
  <c r="J313" i="12"/>
  <c r="J312" i="12"/>
  <c r="J311" i="12"/>
  <c r="J310" i="12"/>
  <c r="J309" i="12"/>
  <c r="J308" i="12"/>
  <c r="J307" i="12"/>
  <c r="J306" i="12"/>
  <c r="J305" i="12"/>
  <c r="J304" i="12"/>
  <c r="J303" i="12"/>
  <c r="J302" i="12"/>
  <c r="J301" i="12"/>
  <c r="J290" i="12"/>
  <c r="J289" i="12"/>
  <c r="J288" i="12"/>
  <c r="J287" i="12"/>
  <c r="J286"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62" i="12"/>
  <c r="J261" i="12"/>
  <c r="J260" i="12"/>
  <c r="J259" i="12"/>
  <c r="J258" i="12"/>
  <c r="J257" i="12"/>
  <c r="J246" i="12"/>
  <c r="J245" i="12"/>
  <c r="J244" i="12"/>
  <c r="J243" i="12"/>
  <c r="J242"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18" i="12"/>
  <c r="J217" i="12"/>
  <c r="J216" i="12"/>
  <c r="J215" i="12"/>
  <c r="J214" i="12"/>
  <c r="J213" i="12"/>
  <c r="J202" i="12"/>
  <c r="J201" i="12"/>
  <c r="J200" i="12"/>
  <c r="J199" i="12"/>
  <c r="J198" i="12"/>
  <c r="J197" i="12"/>
  <c r="J196" i="12"/>
  <c r="J195" i="12"/>
  <c r="J194" i="12"/>
  <c r="J193" i="12"/>
  <c r="J192" i="12"/>
  <c r="J191" i="12"/>
  <c r="J190" i="12"/>
  <c r="J189" i="12"/>
  <c r="J188" i="12"/>
  <c r="J187" i="12"/>
  <c r="J186" i="12"/>
  <c r="J185" i="12"/>
  <c r="J184" i="12"/>
  <c r="J183" i="12"/>
  <c r="J182" i="12"/>
  <c r="J181" i="12"/>
  <c r="J180" i="12"/>
  <c r="J179" i="12"/>
  <c r="J178" i="12"/>
  <c r="J177" i="12"/>
  <c r="J176" i="12"/>
  <c r="J175" i="12"/>
  <c r="J174" i="12"/>
  <c r="J173" i="12"/>
  <c r="J172" i="12"/>
  <c r="J171" i="12"/>
  <c r="J170" i="12"/>
  <c r="J169" i="12"/>
  <c r="J158" i="12"/>
  <c r="J157" i="12"/>
  <c r="J156" i="12"/>
  <c r="J155" i="12"/>
  <c r="J154" i="12"/>
  <c r="J153" i="12"/>
  <c r="J152" i="12"/>
  <c r="J151" i="12"/>
  <c r="J150" i="12"/>
  <c r="J149" i="12"/>
  <c r="J148" i="12"/>
  <c r="J147" i="12"/>
  <c r="J146" i="12"/>
  <c r="J145" i="12"/>
  <c r="J144" i="12"/>
  <c r="J143" i="12"/>
  <c r="J142" i="12"/>
  <c r="J141" i="12"/>
  <c r="J140" i="12"/>
  <c r="J139" i="12"/>
  <c r="J138" i="12"/>
  <c r="J137" i="12"/>
  <c r="J136" i="12"/>
  <c r="J135" i="12"/>
  <c r="J134" i="12"/>
  <c r="J133" i="12"/>
  <c r="J132" i="12"/>
  <c r="J131" i="12"/>
  <c r="J130" i="12"/>
  <c r="J129" i="12"/>
  <c r="J128" i="12"/>
  <c r="J127" i="12"/>
  <c r="J126" i="12"/>
  <c r="I951" i="12"/>
  <c r="F951" i="12"/>
  <c r="I950" i="12"/>
  <c r="F950" i="12"/>
  <c r="I949" i="12"/>
  <c r="F949" i="12"/>
  <c r="I948" i="12"/>
  <c r="F948" i="12"/>
  <c r="I947" i="12"/>
  <c r="F947" i="12"/>
  <c r="I946" i="12"/>
  <c r="F946" i="12"/>
  <c r="I945" i="12"/>
  <c r="F945" i="12"/>
  <c r="I944" i="12"/>
  <c r="F944" i="12"/>
  <c r="I943" i="12"/>
  <c r="F943" i="12"/>
  <c r="I942" i="12"/>
  <c r="F942" i="12"/>
  <c r="I941" i="12"/>
  <c r="F941" i="12"/>
  <c r="I940" i="12"/>
  <c r="F940" i="12"/>
  <c r="I939" i="12"/>
  <c r="F939" i="12"/>
  <c r="I938" i="12"/>
  <c r="F938" i="12"/>
  <c r="I937" i="12"/>
  <c r="F937" i="12"/>
  <c r="I936" i="12"/>
  <c r="F936" i="12"/>
  <c r="I935" i="12"/>
  <c r="F935" i="12"/>
  <c r="I934" i="12"/>
  <c r="F934" i="12"/>
  <c r="I933" i="12"/>
  <c r="F933" i="12"/>
  <c r="I932" i="12"/>
  <c r="F932" i="12"/>
  <c r="I931" i="12"/>
  <c r="F931" i="12"/>
  <c r="I930" i="12"/>
  <c r="F930" i="12"/>
  <c r="I929" i="12"/>
  <c r="F929" i="12"/>
  <c r="I928" i="12"/>
  <c r="F928" i="12"/>
  <c r="I927" i="12"/>
  <c r="F927" i="12"/>
  <c r="I926" i="12"/>
  <c r="F926" i="12"/>
  <c r="I925" i="12"/>
  <c r="F925" i="12"/>
  <c r="I924" i="12"/>
  <c r="F924" i="12"/>
  <c r="I923" i="12"/>
  <c r="F923" i="12"/>
  <c r="I922" i="12"/>
  <c r="F922" i="12"/>
  <c r="I921" i="12"/>
  <c r="F921" i="12"/>
  <c r="I920" i="12"/>
  <c r="F920" i="12"/>
  <c r="I919" i="12"/>
  <c r="F919" i="12"/>
  <c r="I918" i="12"/>
  <c r="F918" i="12"/>
  <c r="I917" i="12"/>
  <c r="E917" i="12"/>
  <c r="F917" i="12" s="1"/>
  <c r="I907" i="12"/>
  <c r="F907" i="12"/>
  <c r="I906" i="12"/>
  <c r="F906" i="12"/>
  <c r="I905" i="12"/>
  <c r="F905" i="12"/>
  <c r="I904" i="12"/>
  <c r="F904" i="12"/>
  <c r="I903" i="12"/>
  <c r="F903" i="12"/>
  <c r="I902" i="12"/>
  <c r="F902" i="12"/>
  <c r="I901" i="12"/>
  <c r="F901" i="12"/>
  <c r="I900" i="12"/>
  <c r="F900" i="12"/>
  <c r="I899" i="12"/>
  <c r="F899" i="12"/>
  <c r="I898" i="12"/>
  <c r="F898" i="12"/>
  <c r="I897" i="12"/>
  <c r="F897" i="12"/>
  <c r="I896" i="12"/>
  <c r="F896" i="12"/>
  <c r="I895" i="12"/>
  <c r="F895" i="12"/>
  <c r="I894" i="12"/>
  <c r="F894" i="12"/>
  <c r="I893" i="12"/>
  <c r="F893" i="12"/>
  <c r="I892" i="12"/>
  <c r="F892" i="12"/>
  <c r="I891" i="12"/>
  <c r="F891" i="12"/>
  <c r="I890" i="12"/>
  <c r="F890" i="12"/>
  <c r="I889" i="12"/>
  <c r="F889"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E873" i="12"/>
  <c r="F873" i="12" s="1"/>
  <c r="I863" i="12"/>
  <c r="F863" i="12"/>
  <c r="I862" i="12"/>
  <c r="F862" i="12"/>
  <c r="I861" i="12"/>
  <c r="F861" i="12"/>
  <c r="I860" i="12"/>
  <c r="F860" i="12"/>
  <c r="I859" i="12"/>
  <c r="F859" i="12"/>
  <c r="I858" i="12"/>
  <c r="F858" i="12"/>
  <c r="I857" i="12"/>
  <c r="F857" i="12"/>
  <c r="I856" i="12"/>
  <c r="F856" i="12"/>
  <c r="I855" i="12"/>
  <c r="F855" i="12"/>
  <c r="I854" i="12"/>
  <c r="F854" i="12"/>
  <c r="I853" i="12"/>
  <c r="F853" i="12"/>
  <c r="I852" i="12"/>
  <c r="F852" i="12"/>
  <c r="I851" i="12"/>
  <c r="F851" i="12"/>
  <c r="I850" i="12"/>
  <c r="F850" i="12"/>
  <c r="I849" i="12"/>
  <c r="F849" i="12"/>
  <c r="I848" i="12"/>
  <c r="F848" i="12"/>
  <c r="I847" i="12"/>
  <c r="F847" i="12"/>
  <c r="I846" i="12"/>
  <c r="F846" i="12"/>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E829" i="12"/>
  <c r="F829" i="12" s="1"/>
  <c r="I819" i="12"/>
  <c r="F819" i="12"/>
  <c r="I818" i="12"/>
  <c r="F818" i="12"/>
  <c r="I817" i="12"/>
  <c r="F817" i="12"/>
  <c r="I816" i="12"/>
  <c r="F816" i="12"/>
  <c r="I815" i="12"/>
  <c r="F815" i="12"/>
  <c r="I814" i="12"/>
  <c r="F814" i="12"/>
  <c r="I813" i="12"/>
  <c r="F813" i="12"/>
  <c r="I812" i="12"/>
  <c r="F812" i="12"/>
  <c r="I811" i="12"/>
  <c r="F811" i="12"/>
  <c r="I810" i="12"/>
  <c r="F810" i="12"/>
  <c r="I809" i="12"/>
  <c r="F809" i="12"/>
  <c r="I808" i="12"/>
  <c r="F808" i="12"/>
  <c r="I807" i="12"/>
  <c r="F807" i="12"/>
  <c r="I806" i="12"/>
  <c r="F806" i="12"/>
  <c r="I805" i="12"/>
  <c r="F805" i="12"/>
  <c r="I804" i="12"/>
  <c r="F804" i="12"/>
  <c r="I803" i="12"/>
  <c r="F803" i="12"/>
  <c r="I802" i="12"/>
  <c r="F802" i="12"/>
  <c r="I801" i="12"/>
  <c r="F801"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E785" i="12"/>
  <c r="F785" i="12" s="1"/>
  <c r="I775" i="12"/>
  <c r="F775" i="12"/>
  <c r="I774" i="12"/>
  <c r="F774" i="12"/>
  <c r="I773" i="12"/>
  <c r="F773" i="12"/>
  <c r="I772" i="12"/>
  <c r="F772" i="12"/>
  <c r="I771" i="12"/>
  <c r="F771" i="12"/>
  <c r="I770" i="12"/>
  <c r="F770" i="12"/>
  <c r="I769" i="12"/>
  <c r="F769" i="12"/>
  <c r="I768" i="12"/>
  <c r="F768" i="12"/>
  <c r="I767" i="12"/>
  <c r="F767" i="12"/>
  <c r="I766" i="12"/>
  <c r="F766" i="12"/>
  <c r="I765" i="12"/>
  <c r="F765" i="12"/>
  <c r="I764" i="12"/>
  <c r="F764" i="12"/>
  <c r="I763" i="12"/>
  <c r="F763" i="12"/>
  <c r="I762" i="12"/>
  <c r="F762" i="12"/>
  <c r="I761" i="12"/>
  <c r="F761" i="12"/>
  <c r="I760" i="12"/>
  <c r="F760" i="12"/>
  <c r="I759" i="12"/>
  <c r="F759" i="12"/>
  <c r="I758" i="12"/>
  <c r="F758" i="12"/>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E741" i="12"/>
  <c r="F741" i="12" s="1"/>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F720" i="12"/>
  <c r="I719" i="12"/>
  <c r="F719" i="12"/>
  <c r="I718" i="12"/>
  <c r="F718" i="12"/>
  <c r="I717" i="12"/>
  <c r="F717" i="12"/>
  <c r="I716" i="12"/>
  <c r="F716" i="12"/>
  <c r="I715" i="12"/>
  <c r="F715" i="12"/>
  <c r="I714" i="12"/>
  <c r="F714" i="12"/>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E697" i="12"/>
  <c r="F697" i="12" s="1"/>
  <c r="I687" i="12"/>
  <c r="F687" i="12"/>
  <c r="I686" i="12"/>
  <c r="F686" i="12"/>
  <c r="I685" i="12"/>
  <c r="F685" i="12"/>
  <c r="I684" i="12"/>
  <c r="F684" i="12"/>
  <c r="I683" i="12"/>
  <c r="F683" i="12"/>
  <c r="I682" i="12"/>
  <c r="F682" i="12"/>
  <c r="I681" i="12"/>
  <c r="F681" i="12"/>
  <c r="I680" i="12"/>
  <c r="F680" i="12"/>
  <c r="I679" i="12"/>
  <c r="F679" i="12"/>
  <c r="I678" i="12"/>
  <c r="F678" i="12"/>
  <c r="I677" i="12"/>
  <c r="F677" i="12"/>
  <c r="I676" i="12"/>
  <c r="F676" i="12"/>
  <c r="I675" i="12"/>
  <c r="F675" i="12"/>
  <c r="I674" i="12"/>
  <c r="F674" i="12"/>
  <c r="I673" i="12"/>
  <c r="F673" i="12"/>
  <c r="I672" i="12"/>
  <c r="F672" i="12"/>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E653" i="12"/>
  <c r="F653" i="12" s="1"/>
  <c r="I643" i="12"/>
  <c r="F643" i="12"/>
  <c r="I642" i="12"/>
  <c r="F642" i="12"/>
  <c r="I641" i="12"/>
  <c r="F641" i="12"/>
  <c r="I640" i="12"/>
  <c r="F640" i="12"/>
  <c r="I639" i="12"/>
  <c r="F639" i="12"/>
  <c r="I638" i="12"/>
  <c r="F638" i="12"/>
  <c r="I637" i="12"/>
  <c r="F637" i="12"/>
  <c r="I636" i="12"/>
  <c r="F636" i="12"/>
  <c r="I635" i="12"/>
  <c r="F635" i="12"/>
  <c r="I634" i="12"/>
  <c r="F634" i="12"/>
  <c r="I633" i="12"/>
  <c r="F633" i="12"/>
  <c r="I632" i="12"/>
  <c r="F632" i="12"/>
  <c r="I631" i="12"/>
  <c r="F631" i="12"/>
  <c r="I630" i="12"/>
  <c r="F630" i="12"/>
  <c r="I629" i="12"/>
  <c r="F629" i="12"/>
  <c r="I628" i="12"/>
  <c r="F628" i="12"/>
  <c r="I627" i="12"/>
  <c r="F627" i="12"/>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E609" i="12"/>
  <c r="F609" i="12" s="1"/>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F586" i="12"/>
  <c r="I585" i="12"/>
  <c r="F585" i="12"/>
  <c r="I584" i="12"/>
  <c r="F584" i="12"/>
  <c r="I583" i="12"/>
  <c r="F583" i="12"/>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E565" i="12"/>
  <c r="F565" i="12" s="1"/>
  <c r="I555" i="12"/>
  <c r="F555" i="12"/>
  <c r="I554" i="12"/>
  <c r="F554" i="12"/>
  <c r="I553" i="12"/>
  <c r="F553" i="12"/>
  <c r="I552" i="12"/>
  <c r="F552" i="12"/>
  <c r="I551" i="12"/>
  <c r="F551" i="12"/>
  <c r="I550" i="12"/>
  <c r="F550" i="12"/>
  <c r="I549" i="12"/>
  <c r="F549" i="12"/>
  <c r="I548" i="12"/>
  <c r="F548" i="12"/>
  <c r="I547" i="12"/>
  <c r="F547" i="12"/>
  <c r="I546" i="12"/>
  <c r="F546" i="12"/>
  <c r="I545" i="12"/>
  <c r="F545" i="12"/>
  <c r="I544" i="12"/>
  <c r="F544" i="12"/>
  <c r="I543" i="12"/>
  <c r="F543" i="12"/>
  <c r="I542" i="12"/>
  <c r="F542" i="12"/>
  <c r="I541" i="12"/>
  <c r="F541" i="12"/>
  <c r="I540" i="12"/>
  <c r="F540" i="12"/>
  <c r="I539" i="12"/>
  <c r="F539" i="12"/>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E521" i="12"/>
  <c r="F521" i="12" s="1"/>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E477" i="12"/>
  <c r="F477" i="12" s="1"/>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F456" i="12"/>
  <c r="I455" i="12"/>
  <c r="F455" i="12"/>
  <c r="I454" i="12"/>
  <c r="F454" i="12"/>
  <c r="I453" i="12"/>
  <c r="F453" i="12"/>
  <c r="I452" i="12"/>
  <c r="F452" i="12"/>
  <c r="I451" i="12"/>
  <c r="F451" i="12"/>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E433" i="12"/>
  <c r="F433" i="12" s="1"/>
  <c r="I422" i="12"/>
  <c r="F422" i="12"/>
  <c r="I421" i="12"/>
  <c r="F421" i="12"/>
  <c r="I420" i="12"/>
  <c r="F420" i="12"/>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F408" i="12"/>
  <c r="I407" i="12"/>
  <c r="F407" i="12"/>
  <c r="I406" i="12"/>
  <c r="F406" i="12"/>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E388" i="12"/>
  <c r="F388" i="12" s="1"/>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F364" i="12"/>
  <c r="I363" i="12"/>
  <c r="F363" i="12"/>
  <c r="I362" i="12"/>
  <c r="F362" i="12"/>
  <c r="I361" i="12"/>
  <c r="F361" i="12"/>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E344" i="12"/>
  <c r="F344" i="12" s="1"/>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E300" i="12"/>
  <c r="F300" i="12" s="1"/>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E256" i="12"/>
  <c r="F256" i="12" s="1"/>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E212" i="12"/>
  <c r="F212" i="12" s="1"/>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E168" i="12"/>
  <c r="F168" i="12" s="1"/>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F143" i="12"/>
  <c r="I142" i="12"/>
  <c r="F142" i="12"/>
  <c r="I141" i="12"/>
  <c r="F141" i="12"/>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J58" i="10"/>
  <c r="J57" i="10"/>
  <c r="J56" i="10"/>
  <c r="J55" i="10"/>
  <c r="J54" i="10"/>
  <c r="J53" i="10"/>
  <c r="J52" i="10"/>
  <c r="J51" i="10"/>
  <c r="J50" i="10"/>
  <c r="J49" i="10"/>
  <c r="J48" i="10"/>
  <c r="J47" i="10"/>
  <c r="J46" i="10"/>
  <c r="J81" i="10"/>
  <c r="J80" i="10"/>
  <c r="J79" i="10"/>
  <c r="J78" i="10"/>
  <c r="J77" i="10"/>
  <c r="J76" i="10"/>
  <c r="J75" i="10"/>
  <c r="J74" i="10"/>
  <c r="J73" i="10"/>
  <c r="J72" i="10"/>
  <c r="J71" i="10"/>
  <c r="J70" i="10"/>
  <c r="J69" i="10"/>
  <c r="J104" i="10"/>
  <c r="J103" i="10"/>
  <c r="J102" i="10"/>
  <c r="J101" i="10"/>
  <c r="J100" i="10"/>
  <c r="J99" i="10"/>
  <c r="J98" i="10"/>
  <c r="J97" i="10"/>
  <c r="J96" i="10"/>
  <c r="J95" i="10"/>
  <c r="J94" i="10"/>
  <c r="J93" i="10"/>
  <c r="J92" i="10"/>
  <c r="J127" i="10"/>
  <c r="J126" i="10"/>
  <c r="J125" i="10"/>
  <c r="J124" i="10"/>
  <c r="J123" i="10"/>
  <c r="J122" i="10"/>
  <c r="J121" i="10"/>
  <c r="J120" i="10"/>
  <c r="J119" i="10"/>
  <c r="J118" i="10"/>
  <c r="J117" i="10"/>
  <c r="J116" i="10"/>
  <c r="J115" i="10"/>
  <c r="J150" i="10"/>
  <c r="J149" i="10"/>
  <c r="J148" i="10"/>
  <c r="J147" i="10"/>
  <c r="J146" i="10"/>
  <c r="J145" i="10"/>
  <c r="J144" i="10"/>
  <c r="J143" i="10"/>
  <c r="J142" i="10"/>
  <c r="J141" i="10"/>
  <c r="J140" i="10"/>
  <c r="J139" i="10"/>
  <c r="J138" i="10"/>
  <c r="J173" i="10"/>
  <c r="J172" i="10"/>
  <c r="J171" i="10"/>
  <c r="J170" i="10"/>
  <c r="J169" i="10"/>
  <c r="J168" i="10"/>
  <c r="J167" i="10"/>
  <c r="J166" i="10"/>
  <c r="J165" i="10"/>
  <c r="J164" i="10"/>
  <c r="J163" i="10"/>
  <c r="J162" i="10"/>
  <c r="J161" i="10"/>
  <c r="J196" i="10"/>
  <c r="J195" i="10"/>
  <c r="J194" i="10"/>
  <c r="J193" i="10"/>
  <c r="J192" i="10"/>
  <c r="J191" i="10"/>
  <c r="J190" i="10"/>
  <c r="J189" i="10"/>
  <c r="J188" i="10"/>
  <c r="J187" i="10"/>
  <c r="J186" i="10"/>
  <c r="J185" i="10"/>
  <c r="J184" i="10"/>
  <c r="J219" i="10"/>
  <c r="J218" i="10"/>
  <c r="J217" i="10"/>
  <c r="J216" i="10"/>
  <c r="J215" i="10"/>
  <c r="J214" i="10"/>
  <c r="J213" i="10"/>
  <c r="J212" i="10"/>
  <c r="J211" i="10"/>
  <c r="J210" i="10"/>
  <c r="J209" i="10"/>
  <c r="J208" i="10"/>
  <c r="J207" i="10"/>
  <c r="J242" i="10"/>
  <c r="J241" i="10"/>
  <c r="J240" i="10"/>
  <c r="J239" i="10"/>
  <c r="J238" i="10"/>
  <c r="J237" i="10"/>
  <c r="J236" i="10"/>
  <c r="J235" i="10"/>
  <c r="J234" i="10"/>
  <c r="J233" i="10"/>
  <c r="J232" i="10"/>
  <c r="J231" i="10"/>
  <c r="J230" i="10"/>
  <c r="J265" i="10"/>
  <c r="J264" i="10"/>
  <c r="J263" i="10"/>
  <c r="J262" i="10"/>
  <c r="J261" i="10"/>
  <c r="J260" i="10"/>
  <c r="J259" i="10"/>
  <c r="J258" i="10"/>
  <c r="J257" i="10"/>
  <c r="J256" i="10"/>
  <c r="J255" i="10"/>
  <c r="J254" i="10"/>
  <c r="J253" i="10"/>
  <c r="J288" i="10"/>
  <c r="J287" i="10"/>
  <c r="J286" i="10"/>
  <c r="J285" i="10"/>
  <c r="J284" i="10"/>
  <c r="J283" i="10"/>
  <c r="J282" i="10"/>
  <c r="J281" i="10"/>
  <c r="J280" i="10"/>
  <c r="J279" i="10"/>
  <c r="J278" i="10"/>
  <c r="J277" i="10"/>
  <c r="J276" i="10"/>
  <c r="I288" i="10"/>
  <c r="F288" i="10"/>
  <c r="I287" i="10"/>
  <c r="F287" i="10"/>
  <c r="I286" i="10"/>
  <c r="F286" i="10"/>
  <c r="I285" i="10"/>
  <c r="F285" i="10"/>
  <c r="I284" i="10"/>
  <c r="F284" i="10"/>
  <c r="I283" i="10"/>
  <c r="F283" i="10"/>
  <c r="I282" i="10"/>
  <c r="F282" i="10"/>
  <c r="I281" i="10"/>
  <c r="F281" i="10"/>
  <c r="I280" i="10"/>
  <c r="F280" i="10"/>
  <c r="I279" i="10"/>
  <c r="F279" i="10"/>
  <c r="I278" i="10"/>
  <c r="F278" i="10"/>
  <c r="I277" i="10"/>
  <c r="F277" i="10"/>
  <c r="I276" i="10"/>
  <c r="E276" i="10"/>
  <c r="F276" i="10" s="1"/>
  <c r="I275" i="10"/>
  <c r="E275" i="10"/>
  <c r="F275" i="10" s="1"/>
  <c r="I265" i="10"/>
  <c r="F265" i="10"/>
  <c r="I264" i="10"/>
  <c r="F264" i="10"/>
  <c r="I263" i="10"/>
  <c r="F263" i="10"/>
  <c r="I262" i="10"/>
  <c r="F262" i="10"/>
  <c r="I261" i="10"/>
  <c r="F261" i="10"/>
  <c r="I260" i="10"/>
  <c r="F260" i="10"/>
  <c r="I259" i="10"/>
  <c r="F259" i="10"/>
  <c r="I258" i="10"/>
  <c r="F258" i="10"/>
  <c r="I257" i="10"/>
  <c r="F257" i="10"/>
  <c r="I256" i="10"/>
  <c r="F256" i="10"/>
  <c r="I255" i="10"/>
  <c r="F255" i="10"/>
  <c r="I254" i="10"/>
  <c r="F254" i="10"/>
  <c r="I253" i="10"/>
  <c r="E253" i="10"/>
  <c r="F253" i="10" s="1"/>
  <c r="I252" i="10"/>
  <c r="E252" i="10"/>
  <c r="F252" i="10" s="1"/>
  <c r="I242" i="10"/>
  <c r="F242" i="10"/>
  <c r="I241" i="10"/>
  <c r="F241" i="10"/>
  <c r="I240" i="10"/>
  <c r="F240" i="10"/>
  <c r="I239" i="10"/>
  <c r="F239" i="10"/>
  <c r="I238" i="10"/>
  <c r="F238" i="10"/>
  <c r="I237" i="10"/>
  <c r="F237" i="10"/>
  <c r="I236" i="10"/>
  <c r="F236" i="10"/>
  <c r="I235" i="10"/>
  <c r="F235" i="10"/>
  <c r="I234" i="10"/>
  <c r="F234" i="10"/>
  <c r="I233" i="10"/>
  <c r="F233" i="10"/>
  <c r="I232" i="10"/>
  <c r="F232" i="10"/>
  <c r="I231" i="10"/>
  <c r="F231" i="10"/>
  <c r="I230" i="10"/>
  <c r="E230" i="10"/>
  <c r="F230" i="10" s="1"/>
  <c r="I229" i="10"/>
  <c r="E229" i="10"/>
  <c r="F229" i="10" s="1"/>
  <c r="I219" i="10"/>
  <c r="F219" i="10"/>
  <c r="I218" i="10"/>
  <c r="F218" i="10"/>
  <c r="I217" i="10"/>
  <c r="F217" i="10"/>
  <c r="I216" i="10"/>
  <c r="F216" i="10"/>
  <c r="I215" i="10"/>
  <c r="F215" i="10"/>
  <c r="I214" i="10"/>
  <c r="F214" i="10"/>
  <c r="I213" i="10"/>
  <c r="F213" i="10"/>
  <c r="I212" i="10"/>
  <c r="F212" i="10"/>
  <c r="I211" i="10"/>
  <c r="F211" i="10"/>
  <c r="I210" i="10"/>
  <c r="F210" i="10"/>
  <c r="I209" i="10"/>
  <c r="F209" i="10"/>
  <c r="I208" i="10"/>
  <c r="F208" i="10"/>
  <c r="I207" i="10"/>
  <c r="E207" i="10"/>
  <c r="F207" i="10" s="1"/>
  <c r="I206" i="10"/>
  <c r="E206" i="10"/>
  <c r="F206" i="10" s="1"/>
  <c r="I196" i="10"/>
  <c r="F196" i="10"/>
  <c r="I195" i="10"/>
  <c r="F195" i="10"/>
  <c r="I194" i="10"/>
  <c r="F194" i="10"/>
  <c r="I193" i="10"/>
  <c r="F193" i="10"/>
  <c r="I192" i="10"/>
  <c r="F192" i="10"/>
  <c r="I191" i="10"/>
  <c r="F191" i="10"/>
  <c r="I190" i="10"/>
  <c r="F190" i="10"/>
  <c r="I189" i="10"/>
  <c r="F189" i="10"/>
  <c r="I188" i="10"/>
  <c r="F188" i="10"/>
  <c r="I187" i="10"/>
  <c r="F187" i="10"/>
  <c r="I186" i="10"/>
  <c r="F186" i="10"/>
  <c r="I185" i="10"/>
  <c r="F185" i="10"/>
  <c r="I184" i="10"/>
  <c r="E184" i="10"/>
  <c r="F184" i="10" s="1"/>
  <c r="I183" i="10"/>
  <c r="E183" i="10"/>
  <c r="F183" i="10" s="1"/>
  <c r="I173" i="10"/>
  <c r="F173" i="10"/>
  <c r="I172" i="10"/>
  <c r="F172" i="10"/>
  <c r="I171" i="10"/>
  <c r="F171" i="10"/>
  <c r="I170" i="10"/>
  <c r="F170" i="10"/>
  <c r="I169" i="10"/>
  <c r="F169" i="10"/>
  <c r="I168" i="10"/>
  <c r="F168" i="10"/>
  <c r="I167" i="10"/>
  <c r="F167" i="10"/>
  <c r="I166" i="10"/>
  <c r="F166" i="10"/>
  <c r="I165" i="10"/>
  <c r="F165" i="10"/>
  <c r="I164" i="10"/>
  <c r="F164" i="10"/>
  <c r="I163" i="10"/>
  <c r="F163" i="10"/>
  <c r="I162" i="10"/>
  <c r="F162" i="10"/>
  <c r="I161" i="10"/>
  <c r="E161" i="10"/>
  <c r="F161" i="10" s="1"/>
  <c r="I160" i="10"/>
  <c r="E160" i="10"/>
  <c r="F160" i="10" s="1"/>
  <c r="I150" i="10"/>
  <c r="F150" i="10"/>
  <c r="I149" i="10"/>
  <c r="F149" i="10"/>
  <c r="I148" i="10"/>
  <c r="F148" i="10"/>
  <c r="I147" i="10"/>
  <c r="F147" i="10"/>
  <c r="I146" i="10"/>
  <c r="F146" i="10"/>
  <c r="I145" i="10"/>
  <c r="F145" i="10"/>
  <c r="I144" i="10"/>
  <c r="F144" i="10"/>
  <c r="I143" i="10"/>
  <c r="F143" i="10"/>
  <c r="I142" i="10"/>
  <c r="F142" i="10"/>
  <c r="I141" i="10"/>
  <c r="F141" i="10"/>
  <c r="I140" i="10"/>
  <c r="F140" i="10"/>
  <c r="I139" i="10"/>
  <c r="F139" i="10"/>
  <c r="I138" i="10"/>
  <c r="E138" i="10"/>
  <c r="F138" i="10" s="1"/>
  <c r="I137" i="10"/>
  <c r="E137" i="10"/>
  <c r="F137" i="10" s="1"/>
  <c r="I127" i="10"/>
  <c r="F127" i="10"/>
  <c r="I126" i="10"/>
  <c r="F126" i="10"/>
  <c r="I125" i="10"/>
  <c r="F125" i="10"/>
  <c r="I124" i="10"/>
  <c r="F124" i="10"/>
  <c r="I123" i="10"/>
  <c r="F123" i="10"/>
  <c r="I122" i="10"/>
  <c r="F122" i="10"/>
  <c r="I121" i="10"/>
  <c r="F121" i="10"/>
  <c r="I120" i="10"/>
  <c r="F120" i="10"/>
  <c r="I119" i="10"/>
  <c r="F119" i="10"/>
  <c r="I118" i="10"/>
  <c r="F118" i="10"/>
  <c r="I117" i="10"/>
  <c r="F117" i="10"/>
  <c r="I116" i="10"/>
  <c r="F116" i="10"/>
  <c r="I115" i="10"/>
  <c r="E115" i="10"/>
  <c r="F115" i="10" s="1"/>
  <c r="I114" i="10"/>
  <c r="E114" i="10"/>
  <c r="F114" i="10" s="1"/>
  <c r="I104" i="10"/>
  <c r="F104" i="10"/>
  <c r="I103" i="10"/>
  <c r="F103" i="10"/>
  <c r="I102" i="10"/>
  <c r="F102" i="10"/>
  <c r="I101" i="10"/>
  <c r="F101" i="10"/>
  <c r="I100" i="10"/>
  <c r="F100" i="10"/>
  <c r="I99" i="10"/>
  <c r="F99" i="10"/>
  <c r="I98" i="10"/>
  <c r="F98" i="10"/>
  <c r="I97" i="10"/>
  <c r="F97" i="10"/>
  <c r="I96" i="10"/>
  <c r="F96" i="10"/>
  <c r="I95" i="10"/>
  <c r="F95" i="10"/>
  <c r="I94" i="10"/>
  <c r="F94" i="10"/>
  <c r="I93" i="10"/>
  <c r="F93" i="10"/>
  <c r="I92" i="10"/>
  <c r="E92" i="10"/>
  <c r="F92" i="10" s="1"/>
  <c r="I91" i="10"/>
  <c r="E91" i="10"/>
  <c r="F91" i="10" s="1"/>
  <c r="I81" i="10"/>
  <c r="F81" i="10"/>
  <c r="I80" i="10"/>
  <c r="F80" i="10"/>
  <c r="I79" i="10"/>
  <c r="F79" i="10"/>
  <c r="I78" i="10"/>
  <c r="F78" i="10"/>
  <c r="I77" i="10"/>
  <c r="F77" i="10"/>
  <c r="I76" i="10"/>
  <c r="F76" i="10"/>
  <c r="I75" i="10"/>
  <c r="F75" i="10"/>
  <c r="I74" i="10"/>
  <c r="F74" i="10"/>
  <c r="I73" i="10"/>
  <c r="F73" i="10"/>
  <c r="I72" i="10"/>
  <c r="F72" i="10"/>
  <c r="I71" i="10"/>
  <c r="F71" i="10"/>
  <c r="I70" i="10"/>
  <c r="F70" i="10"/>
  <c r="I69" i="10"/>
  <c r="E69" i="10"/>
  <c r="F69" i="10" s="1"/>
  <c r="I68" i="10"/>
  <c r="E68" i="10"/>
  <c r="F68" i="10" s="1"/>
  <c r="I58" i="10"/>
  <c r="F58" i="10"/>
  <c r="I57" i="10"/>
  <c r="F57" i="10"/>
  <c r="I56" i="10"/>
  <c r="F56" i="10"/>
  <c r="I55" i="10"/>
  <c r="F55" i="10"/>
  <c r="I54" i="10"/>
  <c r="F54" i="10"/>
  <c r="I53" i="10"/>
  <c r="F53" i="10"/>
  <c r="I52" i="10"/>
  <c r="F52" i="10"/>
  <c r="I51" i="10"/>
  <c r="F51" i="10"/>
  <c r="I50" i="10"/>
  <c r="F50" i="10"/>
  <c r="I49" i="10"/>
  <c r="F49" i="10"/>
  <c r="I48" i="10"/>
  <c r="F48" i="10"/>
  <c r="I47" i="10"/>
  <c r="F47" i="10"/>
  <c r="I46" i="10"/>
  <c r="E46" i="10"/>
  <c r="F46" i="10" s="1"/>
  <c r="I45" i="10"/>
  <c r="E45" i="10"/>
  <c r="F45"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s="1"/>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1000" i="8"/>
  <c r="K999" i="8"/>
  <c r="K998" i="8"/>
  <c r="K997" i="8"/>
  <c r="K996" i="8"/>
  <c r="K995" i="8"/>
  <c r="K994" i="8"/>
  <c r="K993" i="8"/>
  <c r="K992" i="8"/>
  <c r="K991" i="8"/>
  <c r="K990" i="8"/>
  <c r="K989" i="8"/>
  <c r="K988" i="8"/>
  <c r="K987" i="8"/>
  <c r="K986" i="8"/>
  <c r="K985" i="8"/>
  <c r="K984" i="8"/>
  <c r="K983" i="8"/>
  <c r="K982" i="8"/>
  <c r="K981" i="8"/>
  <c r="K980" i="8"/>
  <c r="K979" i="8"/>
  <c r="K978" i="8"/>
  <c r="K977" i="8"/>
  <c r="K976" i="8"/>
  <c r="K975" i="8"/>
  <c r="K974" i="8"/>
  <c r="K973" i="8"/>
  <c r="K972" i="8"/>
  <c r="K971" i="8"/>
  <c r="K970" i="8"/>
  <c r="K969" i="8"/>
  <c r="K968" i="8"/>
  <c r="K967" i="8"/>
  <c r="K966" i="8"/>
  <c r="K965" i="8"/>
  <c r="K964" i="8"/>
  <c r="K963" i="8"/>
  <c r="K962" i="8"/>
  <c r="K961" i="8"/>
  <c r="K960" i="8"/>
  <c r="K959" i="8"/>
  <c r="K958" i="8"/>
  <c r="K957" i="8"/>
  <c r="K956" i="8"/>
  <c r="K955" i="8"/>
  <c r="K954" i="8"/>
  <c r="K953" i="8"/>
  <c r="K952" i="8"/>
  <c r="K951" i="8"/>
  <c r="K940" i="8"/>
  <c r="K939" i="8"/>
  <c r="K938" i="8"/>
  <c r="K937" i="8"/>
  <c r="K936" i="8"/>
  <c r="K935" i="8"/>
  <c r="K934" i="8"/>
  <c r="K933" i="8"/>
  <c r="K932" i="8"/>
  <c r="K931" i="8"/>
  <c r="K930" i="8"/>
  <c r="K929" i="8"/>
  <c r="K928" i="8"/>
  <c r="K927" i="8"/>
  <c r="K926" i="8"/>
  <c r="K925" i="8"/>
  <c r="K924" i="8"/>
  <c r="K923" i="8"/>
  <c r="K922" i="8"/>
  <c r="K921" i="8"/>
  <c r="K920" i="8"/>
  <c r="K919" i="8"/>
  <c r="K918" i="8"/>
  <c r="K917" i="8"/>
  <c r="K916" i="8"/>
  <c r="K915" i="8"/>
  <c r="K914" i="8"/>
  <c r="K913" i="8"/>
  <c r="K912" i="8"/>
  <c r="K911" i="8"/>
  <c r="K910" i="8"/>
  <c r="K909" i="8"/>
  <c r="K908" i="8"/>
  <c r="K907" i="8"/>
  <c r="K906" i="8"/>
  <c r="K905" i="8"/>
  <c r="K904" i="8"/>
  <c r="K903" i="8"/>
  <c r="K902" i="8"/>
  <c r="K901" i="8"/>
  <c r="K900" i="8"/>
  <c r="K899" i="8"/>
  <c r="K898" i="8"/>
  <c r="K897" i="8"/>
  <c r="K896" i="8"/>
  <c r="K895" i="8"/>
  <c r="K894" i="8"/>
  <c r="K893" i="8"/>
  <c r="K892" i="8"/>
  <c r="K891" i="8"/>
  <c r="K880" i="8"/>
  <c r="K879" i="8"/>
  <c r="K878" i="8"/>
  <c r="K877" i="8"/>
  <c r="K876" i="8"/>
  <c r="K875" i="8"/>
  <c r="K874" i="8"/>
  <c r="K873" i="8"/>
  <c r="K872" i="8"/>
  <c r="K871" i="8"/>
  <c r="K870" i="8"/>
  <c r="K869" i="8"/>
  <c r="K868" i="8"/>
  <c r="K867" i="8"/>
  <c r="K866" i="8"/>
  <c r="K865" i="8"/>
  <c r="K864" i="8"/>
  <c r="K863" i="8"/>
  <c r="K862" i="8"/>
  <c r="K861" i="8"/>
  <c r="K860" i="8"/>
  <c r="K859" i="8"/>
  <c r="K858" i="8"/>
  <c r="K857" i="8"/>
  <c r="K856" i="8"/>
  <c r="K855" i="8"/>
  <c r="K854" i="8"/>
  <c r="K853" i="8"/>
  <c r="K852" i="8"/>
  <c r="K851" i="8"/>
  <c r="K850" i="8"/>
  <c r="K849" i="8"/>
  <c r="K848" i="8"/>
  <c r="K847" i="8"/>
  <c r="K846" i="8"/>
  <c r="K845" i="8"/>
  <c r="K844" i="8"/>
  <c r="K843" i="8"/>
  <c r="K842" i="8"/>
  <c r="K841" i="8"/>
  <c r="K840" i="8"/>
  <c r="K839" i="8"/>
  <c r="K838" i="8"/>
  <c r="K837" i="8"/>
  <c r="K836" i="8"/>
  <c r="K835" i="8"/>
  <c r="K834" i="8"/>
  <c r="K833" i="8"/>
  <c r="K832" i="8"/>
  <c r="K831" i="8"/>
  <c r="K820" i="8"/>
  <c r="K819" i="8"/>
  <c r="K818" i="8"/>
  <c r="K817" i="8"/>
  <c r="K816" i="8"/>
  <c r="K815" i="8"/>
  <c r="K814" i="8"/>
  <c r="K813" i="8"/>
  <c r="K812" i="8"/>
  <c r="K811" i="8"/>
  <c r="K810" i="8"/>
  <c r="K809" i="8"/>
  <c r="K808" i="8"/>
  <c r="K807" i="8"/>
  <c r="K806" i="8"/>
  <c r="K805" i="8"/>
  <c r="K804" i="8"/>
  <c r="K803" i="8"/>
  <c r="K802" i="8"/>
  <c r="K801" i="8"/>
  <c r="K800" i="8"/>
  <c r="K799" i="8"/>
  <c r="K798" i="8"/>
  <c r="K797" i="8"/>
  <c r="K796" i="8"/>
  <c r="K795" i="8"/>
  <c r="K794" i="8"/>
  <c r="K793" i="8"/>
  <c r="K792" i="8"/>
  <c r="K791" i="8"/>
  <c r="K790" i="8"/>
  <c r="K789" i="8"/>
  <c r="K788" i="8"/>
  <c r="K787" i="8"/>
  <c r="K786" i="8"/>
  <c r="K785" i="8"/>
  <c r="K784" i="8"/>
  <c r="K783" i="8"/>
  <c r="K782" i="8"/>
  <c r="K781" i="8"/>
  <c r="K780" i="8"/>
  <c r="K779" i="8"/>
  <c r="K778" i="8"/>
  <c r="K777" i="8"/>
  <c r="K776" i="8"/>
  <c r="K775" i="8"/>
  <c r="K774" i="8"/>
  <c r="K773" i="8"/>
  <c r="K772" i="8"/>
  <c r="K771" i="8"/>
  <c r="K760" i="8"/>
  <c r="K759" i="8"/>
  <c r="K758" i="8"/>
  <c r="K757" i="8"/>
  <c r="K756" i="8"/>
  <c r="K755" i="8"/>
  <c r="K754" i="8"/>
  <c r="K753" i="8"/>
  <c r="K752" i="8"/>
  <c r="K751" i="8"/>
  <c r="K750" i="8"/>
  <c r="K749" i="8"/>
  <c r="K748" i="8"/>
  <c r="K747" i="8"/>
  <c r="K746" i="8"/>
  <c r="K745" i="8"/>
  <c r="K744" i="8"/>
  <c r="K743" i="8"/>
  <c r="K742" i="8"/>
  <c r="K741" i="8"/>
  <c r="K740" i="8"/>
  <c r="K739" i="8"/>
  <c r="K738" i="8"/>
  <c r="K737" i="8"/>
  <c r="K736" i="8"/>
  <c r="K735" i="8"/>
  <c r="K734" i="8"/>
  <c r="K733" i="8"/>
  <c r="K732" i="8"/>
  <c r="K731" i="8"/>
  <c r="K730" i="8"/>
  <c r="K729" i="8"/>
  <c r="K728" i="8"/>
  <c r="K727" i="8"/>
  <c r="K726" i="8"/>
  <c r="K725" i="8"/>
  <c r="K724" i="8"/>
  <c r="K723" i="8"/>
  <c r="K722" i="8"/>
  <c r="K721" i="8"/>
  <c r="K720" i="8"/>
  <c r="K719" i="8"/>
  <c r="K718" i="8"/>
  <c r="K717" i="8"/>
  <c r="K716" i="8"/>
  <c r="K715" i="8"/>
  <c r="K714" i="8"/>
  <c r="K713" i="8"/>
  <c r="K712" i="8"/>
  <c r="K711" i="8"/>
  <c r="K700" i="8"/>
  <c r="K699" i="8"/>
  <c r="K698" i="8"/>
  <c r="K697" i="8"/>
  <c r="K696" i="8"/>
  <c r="K695" i="8"/>
  <c r="K694" i="8"/>
  <c r="K693" i="8"/>
  <c r="K692" i="8"/>
  <c r="K691" i="8"/>
  <c r="K690" i="8"/>
  <c r="K689" i="8"/>
  <c r="K688" i="8"/>
  <c r="K687" i="8"/>
  <c r="K686" i="8"/>
  <c r="K685" i="8"/>
  <c r="K684" i="8"/>
  <c r="K683" i="8"/>
  <c r="K682" i="8"/>
  <c r="K681" i="8"/>
  <c r="K680" i="8"/>
  <c r="K679" i="8"/>
  <c r="K678" i="8"/>
  <c r="K677" i="8"/>
  <c r="K676" i="8"/>
  <c r="K675" i="8"/>
  <c r="K674" i="8"/>
  <c r="K673" i="8"/>
  <c r="K672" i="8"/>
  <c r="K671" i="8"/>
  <c r="K670" i="8"/>
  <c r="K669" i="8"/>
  <c r="K668" i="8"/>
  <c r="K667" i="8"/>
  <c r="K666" i="8"/>
  <c r="K665" i="8"/>
  <c r="K664" i="8"/>
  <c r="K663" i="8"/>
  <c r="K662" i="8"/>
  <c r="K661" i="8"/>
  <c r="K660" i="8"/>
  <c r="K659" i="8"/>
  <c r="K658" i="8"/>
  <c r="K657" i="8"/>
  <c r="K656" i="8"/>
  <c r="K655" i="8"/>
  <c r="K654" i="8"/>
  <c r="K653" i="8"/>
  <c r="K652" i="8"/>
  <c r="K651" i="8"/>
  <c r="K640" i="8"/>
  <c r="K639" i="8"/>
  <c r="K638" i="8"/>
  <c r="K637" i="8"/>
  <c r="K636" i="8"/>
  <c r="K635" i="8"/>
  <c r="K634" i="8"/>
  <c r="K633" i="8"/>
  <c r="K632" i="8"/>
  <c r="K631" i="8"/>
  <c r="K630" i="8"/>
  <c r="K629" i="8"/>
  <c r="K628" i="8"/>
  <c r="K627" i="8"/>
  <c r="K626" i="8"/>
  <c r="K625" i="8"/>
  <c r="K624" i="8"/>
  <c r="K623" i="8"/>
  <c r="K622" i="8"/>
  <c r="K621" i="8"/>
  <c r="K620" i="8"/>
  <c r="K619" i="8"/>
  <c r="K618" i="8"/>
  <c r="K617" i="8"/>
  <c r="K616" i="8"/>
  <c r="K615" i="8"/>
  <c r="K614" i="8"/>
  <c r="K613" i="8"/>
  <c r="K612" i="8"/>
  <c r="K611" i="8"/>
  <c r="K610" i="8"/>
  <c r="K609" i="8"/>
  <c r="K608" i="8"/>
  <c r="K607" i="8"/>
  <c r="K606" i="8"/>
  <c r="K605" i="8"/>
  <c r="K604" i="8"/>
  <c r="K603" i="8"/>
  <c r="K602" i="8"/>
  <c r="K601" i="8"/>
  <c r="K600" i="8"/>
  <c r="K599" i="8"/>
  <c r="K598" i="8"/>
  <c r="K597" i="8"/>
  <c r="K596" i="8"/>
  <c r="K595" i="8"/>
  <c r="K594" i="8"/>
  <c r="K593" i="8"/>
  <c r="K592" i="8"/>
  <c r="K591" i="8"/>
  <c r="K580" i="8"/>
  <c r="K579" i="8"/>
  <c r="K578" i="8"/>
  <c r="K577" i="8"/>
  <c r="K576" i="8"/>
  <c r="K575" i="8"/>
  <c r="K574" i="8"/>
  <c r="K573" i="8"/>
  <c r="K572" i="8"/>
  <c r="K571" i="8"/>
  <c r="K570" i="8"/>
  <c r="K569" i="8"/>
  <c r="K568" i="8"/>
  <c r="K567" i="8"/>
  <c r="K566" i="8"/>
  <c r="K565" i="8"/>
  <c r="K564" i="8"/>
  <c r="K563" i="8"/>
  <c r="K562" i="8"/>
  <c r="K561" i="8"/>
  <c r="K560" i="8"/>
  <c r="K559" i="8"/>
  <c r="K558" i="8"/>
  <c r="K557" i="8"/>
  <c r="K556" i="8"/>
  <c r="K555" i="8"/>
  <c r="K554" i="8"/>
  <c r="K553" i="8"/>
  <c r="K552" i="8"/>
  <c r="K551" i="8"/>
  <c r="K550" i="8"/>
  <c r="K549" i="8"/>
  <c r="K548" i="8"/>
  <c r="K547" i="8"/>
  <c r="K546" i="8"/>
  <c r="K545" i="8"/>
  <c r="K544" i="8"/>
  <c r="K543" i="8"/>
  <c r="K542" i="8"/>
  <c r="K541" i="8"/>
  <c r="K540" i="8"/>
  <c r="K539" i="8"/>
  <c r="K538" i="8"/>
  <c r="K537" i="8"/>
  <c r="K536" i="8"/>
  <c r="K535" i="8"/>
  <c r="K534" i="8"/>
  <c r="K533" i="8"/>
  <c r="K532" i="8"/>
  <c r="K531" i="8"/>
  <c r="K520" i="8"/>
  <c r="K519" i="8"/>
  <c r="K518" i="8"/>
  <c r="K517" i="8"/>
  <c r="K516" i="8"/>
  <c r="K515" i="8"/>
  <c r="K514" i="8"/>
  <c r="K513" i="8"/>
  <c r="K512" i="8"/>
  <c r="K511" i="8"/>
  <c r="K510" i="8"/>
  <c r="K509" i="8"/>
  <c r="K508" i="8"/>
  <c r="K507" i="8"/>
  <c r="K506" i="8"/>
  <c r="K505" i="8"/>
  <c r="K504" i="8"/>
  <c r="K503" i="8"/>
  <c r="K502" i="8"/>
  <c r="K501" i="8"/>
  <c r="K500" i="8"/>
  <c r="K499" i="8"/>
  <c r="K498" i="8"/>
  <c r="K497" i="8"/>
  <c r="K496"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J1000" i="8"/>
  <c r="J999" i="8"/>
  <c r="J998" i="8"/>
  <c r="G998" i="8"/>
  <c r="F1000" i="8" s="1"/>
  <c r="G1000" i="8" s="1"/>
  <c r="J997" i="8"/>
  <c r="G997" i="8"/>
  <c r="J996" i="8"/>
  <c r="G996" i="8"/>
  <c r="J995" i="8"/>
  <c r="G995" i="8"/>
  <c r="J994" i="8"/>
  <c r="J993" i="8"/>
  <c r="J992" i="8"/>
  <c r="G992" i="8"/>
  <c r="F994" i="8" s="1"/>
  <c r="G994" i="8" s="1"/>
  <c r="J991" i="8"/>
  <c r="J990" i="8"/>
  <c r="J989" i="8"/>
  <c r="F989" i="8"/>
  <c r="G989" i="8" s="1"/>
  <c r="J988" i="8"/>
  <c r="J987" i="8"/>
  <c r="J986" i="8"/>
  <c r="F986" i="8"/>
  <c r="G986" i="8" s="1"/>
  <c r="J985" i="8"/>
  <c r="J984" i="8"/>
  <c r="J983" i="8"/>
  <c r="F983" i="8"/>
  <c r="G983" i="8" s="1"/>
  <c r="J982" i="8"/>
  <c r="J981" i="8"/>
  <c r="J980" i="8"/>
  <c r="F980" i="8"/>
  <c r="G980" i="8" s="1"/>
  <c r="J979" i="8"/>
  <c r="J978" i="8"/>
  <c r="J977" i="8"/>
  <c r="F977" i="8"/>
  <c r="G977" i="8" s="1"/>
  <c r="J976" i="8"/>
  <c r="J975" i="8"/>
  <c r="J974" i="8"/>
  <c r="F974" i="8"/>
  <c r="G974" i="8" s="1"/>
  <c r="J973" i="8"/>
  <c r="J972" i="8"/>
  <c r="J971" i="8"/>
  <c r="F971" i="8"/>
  <c r="G971" i="8" s="1"/>
  <c r="J970" i="8"/>
  <c r="J969" i="8"/>
  <c r="J968" i="8"/>
  <c r="F968" i="8"/>
  <c r="G968" i="8" s="1"/>
  <c r="J967" i="8"/>
  <c r="J966" i="8"/>
  <c r="J965" i="8"/>
  <c r="F965" i="8"/>
  <c r="G965" i="8" s="1"/>
  <c r="J964" i="8"/>
  <c r="J963" i="8"/>
  <c r="J962" i="8"/>
  <c r="F962" i="8"/>
  <c r="G962" i="8" s="1"/>
  <c r="J961" i="8"/>
  <c r="J960" i="8"/>
  <c r="J959" i="8"/>
  <c r="F959" i="8"/>
  <c r="G959" i="8" s="1"/>
  <c r="J958" i="8"/>
  <c r="J957" i="8"/>
  <c r="J956" i="8"/>
  <c r="F956" i="8"/>
  <c r="G956" i="8" s="1"/>
  <c r="J955" i="8"/>
  <c r="J954" i="8"/>
  <c r="J953" i="8"/>
  <c r="F953" i="8"/>
  <c r="G953" i="8" s="1"/>
  <c r="J952" i="8"/>
  <c r="J951" i="8"/>
  <c r="J950" i="8"/>
  <c r="F950" i="8"/>
  <c r="G950" i="8" s="1"/>
  <c r="J940" i="8"/>
  <c r="J939" i="8"/>
  <c r="J938" i="8"/>
  <c r="G938" i="8"/>
  <c r="F939" i="8" s="1"/>
  <c r="G939" i="8" s="1"/>
  <c r="J937" i="8"/>
  <c r="G937" i="8"/>
  <c r="J936" i="8"/>
  <c r="G936" i="8"/>
  <c r="J935" i="8"/>
  <c r="G935" i="8"/>
  <c r="J934" i="8"/>
  <c r="J933" i="8"/>
  <c r="J932" i="8"/>
  <c r="G932" i="8"/>
  <c r="F933" i="8" s="1"/>
  <c r="G933"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16" i="8"/>
  <c r="J915" i="8"/>
  <c r="J914" i="8"/>
  <c r="F914" i="8"/>
  <c r="G914" i="8" s="1"/>
  <c r="J913" i="8"/>
  <c r="J912" i="8"/>
  <c r="J911" i="8"/>
  <c r="F911" i="8"/>
  <c r="G911" i="8" s="1"/>
  <c r="J910" i="8"/>
  <c r="J909" i="8"/>
  <c r="J908" i="8"/>
  <c r="F908" i="8"/>
  <c r="G908" i="8" s="1"/>
  <c r="J907" i="8"/>
  <c r="J906" i="8"/>
  <c r="J905" i="8"/>
  <c r="F905" i="8"/>
  <c r="G905" i="8" s="1"/>
  <c r="J904" i="8"/>
  <c r="J903" i="8"/>
  <c r="J902" i="8"/>
  <c r="F902" i="8"/>
  <c r="G902" i="8" s="1"/>
  <c r="J901" i="8"/>
  <c r="J900" i="8"/>
  <c r="J899" i="8"/>
  <c r="F899" i="8"/>
  <c r="G899" i="8" s="1"/>
  <c r="J898" i="8"/>
  <c r="J897" i="8"/>
  <c r="J896" i="8"/>
  <c r="F896" i="8"/>
  <c r="G896" i="8" s="1"/>
  <c r="J895" i="8"/>
  <c r="J894" i="8"/>
  <c r="J893" i="8"/>
  <c r="F893" i="8"/>
  <c r="G893" i="8" s="1"/>
  <c r="J892" i="8"/>
  <c r="J891" i="8"/>
  <c r="J890" i="8"/>
  <c r="F890" i="8"/>
  <c r="G890" i="8" s="1"/>
  <c r="J880" i="8"/>
  <c r="J879" i="8"/>
  <c r="J878" i="8"/>
  <c r="G878" i="8"/>
  <c r="F880" i="8" s="1"/>
  <c r="G880" i="8" s="1"/>
  <c r="J877" i="8"/>
  <c r="G877" i="8"/>
  <c r="J876" i="8"/>
  <c r="G876" i="8"/>
  <c r="J875" i="8"/>
  <c r="G875" i="8"/>
  <c r="J874" i="8"/>
  <c r="J873" i="8"/>
  <c r="J872" i="8"/>
  <c r="G872" i="8"/>
  <c r="F874" i="8" s="1"/>
  <c r="G874"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56" i="8"/>
  <c r="J855" i="8"/>
  <c r="J854" i="8"/>
  <c r="F854" i="8"/>
  <c r="G854" i="8" s="1"/>
  <c r="J853" i="8"/>
  <c r="J852" i="8"/>
  <c r="J851" i="8"/>
  <c r="F851" i="8"/>
  <c r="G851" i="8" s="1"/>
  <c r="J850" i="8"/>
  <c r="J849" i="8"/>
  <c r="J848" i="8"/>
  <c r="F848" i="8"/>
  <c r="G848" i="8" s="1"/>
  <c r="J847" i="8"/>
  <c r="J846" i="8"/>
  <c r="J845" i="8"/>
  <c r="F845" i="8"/>
  <c r="G845" i="8" s="1"/>
  <c r="J844" i="8"/>
  <c r="J843" i="8"/>
  <c r="J842" i="8"/>
  <c r="F842" i="8"/>
  <c r="G842" i="8" s="1"/>
  <c r="J841" i="8"/>
  <c r="J840" i="8"/>
  <c r="J839" i="8"/>
  <c r="F839" i="8"/>
  <c r="G839" i="8" s="1"/>
  <c r="J838" i="8"/>
  <c r="J837" i="8"/>
  <c r="J836" i="8"/>
  <c r="F836" i="8"/>
  <c r="G836" i="8" s="1"/>
  <c r="F838" i="8" s="1"/>
  <c r="G838" i="8" s="1"/>
  <c r="J835" i="8"/>
  <c r="J834" i="8"/>
  <c r="J833" i="8"/>
  <c r="F833" i="8"/>
  <c r="G833" i="8" s="1"/>
  <c r="F834" i="8" s="1"/>
  <c r="G834" i="8" s="1"/>
  <c r="J832" i="8"/>
  <c r="J831" i="8"/>
  <c r="J830" i="8"/>
  <c r="F830" i="8"/>
  <c r="G830" i="8" s="1"/>
  <c r="F831" i="8" s="1"/>
  <c r="G831" i="8" s="1"/>
  <c r="J820" i="8"/>
  <c r="J819" i="8"/>
  <c r="J818" i="8"/>
  <c r="G818" i="8"/>
  <c r="J817" i="8"/>
  <c r="G817" i="8"/>
  <c r="J816" i="8"/>
  <c r="G816" i="8"/>
  <c r="J815" i="8"/>
  <c r="G815" i="8"/>
  <c r="J814" i="8"/>
  <c r="J813" i="8"/>
  <c r="J812" i="8"/>
  <c r="G812" i="8"/>
  <c r="J811" i="8"/>
  <c r="J810" i="8"/>
  <c r="J809" i="8"/>
  <c r="F809" i="8"/>
  <c r="G809" i="8" s="1"/>
  <c r="F811" i="8" s="1"/>
  <c r="G811" i="8" s="1"/>
  <c r="J808" i="8"/>
  <c r="J807" i="8"/>
  <c r="J806" i="8"/>
  <c r="F806" i="8"/>
  <c r="G806" i="8" s="1"/>
  <c r="F808" i="8" s="1"/>
  <c r="G808" i="8" s="1"/>
  <c r="J805" i="8"/>
  <c r="J804" i="8"/>
  <c r="J803" i="8"/>
  <c r="F803" i="8"/>
  <c r="G803" i="8" s="1"/>
  <c r="F804" i="8" s="1"/>
  <c r="G804" i="8" s="1"/>
  <c r="J802" i="8"/>
  <c r="J801" i="8"/>
  <c r="J800" i="8"/>
  <c r="F800" i="8"/>
  <c r="G800" i="8" s="1"/>
  <c r="F802" i="8" s="1"/>
  <c r="G802" i="8" s="1"/>
  <c r="J799" i="8"/>
  <c r="J798" i="8"/>
  <c r="J797" i="8"/>
  <c r="F797" i="8"/>
  <c r="G797" i="8" s="1"/>
  <c r="F798" i="8" s="1"/>
  <c r="G798" i="8" s="1"/>
  <c r="J796" i="8"/>
  <c r="J795" i="8"/>
  <c r="J794" i="8"/>
  <c r="F794" i="8"/>
  <c r="G794" i="8" s="1"/>
  <c r="F796" i="8" s="1"/>
  <c r="G796" i="8" s="1"/>
  <c r="J793" i="8"/>
  <c r="J792" i="8"/>
  <c r="J791" i="8"/>
  <c r="F791" i="8"/>
  <c r="G791" i="8" s="1"/>
  <c r="F792" i="8" s="1"/>
  <c r="G792" i="8" s="1"/>
  <c r="J790" i="8"/>
  <c r="J789" i="8"/>
  <c r="J788" i="8"/>
  <c r="F788" i="8"/>
  <c r="G788" i="8" s="1"/>
  <c r="F790" i="8" s="1"/>
  <c r="G790" i="8" s="1"/>
  <c r="J787" i="8"/>
  <c r="J786" i="8"/>
  <c r="J785" i="8"/>
  <c r="F785" i="8"/>
  <c r="G785" i="8" s="1"/>
  <c r="F787" i="8" s="1"/>
  <c r="G787" i="8" s="1"/>
  <c r="J784" i="8"/>
  <c r="J783" i="8"/>
  <c r="J782" i="8"/>
  <c r="F782" i="8"/>
  <c r="G782" i="8" s="1"/>
  <c r="F784" i="8" s="1"/>
  <c r="G784" i="8" s="1"/>
  <c r="J781" i="8"/>
  <c r="J780" i="8"/>
  <c r="J779" i="8"/>
  <c r="F779" i="8"/>
  <c r="G779" i="8" s="1"/>
  <c r="F780" i="8" s="1"/>
  <c r="G780" i="8" s="1"/>
  <c r="J778" i="8"/>
  <c r="J777" i="8"/>
  <c r="J776" i="8"/>
  <c r="F776" i="8"/>
  <c r="G776" i="8" s="1"/>
  <c r="F777" i="8" s="1"/>
  <c r="G777" i="8" s="1"/>
  <c r="J775" i="8"/>
  <c r="J774" i="8"/>
  <c r="J773" i="8"/>
  <c r="F773" i="8"/>
  <c r="G773" i="8" s="1"/>
  <c r="F775" i="8" s="1"/>
  <c r="G775" i="8" s="1"/>
  <c r="J772" i="8"/>
  <c r="J771" i="8"/>
  <c r="J770" i="8"/>
  <c r="F770" i="8"/>
  <c r="G770" i="8" s="1"/>
  <c r="F771" i="8" s="1"/>
  <c r="G771" i="8" s="1"/>
  <c r="J760" i="8"/>
  <c r="J759" i="8"/>
  <c r="J758" i="8"/>
  <c r="G758" i="8"/>
  <c r="F760" i="8" s="1"/>
  <c r="G760" i="8" s="1"/>
  <c r="J757" i="8"/>
  <c r="G757" i="8"/>
  <c r="J756" i="8"/>
  <c r="G756" i="8"/>
  <c r="J755" i="8"/>
  <c r="G755" i="8"/>
  <c r="J754" i="8"/>
  <c r="J753" i="8"/>
  <c r="J752" i="8"/>
  <c r="G752" i="8"/>
  <c r="F754" i="8" s="1"/>
  <c r="G754" i="8" s="1"/>
  <c r="J751" i="8"/>
  <c r="J750" i="8"/>
  <c r="J749" i="8"/>
  <c r="F749" i="8"/>
  <c r="G749" i="8" s="1"/>
  <c r="F751" i="8" s="1"/>
  <c r="G751" i="8" s="1"/>
  <c r="J748" i="8"/>
  <c r="J747" i="8"/>
  <c r="J746" i="8"/>
  <c r="F746" i="8"/>
  <c r="G746" i="8" s="1"/>
  <c r="F748" i="8" s="1"/>
  <c r="G748" i="8" s="1"/>
  <c r="J745" i="8"/>
  <c r="J744" i="8"/>
  <c r="J743" i="8"/>
  <c r="F743" i="8"/>
  <c r="G743" i="8" s="1"/>
  <c r="F745" i="8" s="1"/>
  <c r="G745" i="8" s="1"/>
  <c r="J742" i="8"/>
  <c r="J741" i="8"/>
  <c r="J740" i="8"/>
  <c r="F740" i="8"/>
  <c r="G740" i="8" s="1"/>
  <c r="F742" i="8" s="1"/>
  <c r="G742" i="8" s="1"/>
  <c r="J739" i="8"/>
  <c r="J738" i="8"/>
  <c r="J737" i="8"/>
  <c r="F737" i="8"/>
  <c r="G737" i="8" s="1"/>
  <c r="F739" i="8" s="1"/>
  <c r="G739" i="8" s="1"/>
  <c r="J736" i="8"/>
  <c r="J735" i="8"/>
  <c r="J734" i="8"/>
  <c r="F734" i="8"/>
  <c r="G734" i="8" s="1"/>
  <c r="F736" i="8" s="1"/>
  <c r="G736" i="8" s="1"/>
  <c r="J733" i="8"/>
  <c r="J732" i="8"/>
  <c r="J731" i="8"/>
  <c r="F731" i="8"/>
  <c r="G731" i="8" s="1"/>
  <c r="F733" i="8" s="1"/>
  <c r="G733" i="8" s="1"/>
  <c r="J730" i="8"/>
  <c r="J729" i="8"/>
  <c r="J728" i="8"/>
  <c r="F728" i="8"/>
  <c r="G728" i="8" s="1"/>
  <c r="F730" i="8" s="1"/>
  <c r="G730" i="8" s="1"/>
  <c r="J727" i="8"/>
  <c r="J726" i="8"/>
  <c r="J725" i="8"/>
  <c r="F725" i="8"/>
  <c r="G725" i="8" s="1"/>
  <c r="F727" i="8" s="1"/>
  <c r="G727" i="8" s="1"/>
  <c r="J724" i="8"/>
  <c r="J723" i="8"/>
  <c r="J722" i="8"/>
  <c r="F722" i="8"/>
  <c r="G722" i="8" s="1"/>
  <c r="F724" i="8" s="1"/>
  <c r="G724" i="8" s="1"/>
  <c r="J721" i="8"/>
  <c r="J720" i="8"/>
  <c r="J719" i="8"/>
  <c r="F719" i="8"/>
  <c r="G719" i="8" s="1"/>
  <c r="F721" i="8" s="1"/>
  <c r="G721" i="8" s="1"/>
  <c r="J718" i="8"/>
  <c r="J717" i="8"/>
  <c r="J716" i="8"/>
  <c r="F716" i="8"/>
  <c r="G716" i="8" s="1"/>
  <c r="F718" i="8" s="1"/>
  <c r="G718" i="8" s="1"/>
  <c r="J715" i="8"/>
  <c r="J714" i="8"/>
  <c r="J713" i="8"/>
  <c r="F713" i="8"/>
  <c r="G713" i="8" s="1"/>
  <c r="F715" i="8" s="1"/>
  <c r="G715" i="8" s="1"/>
  <c r="J712" i="8"/>
  <c r="J711" i="8"/>
  <c r="J710" i="8"/>
  <c r="F710" i="8"/>
  <c r="G710" i="8" s="1"/>
  <c r="J700" i="8"/>
  <c r="J699" i="8"/>
  <c r="J698" i="8"/>
  <c r="G698" i="8"/>
  <c r="F699" i="8" s="1"/>
  <c r="G699" i="8" s="1"/>
  <c r="J697" i="8"/>
  <c r="G697" i="8"/>
  <c r="J696" i="8"/>
  <c r="G696" i="8"/>
  <c r="J695" i="8"/>
  <c r="G695" i="8"/>
  <c r="J694" i="8"/>
  <c r="J693" i="8"/>
  <c r="J692" i="8"/>
  <c r="G692" i="8"/>
  <c r="F693" i="8" s="1"/>
  <c r="G693"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F679" i="8" s="1"/>
  <c r="G679" i="8" s="1"/>
  <c r="J676" i="8"/>
  <c r="J675" i="8"/>
  <c r="J674" i="8"/>
  <c r="F674" i="8"/>
  <c r="G674" i="8" s="1"/>
  <c r="F676" i="8" s="1"/>
  <c r="G676" i="8" s="1"/>
  <c r="J673" i="8"/>
  <c r="J672" i="8"/>
  <c r="J671" i="8"/>
  <c r="F671" i="8"/>
  <c r="G671" i="8" s="1"/>
  <c r="F673" i="8" s="1"/>
  <c r="G673" i="8" s="1"/>
  <c r="J670" i="8"/>
  <c r="J669" i="8"/>
  <c r="J668" i="8"/>
  <c r="F668" i="8"/>
  <c r="G668" i="8" s="1"/>
  <c r="F670" i="8" s="1"/>
  <c r="G670" i="8" s="1"/>
  <c r="J667" i="8"/>
  <c r="J666" i="8"/>
  <c r="J665" i="8"/>
  <c r="F665" i="8"/>
  <c r="G665" i="8" s="1"/>
  <c r="F667" i="8" s="1"/>
  <c r="G667" i="8" s="1"/>
  <c r="J664" i="8"/>
  <c r="J663" i="8"/>
  <c r="J662" i="8"/>
  <c r="F662" i="8"/>
  <c r="G662" i="8" s="1"/>
  <c r="F664" i="8" s="1"/>
  <c r="G664" i="8" s="1"/>
  <c r="J661" i="8"/>
  <c r="J660" i="8"/>
  <c r="J659" i="8"/>
  <c r="F659" i="8"/>
  <c r="G659" i="8" s="1"/>
  <c r="F661" i="8" s="1"/>
  <c r="G661" i="8" s="1"/>
  <c r="J658" i="8"/>
  <c r="J657" i="8"/>
  <c r="J656" i="8"/>
  <c r="F656" i="8"/>
  <c r="G656" i="8" s="1"/>
  <c r="F658" i="8" s="1"/>
  <c r="G658" i="8" s="1"/>
  <c r="J655" i="8"/>
  <c r="J654" i="8"/>
  <c r="J653" i="8"/>
  <c r="F653" i="8"/>
  <c r="G653" i="8" s="1"/>
  <c r="F655" i="8" s="1"/>
  <c r="G655" i="8" s="1"/>
  <c r="J652" i="8"/>
  <c r="J651" i="8"/>
  <c r="J650" i="8"/>
  <c r="F650" i="8"/>
  <c r="G650" i="8" s="1"/>
  <c r="J640" i="8"/>
  <c r="J639" i="8"/>
  <c r="J638" i="8"/>
  <c r="G638" i="8"/>
  <c r="F640" i="8" s="1"/>
  <c r="G640" i="8" s="1"/>
  <c r="J637" i="8"/>
  <c r="G637" i="8"/>
  <c r="J636" i="8"/>
  <c r="G636" i="8"/>
  <c r="J635" i="8"/>
  <c r="G635" i="8"/>
  <c r="J634" i="8"/>
  <c r="J633" i="8"/>
  <c r="J632" i="8"/>
  <c r="G632" i="8"/>
  <c r="F634" i="8" s="1"/>
  <c r="G634" i="8" s="1"/>
  <c r="J631" i="8"/>
  <c r="J630" i="8"/>
  <c r="J629" i="8"/>
  <c r="F629" i="8"/>
  <c r="G629" i="8" s="1"/>
  <c r="J628" i="8"/>
  <c r="J627" i="8"/>
  <c r="J626" i="8"/>
  <c r="F626" i="8"/>
  <c r="G626" i="8" s="1"/>
  <c r="J625" i="8"/>
  <c r="J624" i="8"/>
  <c r="J623" i="8"/>
  <c r="F623" i="8"/>
  <c r="G623" i="8" s="1"/>
  <c r="J622" i="8"/>
  <c r="J621" i="8"/>
  <c r="J620" i="8"/>
  <c r="F620" i="8"/>
  <c r="G620" i="8" s="1"/>
  <c r="J619" i="8"/>
  <c r="J618" i="8"/>
  <c r="J617" i="8"/>
  <c r="F617" i="8"/>
  <c r="G617" i="8" s="1"/>
  <c r="J616" i="8"/>
  <c r="J615" i="8"/>
  <c r="J614" i="8"/>
  <c r="F614" i="8"/>
  <c r="G614" i="8" s="1"/>
  <c r="J613" i="8"/>
  <c r="J612" i="8"/>
  <c r="J611" i="8"/>
  <c r="F611" i="8"/>
  <c r="G611" i="8" s="1"/>
  <c r="J610" i="8"/>
  <c r="J609" i="8"/>
  <c r="J608" i="8"/>
  <c r="F608" i="8"/>
  <c r="G608" i="8" s="1"/>
  <c r="J607" i="8"/>
  <c r="J606" i="8"/>
  <c r="J605" i="8"/>
  <c r="F605" i="8"/>
  <c r="G605" i="8" s="1"/>
  <c r="F607" i="8" s="1"/>
  <c r="G607" i="8" s="1"/>
  <c r="J604" i="8"/>
  <c r="J603" i="8"/>
  <c r="J602" i="8"/>
  <c r="F602" i="8"/>
  <c r="G602" i="8" s="1"/>
  <c r="F604" i="8" s="1"/>
  <c r="G604" i="8" s="1"/>
  <c r="J601" i="8"/>
  <c r="J600" i="8"/>
  <c r="J599" i="8"/>
  <c r="F599" i="8"/>
  <c r="G599" i="8" s="1"/>
  <c r="F601" i="8" s="1"/>
  <c r="G601" i="8" s="1"/>
  <c r="J598" i="8"/>
  <c r="J597" i="8"/>
  <c r="J596" i="8"/>
  <c r="F596" i="8"/>
  <c r="G596" i="8" s="1"/>
  <c r="F598" i="8" s="1"/>
  <c r="G598" i="8" s="1"/>
  <c r="J595" i="8"/>
  <c r="J594" i="8"/>
  <c r="J593" i="8"/>
  <c r="F593" i="8"/>
  <c r="G593" i="8" s="1"/>
  <c r="F595" i="8" s="1"/>
  <c r="G595" i="8" s="1"/>
  <c r="J592" i="8"/>
  <c r="J591" i="8"/>
  <c r="J590" i="8"/>
  <c r="F590" i="8"/>
  <c r="G590" i="8" s="1"/>
  <c r="F592" i="8" s="1"/>
  <c r="G592" i="8" s="1"/>
  <c r="J580" i="8"/>
  <c r="J579" i="8"/>
  <c r="J578" i="8"/>
  <c r="G578" i="8"/>
  <c r="F579" i="8" s="1"/>
  <c r="G579" i="8" s="1"/>
  <c r="J577" i="8"/>
  <c r="G577" i="8"/>
  <c r="J576" i="8"/>
  <c r="G576" i="8"/>
  <c r="J575" i="8"/>
  <c r="G575" i="8"/>
  <c r="J574" i="8"/>
  <c r="J573" i="8"/>
  <c r="J572" i="8"/>
  <c r="G572" i="8"/>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56" i="8"/>
  <c r="J555" i="8"/>
  <c r="J554" i="8"/>
  <c r="F554" i="8"/>
  <c r="G554" i="8" s="1"/>
  <c r="F556" i="8" s="1"/>
  <c r="G556" i="8" s="1"/>
  <c r="J553" i="8"/>
  <c r="J552" i="8"/>
  <c r="J551" i="8"/>
  <c r="F551" i="8"/>
  <c r="G551" i="8" s="1"/>
  <c r="F553" i="8" s="1"/>
  <c r="G553" i="8" s="1"/>
  <c r="J550" i="8"/>
  <c r="J549" i="8"/>
  <c r="J548" i="8"/>
  <c r="F548" i="8"/>
  <c r="G548" i="8" s="1"/>
  <c r="F550" i="8" s="1"/>
  <c r="G550" i="8" s="1"/>
  <c r="J547" i="8"/>
  <c r="J546" i="8"/>
  <c r="J545" i="8"/>
  <c r="F545" i="8"/>
  <c r="G545" i="8" s="1"/>
  <c r="F547" i="8" s="1"/>
  <c r="G547" i="8" s="1"/>
  <c r="J544" i="8"/>
  <c r="J543" i="8"/>
  <c r="J542" i="8"/>
  <c r="F542" i="8"/>
  <c r="G542" i="8" s="1"/>
  <c r="F544" i="8" s="1"/>
  <c r="G544" i="8" s="1"/>
  <c r="J541" i="8"/>
  <c r="J540" i="8"/>
  <c r="J539" i="8"/>
  <c r="F539" i="8"/>
  <c r="G539" i="8" s="1"/>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0" i="8"/>
  <c r="J519" i="8"/>
  <c r="J518" i="8"/>
  <c r="G518" i="8"/>
  <c r="F519" i="8" s="1"/>
  <c r="G519" i="8" s="1"/>
  <c r="J517" i="8"/>
  <c r="G517" i="8"/>
  <c r="J516" i="8"/>
  <c r="G516" i="8"/>
  <c r="J515" i="8"/>
  <c r="G515" i="8"/>
  <c r="J514" i="8"/>
  <c r="J513" i="8"/>
  <c r="J512" i="8"/>
  <c r="G512" i="8"/>
  <c r="F513" i="8" s="1"/>
  <c r="G513" i="8" s="1"/>
  <c r="J511" i="8"/>
  <c r="J510" i="8"/>
  <c r="J509" i="8"/>
  <c r="F509" i="8"/>
  <c r="G509" i="8" s="1"/>
  <c r="J508" i="8"/>
  <c r="J507" i="8"/>
  <c r="J506" i="8"/>
  <c r="F506" i="8"/>
  <c r="G506" i="8" s="1"/>
  <c r="J505" i="8"/>
  <c r="J504" i="8"/>
  <c r="J503" i="8"/>
  <c r="F503" i="8"/>
  <c r="G503" i="8" s="1"/>
  <c r="J502" i="8"/>
  <c r="J501" i="8"/>
  <c r="J500" i="8"/>
  <c r="F500" i="8"/>
  <c r="G500" i="8" s="1"/>
  <c r="J499" i="8"/>
  <c r="J498" i="8"/>
  <c r="J497" i="8"/>
  <c r="F497" i="8"/>
  <c r="G497" i="8" s="1"/>
  <c r="J496" i="8"/>
  <c r="J495" i="8"/>
  <c r="J494" i="8"/>
  <c r="F494" i="8"/>
  <c r="G494" i="8" s="1"/>
  <c r="J493" i="8"/>
  <c r="J492" i="8"/>
  <c r="J491" i="8"/>
  <c r="F491" i="8"/>
  <c r="G491" i="8" s="1"/>
  <c r="J490" i="8"/>
  <c r="J489" i="8"/>
  <c r="J488" i="8"/>
  <c r="F488" i="8"/>
  <c r="G488" i="8" s="1"/>
  <c r="J487" i="8"/>
  <c r="J486" i="8"/>
  <c r="J485" i="8"/>
  <c r="F485" i="8"/>
  <c r="G485" i="8" s="1"/>
  <c r="J484" i="8"/>
  <c r="J483" i="8"/>
  <c r="J482" i="8"/>
  <c r="F482" i="8"/>
  <c r="G482" i="8" s="1"/>
  <c r="J481" i="8"/>
  <c r="J480" i="8"/>
  <c r="J479" i="8"/>
  <c r="F479" i="8"/>
  <c r="G479" i="8" s="1"/>
  <c r="J478" i="8"/>
  <c r="J477" i="8"/>
  <c r="J476" i="8"/>
  <c r="F476" i="8"/>
  <c r="G476" i="8" s="1"/>
  <c r="J475" i="8"/>
  <c r="J474" i="8"/>
  <c r="J473" i="8"/>
  <c r="F473" i="8"/>
  <c r="G473" i="8" s="1"/>
  <c r="J472" i="8"/>
  <c r="J471" i="8"/>
  <c r="J470" i="8"/>
  <c r="F470" i="8"/>
  <c r="G470" i="8" s="1"/>
  <c r="J460" i="8"/>
  <c r="J459" i="8"/>
  <c r="J458" i="8"/>
  <c r="G458" i="8"/>
  <c r="F460" i="8" s="1"/>
  <c r="G460" i="8" s="1"/>
  <c r="J457" i="8"/>
  <c r="G457" i="8"/>
  <c r="J456" i="8"/>
  <c r="G456" i="8"/>
  <c r="J455" i="8"/>
  <c r="G455" i="8"/>
  <c r="J454" i="8"/>
  <c r="J453" i="8"/>
  <c r="J452" i="8"/>
  <c r="G452" i="8"/>
  <c r="F454" i="8" s="1"/>
  <c r="G454"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36" i="8"/>
  <c r="J435" i="8"/>
  <c r="J434" i="8"/>
  <c r="F434" i="8"/>
  <c r="G434" i="8" s="1"/>
  <c r="J433" i="8"/>
  <c r="J432" i="8"/>
  <c r="J431" i="8"/>
  <c r="F431" i="8"/>
  <c r="G431" i="8" s="1"/>
  <c r="J430" i="8"/>
  <c r="J429" i="8"/>
  <c r="J428" i="8"/>
  <c r="F428" i="8"/>
  <c r="G428" i="8" s="1"/>
  <c r="J427" i="8"/>
  <c r="J426" i="8"/>
  <c r="J425" i="8"/>
  <c r="F425" i="8"/>
  <c r="G425" i="8" s="1"/>
  <c r="J424" i="8"/>
  <c r="J423" i="8"/>
  <c r="J422" i="8"/>
  <c r="F422" i="8"/>
  <c r="G422" i="8" s="1"/>
  <c r="J421" i="8"/>
  <c r="J420" i="8"/>
  <c r="J419" i="8"/>
  <c r="F419" i="8"/>
  <c r="G419" i="8" s="1"/>
  <c r="J418" i="8"/>
  <c r="J417" i="8"/>
  <c r="J416" i="8"/>
  <c r="F416" i="8"/>
  <c r="G416" i="8" s="1"/>
  <c r="J415" i="8"/>
  <c r="J414" i="8"/>
  <c r="J413" i="8"/>
  <c r="F413" i="8"/>
  <c r="G413" i="8" s="1"/>
  <c r="J412" i="8"/>
  <c r="J411" i="8"/>
  <c r="J410" i="8"/>
  <c r="F410" i="8"/>
  <c r="G410"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76" i="8"/>
  <c r="J375" i="8"/>
  <c r="J374" i="8"/>
  <c r="F374" i="8"/>
  <c r="G374" i="8" s="1"/>
  <c r="J373" i="8"/>
  <c r="J372" i="8"/>
  <c r="J371" i="8"/>
  <c r="F371" i="8"/>
  <c r="G371" i="8" s="1"/>
  <c r="J370" i="8"/>
  <c r="J369" i="8"/>
  <c r="J368" i="8"/>
  <c r="F368" i="8"/>
  <c r="G368" i="8" s="1"/>
  <c r="J367" i="8"/>
  <c r="J366" i="8"/>
  <c r="J365" i="8"/>
  <c r="F365" i="8"/>
  <c r="G365" i="8" s="1"/>
  <c r="J364" i="8"/>
  <c r="J363" i="8"/>
  <c r="J362" i="8"/>
  <c r="F362" i="8"/>
  <c r="G362" i="8" s="1"/>
  <c r="J361" i="8"/>
  <c r="J360" i="8"/>
  <c r="J359" i="8"/>
  <c r="F359" i="8"/>
  <c r="G359" i="8" s="1"/>
  <c r="J358" i="8"/>
  <c r="J357" i="8"/>
  <c r="J356" i="8"/>
  <c r="F356" i="8"/>
  <c r="G356" i="8" s="1"/>
  <c r="J355" i="8"/>
  <c r="J354" i="8"/>
  <c r="J353" i="8"/>
  <c r="F353" i="8"/>
  <c r="G353" i="8" s="1"/>
  <c r="J352" i="8"/>
  <c r="J351" i="8"/>
  <c r="J350" i="8"/>
  <c r="F350" i="8"/>
  <c r="G350" i="8" s="1"/>
  <c r="J340" i="8"/>
  <c r="J339" i="8"/>
  <c r="J338" i="8"/>
  <c r="G338" i="8"/>
  <c r="F340" i="8" s="1"/>
  <c r="G340" i="8" s="1"/>
  <c r="J337" i="8"/>
  <c r="G337" i="8"/>
  <c r="J336" i="8"/>
  <c r="G336" i="8"/>
  <c r="J335" i="8"/>
  <c r="G335" i="8"/>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16" i="8"/>
  <c r="J315" i="8"/>
  <c r="J314" i="8"/>
  <c r="F314" i="8"/>
  <c r="G314" i="8" s="1"/>
  <c r="J313" i="8"/>
  <c r="J312" i="8"/>
  <c r="J311" i="8"/>
  <c r="F311" i="8"/>
  <c r="G311" i="8" s="1"/>
  <c r="J310" i="8"/>
  <c r="J309" i="8"/>
  <c r="J308" i="8"/>
  <c r="F308" i="8"/>
  <c r="G308" i="8" s="1"/>
  <c r="J307" i="8"/>
  <c r="J306" i="8"/>
  <c r="J305" i="8"/>
  <c r="F305" i="8"/>
  <c r="G305" i="8" s="1"/>
  <c r="J304" i="8"/>
  <c r="J303" i="8"/>
  <c r="J302" i="8"/>
  <c r="F302" i="8"/>
  <c r="G302" i="8" s="1"/>
  <c r="J301" i="8"/>
  <c r="J300" i="8"/>
  <c r="J299" i="8"/>
  <c r="F299" i="8"/>
  <c r="G299" i="8" s="1"/>
  <c r="J298" i="8"/>
  <c r="J297" i="8"/>
  <c r="J296" i="8"/>
  <c r="F296" i="8"/>
  <c r="G296" i="8" s="1"/>
  <c r="J295" i="8"/>
  <c r="J294" i="8"/>
  <c r="J293" i="8"/>
  <c r="F293" i="8"/>
  <c r="G293" i="8" s="1"/>
  <c r="J292" i="8"/>
  <c r="J291" i="8"/>
  <c r="J290" i="8"/>
  <c r="F290" i="8"/>
  <c r="G290" i="8" s="1"/>
  <c r="J280" i="8"/>
  <c r="J279" i="8"/>
  <c r="J278" i="8"/>
  <c r="G278" i="8"/>
  <c r="F279" i="8" s="1"/>
  <c r="G279" i="8" s="1"/>
  <c r="J277" i="8"/>
  <c r="G277" i="8"/>
  <c r="J276" i="8"/>
  <c r="G276" i="8"/>
  <c r="J275" i="8"/>
  <c r="G275" i="8"/>
  <c r="J271" i="8"/>
  <c r="J270" i="8"/>
  <c r="J269" i="8"/>
  <c r="F269" i="8"/>
  <c r="G269" i="8" s="1"/>
  <c r="F271" i="8" s="1"/>
  <c r="G271" i="8" s="1"/>
  <c r="J268" i="8"/>
  <c r="J267" i="8"/>
  <c r="J266" i="8"/>
  <c r="F266" i="8"/>
  <c r="G266" i="8" s="1"/>
  <c r="F268" i="8" s="1"/>
  <c r="G268" i="8" s="1"/>
  <c r="J265" i="8"/>
  <c r="J264" i="8"/>
  <c r="J263" i="8"/>
  <c r="F263" i="8"/>
  <c r="G263" i="8" s="1"/>
  <c r="F265" i="8" s="1"/>
  <c r="G265" i="8" s="1"/>
  <c r="J262" i="8"/>
  <c r="J261" i="8"/>
  <c r="J260" i="8"/>
  <c r="F260" i="8"/>
  <c r="G260" i="8" s="1"/>
  <c r="F262" i="8" s="1"/>
  <c r="G262" i="8" s="1"/>
  <c r="J259" i="8"/>
  <c r="J258" i="8"/>
  <c r="J257" i="8"/>
  <c r="F257" i="8"/>
  <c r="G257" i="8" s="1"/>
  <c r="F259" i="8" s="1"/>
  <c r="G259" i="8" s="1"/>
  <c r="J256" i="8"/>
  <c r="J255" i="8"/>
  <c r="J254" i="8"/>
  <c r="F254" i="8"/>
  <c r="G254" i="8" s="1"/>
  <c r="F256" i="8" s="1"/>
  <c r="G256" i="8" s="1"/>
  <c r="J253" i="8"/>
  <c r="J252" i="8"/>
  <c r="J251" i="8"/>
  <c r="F251" i="8"/>
  <c r="G251" i="8" s="1"/>
  <c r="F253" i="8" s="1"/>
  <c r="G253" i="8" s="1"/>
  <c r="J250" i="8"/>
  <c r="J249" i="8"/>
  <c r="J248" i="8"/>
  <c r="F248" i="8"/>
  <c r="G248" i="8" s="1"/>
  <c r="F250" i="8" s="1"/>
  <c r="G250" i="8" s="1"/>
  <c r="J247" i="8"/>
  <c r="J246" i="8"/>
  <c r="J245" i="8"/>
  <c r="F245" i="8"/>
  <c r="G245" i="8" s="1"/>
  <c r="F247" i="8" s="1"/>
  <c r="G247" i="8" s="1"/>
  <c r="J244" i="8"/>
  <c r="J243" i="8"/>
  <c r="J242" i="8"/>
  <c r="F242" i="8"/>
  <c r="G242" i="8" s="1"/>
  <c r="F244" i="8" s="1"/>
  <c r="G244" i="8" s="1"/>
  <c r="J241" i="8"/>
  <c r="J240" i="8"/>
  <c r="J239" i="8"/>
  <c r="F239" i="8"/>
  <c r="G239" i="8" s="1"/>
  <c r="F241" i="8" s="1"/>
  <c r="G241" i="8" s="1"/>
  <c r="J238" i="8"/>
  <c r="J237" i="8"/>
  <c r="J236" i="8"/>
  <c r="F236" i="8"/>
  <c r="G236" i="8" s="1"/>
  <c r="F238" i="8" s="1"/>
  <c r="G238" i="8" s="1"/>
  <c r="J235" i="8"/>
  <c r="J234" i="8"/>
  <c r="J233" i="8"/>
  <c r="F233" i="8"/>
  <c r="G233" i="8" s="1"/>
  <c r="F235" i="8" s="1"/>
  <c r="G235" i="8" s="1"/>
  <c r="J232" i="8"/>
  <c r="J231" i="8"/>
  <c r="J230" i="8"/>
  <c r="F230" i="8"/>
  <c r="G230" i="8" s="1"/>
  <c r="J217" i="8"/>
  <c r="G217" i="8"/>
  <c r="J216" i="8"/>
  <c r="G216" i="8"/>
  <c r="J215" i="8"/>
  <c r="G215" i="8"/>
  <c r="J214" i="8"/>
  <c r="J213" i="8"/>
  <c r="J212" i="8"/>
  <c r="G212" i="8"/>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F199" i="8" s="1"/>
  <c r="G199" i="8" s="1"/>
  <c r="J196" i="8"/>
  <c r="J195" i="8"/>
  <c r="J194" i="8"/>
  <c r="F194" i="8"/>
  <c r="G194" i="8" s="1"/>
  <c r="F196" i="8" s="1"/>
  <c r="G196" i="8" s="1"/>
  <c r="J193" i="8"/>
  <c r="J192" i="8"/>
  <c r="J191" i="8"/>
  <c r="F191" i="8"/>
  <c r="G191" i="8" s="1"/>
  <c r="F193" i="8" s="1"/>
  <c r="G193" i="8" s="1"/>
  <c r="J190" i="8"/>
  <c r="J189" i="8"/>
  <c r="J188" i="8"/>
  <c r="F188" i="8"/>
  <c r="G188" i="8" s="1"/>
  <c r="F190" i="8" s="1"/>
  <c r="G190" i="8" s="1"/>
  <c r="J187" i="8"/>
  <c r="J186" i="8"/>
  <c r="J185" i="8"/>
  <c r="F185" i="8"/>
  <c r="G185" i="8" s="1"/>
  <c r="F187" i="8" s="1"/>
  <c r="G187" i="8" s="1"/>
  <c r="J184" i="8"/>
  <c r="J183" i="8"/>
  <c r="J182" i="8"/>
  <c r="F182" i="8"/>
  <c r="G182" i="8" s="1"/>
  <c r="F184" i="8" s="1"/>
  <c r="G184" i="8" s="1"/>
  <c r="J181" i="8"/>
  <c r="J180" i="8"/>
  <c r="J179" i="8"/>
  <c r="F179" i="8"/>
  <c r="G179" i="8" s="1"/>
  <c r="F181" i="8" s="1"/>
  <c r="G181" i="8" s="1"/>
  <c r="J178" i="8"/>
  <c r="J177" i="8"/>
  <c r="J176" i="8"/>
  <c r="F176" i="8"/>
  <c r="G176" i="8" s="1"/>
  <c r="F178" i="8" s="1"/>
  <c r="G178" i="8" s="1"/>
  <c r="J175" i="8"/>
  <c r="J174" i="8"/>
  <c r="J173" i="8"/>
  <c r="F173" i="8"/>
  <c r="G173" i="8" s="1"/>
  <c r="F175" i="8" s="1"/>
  <c r="G175" i="8" s="1"/>
  <c r="J172" i="8"/>
  <c r="J171" i="8"/>
  <c r="J170" i="8"/>
  <c r="F170" i="8"/>
  <c r="G170" i="8" s="1"/>
  <c r="J160" i="8"/>
  <c r="J159" i="8"/>
  <c r="J158" i="8"/>
  <c r="G158" i="8"/>
  <c r="F159" i="8" s="1"/>
  <c r="G159" i="8" s="1"/>
  <c r="J157" i="8"/>
  <c r="G157" i="8"/>
  <c r="J156" i="8"/>
  <c r="G156" i="8"/>
  <c r="J155" i="8"/>
  <c r="G155" i="8"/>
  <c r="J133" i="8"/>
  <c r="J132" i="8"/>
  <c r="J131" i="8"/>
  <c r="F131" i="8"/>
  <c r="G131" i="8" s="1"/>
  <c r="F133" i="8" s="1"/>
  <c r="G133" i="8" s="1"/>
  <c r="J130" i="8"/>
  <c r="J129" i="8"/>
  <c r="J128" i="8"/>
  <c r="F128" i="8"/>
  <c r="G128" i="8" s="1"/>
  <c r="F130" i="8" s="1"/>
  <c r="G130" i="8" s="1"/>
  <c r="J127" i="8"/>
  <c r="J126" i="8"/>
  <c r="J125" i="8"/>
  <c r="F125" i="8"/>
  <c r="G125" i="8" s="1"/>
  <c r="F127" i="8" s="1"/>
  <c r="G127" i="8" s="1"/>
  <c r="J124" i="8"/>
  <c r="J123" i="8"/>
  <c r="J122" i="8"/>
  <c r="F122" i="8"/>
  <c r="G122" i="8" s="1"/>
  <c r="F124" i="8" s="1"/>
  <c r="G124" i="8" s="1"/>
  <c r="J121" i="8"/>
  <c r="J120" i="8"/>
  <c r="J119" i="8"/>
  <c r="F119" i="8"/>
  <c r="G119" i="8" s="1"/>
  <c r="F121" i="8" s="1"/>
  <c r="G121"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67" i="9" l="1"/>
  <c r="D86" i="9"/>
  <c r="O28" i="24"/>
  <c r="O21" i="24"/>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O15" i="24"/>
  <c r="O17" i="24"/>
  <c r="O16" i="24"/>
  <c r="O29" i="24"/>
  <c r="O30" i="24"/>
  <c r="F213" i="8"/>
  <c r="G213" i="8" s="1"/>
  <c r="F453" i="8"/>
  <c r="G453" i="8" s="1"/>
  <c r="D72" i="40"/>
  <c r="D103" i="40"/>
  <c r="P60" i="43"/>
  <c r="Q61" i="43"/>
  <c r="P62" i="43"/>
  <c r="Q63" i="43"/>
  <c r="D96" i="43"/>
  <c r="D32" i="42"/>
  <c r="D80" i="42"/>
  <c r="D48" i="42"/>
  <c r="D41" i="40"/>
  <c r="D117" i="12"/>
  <c r="D205" i="12"/>
  <c r="D293" i="12"/>
  <c r="D558" i="12"/>
  <c r="D646" i="12"/>
  <c r="D734" i="12"/>
  <c r="D910" i="12"/>
  <c r="D426" i="12"/>
  <c r="D778" i="12"/>
  <c r="D866" i="12"/>
  <c r="D181" i="9"/>
  <c r="D105" i="9"/>
  <c r="D29" i="9"/>
  <c r="D48" i="9"/>
  <c r="D162" i="9"/>
  <c r="F339" i="8"/>
  <c r="G339" i="8" s="1"/>
  <c r="F459" i="8"/>
  <c r="G459" i="8" s="1"/>
  <c r="F160" i="8"/>
  <c r="G160" i="8" s="1"/>
  <c r="F280" i="8"/>
  <c r="G280" i="8" s="1"/>
  <c r="F514" i="8"/>
  <c r="G514" i="8" s="1"/>
  <c r="F520" i="8"/>
  <c r="G520" i="8" s="1"/>
  <c r="F580" i="8"/>
  <c r="G580" i="8" s="1"/>
  <c r="F633" i="8"/>
  <c r="G633" i="8" s="1"/>
  <c r="F639" i="8"/>
  <c r="G639" i="8" s="1"/>
  <c r="F694" i="8"/>
  <c r="G694" i="8" s="1"/>
  <c r="F700" i="8"/>
  <c r="G700" i="8" s="1"/>
  <c r="F753" i="8"/>
  <c r="G753" i="8" s="1"/>
  <c r="F759" i="8"/>
  <c r="G759" i="8" s="1"/>
  <c r="F873" i="8"/>
  <c r="G873" i="8" s="1"/>
  <c r="F879" i="8"/>
  <c r="G879" i="8" s="1"/>
  <c r="F934" i="8"/>
  <c r="G934" i="8" s="1"/>
  <c r="F940" i="8"/>
  <c r="G940" i="8" s="1"/>
  <c r="F993" i="8"/>
  <c r="G993" i="8" s="1"/>
  <c r="F999" i="8"/>
  <c r="G999" i="8" s="1"/>
  <c r="F774" i="8"/>
  <c r="G774" i="8" s="1"/>
  <c r="F810" i="8"/>
  <c r="G810" i="8" s="1"/>
  <c r="F783" i="8"/>
  <c r="G783" i="8" s="1"/>
  <c r="D105" i="7"/>
  <c r="D38" i="10"/>
  <c r="D61" i="10"/>
  <c r="D153" i="10"/>
  <c r="D245" i="10"/>
  <c r="D268" i="10"/>
  <c r="D107" i="10"/>
  <c r="D199" i="10"/>
  <c r="F801" i="8"/>
  <c r="G801" i="8" s="1"/>
  <c r="F837" i="8"/>
  <c r="G837" i="8" s="1"/>
  <c r="F789" i="8"/>
  <c r="G789" i="8" s="1"/>
  <c r="F786" i="8"/>
  <c r="G786" i="8" s="1"/>
  <c r="F795" i="8"/>
  <c r="G795" i="8" s="1"/>
  <c r="F778" i="8"/>
  <c r="G778" i="8" s="1"/>
  <c r="F799" i="8"/>
  <c r="G799" i="8" s="1"/>
  <c r="F807" i="8"/>
  <c r="G807"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70" i="42"/>
  <c r="D59" i="42"/>
  <c r="P104" i="43"/>
  <c r="P106" i="43"/>
  <c r="P108" i="43"/>
  <c r="P110" i="43"/>
  <c r="P112" i="43"/>
  <c r="P114" i="43"/>
  <c r="P116" i="43"/>
  <c r="P118" i="43"/>
  <c r="P120" i="43"/>
  <c r="P122" i="43"/>
  <c r="P124" i="43"/>
  <c r="P126" i="43"/>
  <c r="P128" i="43"/>
  <c r="P130" i="43"/>
  <c r="P132" i="43"/>
  <c r="P134" i="43"/>
  <c r="P136" i="43"/>
  <c r="P93" i="43"/>
  <c r="D690" i="12"/>
  <c r="D602" i="12"/>
  <c r="D161" i="12"/>
  <c r="D249" i="12"/>
  <c r="D337" i="12"/>
  <c r="D470" i="12"/>
  <c r="D381" i="12"/>
  <c r="D514" i="12"/>
  <c r="D822" i="12"/>
  <c r="D222" i="10"/>
  <c r="D176" i="10"/>
  <c r="D130" i="10"/>
  <c r="D84" i="10"/>
  <c r="F793" i="8"/>
  <c r="G793" i="8" s="1"/>
  <c r="F805" i="8"/>
  <c r="G805" i="8" s="1"/>
  <c r="F835" i="8"/>
  <c r="G835" i="8" s="1"/>
  <c r="F841" i="8"/>
  <c r="G841" i="8" s="1"/>
  <c r="F840" i="8"/>
  <c r="G840" i="8" s="1"/>
  <c r="F847" i="8"/>
  <c r="G847" i="8" s="1"/>
  <c r="F846" i="8"/>
  <c r="G846" i="8" s="1"/>
  <c r="F781" i="8"/>
  <c r="G781" i="8" s="1"/>
  <c r="F772" i="8"/>
  <c r="G772" i="8" s="1"/>
  <c r="F814" i="8"/>
  <c r="G814" i="8" s="1"/>
  <c r="F813" i="8"/>
  <c r="G813" i="8" s="1"/>
  <c r="F892" i="8"/>
  <c r="G892" i="8" s="1"/>
  <c r="F891" i="8"/>
  <c r="G891" i="8" s="1"/>
  <c r="F820" i="8"/>
  <c r="G820" i="8" s="1"/>
  <c r="F819" i="8"/>
  <c r="G819" i="8" s="1"/>
  <c r="F832" i="8"/>
  <c r="G832" i="8" s="1"/>
  <c r="F844" i="8"/>
  <c r="G844" i="8" s="1"/>
  <c r="F843" i="8"/>
  <c r="G843" i="8" s="1"/>
  <c r="F952" i="8"/>
  <c r="G952" i="8" s="1"/>
  <c r="F951" i="8"/>
  <c r="G951" i="8" s="1"/>
  <c r="F853" i="8"/>
  <c r="G853" i="8" s="1"/>
  <c r="F852" i="8"/>
  <c r="G852" i="8" s="1"/>
  <c r="F859" i="8"/>
  <c r="G859" i="8" s="1"/>
  <c r="F858" i="8"/>
  <c r="G858" i="8" s="1"/>
  <c r="F865" i="8"/>
  <c r="G865" i="8" s="1"/>
  <c r="F864" i="8"/>
  <c r="G864" i="8" s="1"/>
  <c r="F871" i="8"/>
  <c r="G871" i="8" s="1"/>
  <c r="F870" i="8"/>
  <c r="G870" i="8" s="1"/>
  <c r="F895" i="8"/>
  <c r="G895" i="8" s="1"/>
  <c r="F894" i="8"/>
  <c r="G894" i="8" s="1"/>
  <c r="F901" i="8"/>
  <c r="G901" i="8" s="1"/>
  <c r="F900" i="8"/>
  <c r="G900" i="8" s="1"/>
  <c r="F907" i="8"/>
  <c r="G907" i="8" s="1"/>
  <c r="F906" i="8"/>
  <c r="G906" i="8" s="1"/>
  <c r="F913" i="8"/>
  <c r="G913" i="8" s="1"/>
  <c r="F912" i="8"/>
  <c r="G912" i="8" s="1"/>
  <c r="F919" i="8"/>
  <c r="G919" i="8" s="1"/>
  <c r="F918" i="8"/>
  <c r="G918" i="8" s="1"/>
  <c r="F925" i="8"/>
  <c r="G925" i="8" s="1"/>
  <c r="F924" i="8"/>
  <c r="G924" i="8" s="1"/>
  <c r="F931" i="8"/>
  <c r="G931" i="8" s="1"/>
  <c r="F930" i="8"/>
  <c r="G930" i="8" s="1"/>
  <c r="F955" i="8"/>
  <c r="G955" i="8" s="1"/>
  <c r="F954" i="8"/>
  <c r="G954" i="8" s="1"/>
  <c r="F961" i="8"/>
  <c r="G961" i="8" s="1"/>
  <c r="F960" i="8"/>
  <c r="G960" i="8" s="1"/>
  <c r="F967" i="8"/>
  <c r="G967" i="8" s="1"/>
  <c r="F966" i="8"/>
  <c r="G966" i="8" s="1"/>
  <c r="F973" i="8"/>
  <c r="G973" i="8" s="1"/>
  <c r="F972" i="8"/>
  <c r="G972" i="8" s="1"/>
  <c r="F979" i="8"/>
  <c r="G979" i="8" s="1"/>
  <c r="F978" i="8"/>
  <c r="G978" i="8" s="1"/>
  <c r="F985" i="8"/>
  <c r="G985" i="8" s="1"/>
  <c r="F984" i="8"/>
  <c r="G984" i="8" s="1"/>
  <c r="F991" i="8"/>
  <c r="G991" i="8" s="1"/>
  <c r="F990" i="8"/>
  <c r="G990" i="8" s="1"/>
  <c r="F850" i="8"/>
  <c r="G850" i="8" s="1"/>
  <c r="F849" i="8"/>
  <c r="G849" i="8" s="1"/>
  <c r="F862" i="8"/>
  <c r="G862" i="8" s="1"/>
  <c r="F861" i="8"/>
  <c r="G861" i="8" s="1"/>
  <c r="F898" i="8"/>
  <c r="G898" i="8" s="1"/>
  <c r="F897" i="8"/>
  <c r="G897" i="8" s="1"/>
  <c r="F904" i="8"/>
  <c r="G904" i="8" s="1"/>
  <c r="F903" i="8"/>
  <c r="G903" i="8" s="1"/>
  <c r="F910" i="8"/>
  <c r="G910" i="8" s="1"/>
  <c r="F909" i="8"/>
  <c r="G909" i="8" s="1"/>
  <c r="F916" i="8"/>
  <c r="G916" i="8" s="1"/>
  <c r="F915" i="8"/>
  <c r="G915" i="8" s="1"/>
  <c r="F922" i="8"/>
  <c r="G922" i="8" s="1"/>
  <c r="F921" i="8"/>
  <c r="G921" i="8" s="1"/>
  <c r="F928" i="8"/>
  <c r="G928" i="8" s="1"/>
  <c r="F927" i="8"/>
  <c r="G927" i="8" s="1"/>
  <c r="F958" i="8"/>
  <c r="G958" i="8" s="1"/>
  <c r="F957" i="8"/>
  <c r="G957" i="8" s="1"/>
  <c r="F964" i="8"/>
  <c r="G964" i="8" s="1"/>
  <c r="F963" i="8"/>
  <c r="G963" i="8" s="1"/>
  <c r="F970" i="8"/>
  <c r="G970" i="8" s="1"/>
  <c r="F969" i="8"/>
  <c r="G969" i="8" s="1"/>
  <c r="F976" i="8"/>
  <c r="G976" i="8" s="1"/>
  <c r="F975" i="8"/>
  <c r="G975" i="8" s="1"/>
  <c r="F982" i="8"/>
  <c r="G982" i="8" s="1"/>
  <c r="F981" i="8"/>
  <c r="G981" i="8" s="1"/>
  <c r="F988" i="8"/>
  <c r="G988" i="8" s="1"/>
  <c r="F987" i="8"/>
  <c r="G987" i="8" s="1"/>
  <c r="F856" i="8"/>
  <c r="G856" i="8" s="1"/>
  <c r="F855" i="8"/>
  <c r="G855" i="8" s="1"/>
  <c r="F868" i="8"/>
  <c r="G868" i="8" s="1"/>
  <c r="F867" i="8"/>
  <c r="G867" i="8" s="1"/>
  <c r="F613" i="8"/>
  <c r="G613" i="8" s="1"/>
  <c r="F612" i="8"/>
  <c r="G612" i="8" s="1"/>
  <c r="F619" i="8"/>
  <c r="G619" i="8" s="1"/>
  <c r="F618" i="8"/>
  <c r="G618" i="8" s="1"/>
  <c r="F625" i="8"/>
  <c r="G625" i="8" s="1"/>
  <c r="F624" i="8"/>
  <c r="G624" i="8" s="1"/>
  <c r="F631" i="8"/>
  <c r="G631" i="8" s="1"/>
  <c r="F630" i="8"/>
  <c r="G630" i="8" s="1"/>
  <c r="F573" i="8"/>
  <c r="G573" i="8" s="1"/>
  <c r="F531" i="8"/>
  <c r="G531" i="8" s="1"/>
  <c r="F534" i="8"/>
  <c r="G534" i="8" s="1"/>
  <c r="F537" i="8"/>
  <c r="G537" i="8" s="1"/>
  <c r="F540" i="8"/>
  <c r="G540" i="8" s="1"/>
  <c r="F543" i="8"/>
  <c r="G543" i="8" s="1"/>
  <c r="F546" i="8"/>
  <c r="G546" i="8" s="1"/>
  <c r="F549" i="8"/>
  <c r="G549" i="8" s="1"/>
  <c r="F552" i="8"/>
  <c r="G552" i="8" s="1"/>
  <c r="F555" i="8"/>
  <c r="G555" i="8" s="1"/>
  <c r="F558" i="8"/>
  <c r="G558" i="8" s="1"/>
  <c r="F561" i="8"/>
  <c r="G561" i="8" s="1"/>
  <c r="F564" i="8"/>
  <c r="G564" i="8" s="1"/>
  <c r="F567" i="8"/>
  <c r="G567" i="8" s="1"/>
  <c r="F570" i="8"/>
  <c r="G570" i="8" s="1"/>
  <c r="F591" i="8"/>
  <c r="G591" i="8" s="1"/>
  <c r="F594" i="8"/>
  <c r="G594" i="8" s="1"/>
  <c r="F597" i="8"/>
  <c r="G597" i="8" s="1"/>
  <c r="F600" i="8"/>
  <c r="G600" i="8" s="1"/>
  <c r="F603" i="8"/>
  <c r="G603" i="8" s="1"/>
  <c r="F606" i="8"/>
  <c r="G606" i="8" s="1"/>
  <c r="F610" i="8"/>
  <c r="G610" i="8" s="1"/>
  <c r="F609" i="8"/>
  <c r="G609" i="8" s="1"/>
  <c r="F616" i="8"/>
  <c r="G616" i="8" s="1"/>
  <c r="F615" i="8"/>
  <c r="G615" i="8" s="1"/>
  <c r="F622" i="8"/>
  <c r="G622" i="8" s="1"/>
  <c r="F621" i="8"/>
  <c r="G621" i="8" s="1"/>
  <c r="F628" i="8"/>
  <c r="G628" i="8" s="1"/>
  <c r="F627" i="8"/>
  <c r="G627" i="8" s="1"/>
  <c r="F652" i="8"/>
  <c r="G652" i="8" s="1"/>
  <c r="F651" i="8"/>
  <c r="G651" i="8" s="1"/>
  <c r="F712" i="8"/>
  <c r="G712" i="8" s="1"/>
  <c r="F711" i="8"/>
  <c r="G711" i="8" s="1"/>
  <c r="F654" i="8"/>
  <c r="G654" i="8" s="1"/>
  <c r="F657" i="8"/>
  <c r="G657" i="8" s="1"/>
  <c r="F660" i="8"/>
  <c r="G660" i="8" s="1"/>
  <c r="F663" i="8"/>
  <c r="G663" i="8" s="1"/>
  <c r="F666" i="8"/>
  <c r="G666" i="8" s="1"/>
  <c r="F669" i="8"/>
  <c r="G669" i="8" s="1"/>
  <c r="F672" i="8"/>
  <c r="G672" i="8" s="1"/>
  <c r="F675" i="8"/>
  <c r="G675" i="8" s="1"/>
  <c r="F678" i="8"/>
  <c r="G678" i="8" s="1"/>
  <c r="F681" i="8"/>
  <c r="G681" i="8" s="1"/>
  <c r="F684" i="8"/>
  <c r="G684" i="8" s="1"/>
  <c r="F687" i="8"/>
  <c r="G687" i="8" s="1"/>
  <c r="F690" i="8"/>
  <c r="G690" i="8" s="1"/>
  <c r="F714" i="8"/>
  <c r="G714" i="8" s="1"/>
  <c r="F717" i="8"/>
  <c r="G717" i="8" s="1"/>
  <c r="F720" i="8"/>
  <c r="G720" i="8" s="1"/>
  <c r="F723" i="8"/>
  <c r="G723" i="8" s="1"/>
  <c r="F726" i="8"/>
  <c r="G726" i="8" s="1"/>
  <c r="F729" i="8"/>
  <c r="G729" i="8" s="1"/>
  <c r="F732" i="8"/>
  <c r="G732" i="8" s="1"/>
  <c r="F735" i="8"/>
  <c r="G735" i="8" s="1"/>
  <c r="F738" i="8"/>
  <c r="G738" i="8" s="1"/>
  <c r="F741" i="8"/>
  <c r="G741" i="8" s="1"/>
  <c r="F744" i="8"/>
  <c r="G744" i="8" s="1"/>
  <c r="F747" i="8"/>
  <c r="G747" i="8" s="1"/>
  <c r="F750" i="8"/>
  <c r="G750" i="8" s="1"/>
  <c r="F298" i="8"/>
  <c r="G298" i="8" s="1"/>
  <c r="F297" i="8"/>
  <c r="G297" i="8" s="1"/>
  <c r="F304" i="8"/>
  <c r="G304" i="8" s="1"/>
  <c r="F303" i="8"/>
  <c r="G303" i="8" s="1"/>
  <c r="F316" i="8"/>
  <c r="G316" i="8" s="1"/>
  <c r="F315" i="8"/>
  <c r="G315" i="8" s="1"/>
  <c r="F322" i="8"/>
  <c r="G322" i="8" s="1"/>
  <c r="F321" i="8"/>
  <c r="G321" i="8" s="1"/>
  <c r="F328" i="8"/>
  <c r="G328" i="8" s="1"/>
  <c r="F327" i="8"/>
  <c r="G327" i="8" s="1"/>
  <c r="F352" i="8"/>
  <c r="G352" i="8" s="1"/>
  <c r="F351" i="8"/>
  <c r="G351" i="8" s="1"/>
  <c r="F295" i="8"/>
  <c r="G295" i="8" s="1"/>
  <c r="F294" i="8"/>
  <c r="G294" i="8" s="1"/>
  <c r="F301" i="8"/>
  <c r="G301" i="8" s="1"/>
  <c r="F300" i="8"/>
  <c r="G300" i="8" s="1"/>
  <c r="F307" i="8"/>
  <c r="G307" i="8" s="1"/>
  <c r="F306" i="8"/>
  <c r="G306" i="8" s="1"/>
  <c r="F313" i="8"/>
  <c r="G313" i="8" s="1"/>
  <c r="F312" i="8"/>
  <c r="G312" i="8" s="1"/>
  <c r="F319" i="8"/>
  <c r="G319" i="8" s="1"/>
  <c r="F318" i="8"/>
  <c r="G318" i="8" s="1"/>
  <c r="F325" i="8"/>
  <c r="G325" i="8" s="1"/>
  <c r="F324" i="8"/>
  <c r="G324" i="8" s="1"/>
  <c r="F331" i="8"/>
  <c r="G331" i="8" s="1"/>
  <c r="F330" i="8"/>
  <c r="G330" i="8" s="1"/>
  <c r="F358" i="8"/>
  <c r="G358" i="8" s="1"/>
  <c r="F357" i="8"/>
  <c r="G357" i="8" s="1"/>
  <c r="F364" i="8"/>
  <c r="G364" i="8" s="1"/>
  <c r="F363" i="8"/>
  <c r="G363" i="8" s="1"/>
  <c r="F310" i="8"/>
  <c r="G310" i="8" s="1"/>
  <c r="F309" i="8"/>
  <c r="G309" i="8" s="1"/>
  <c r="F292" i="8"/>
  <c r="G292" i="8" s="1"/>
  <c r="F291" i="8"/>
  <c r="G291" i="8" s="1"/>
  <c r="F355" i="8"/>
  <c r="G355" i="8" s="1"/>
  <c r="F354" i="8"/>
  <c r="G354" i="8" s="1"/>
  <c r="F361" i="8"/>
  <c r="G361" i="8" s="1"/>
  <c r="F360" i="8"/>
  <c r="G360" i="8" s="1"/>
  <c r="F367" i="8"/>
  <c r="G367" i="8" s="1"/>
  <c r="F366" i="8"/>
  <c r="G366" i="8" s="1"/>
  <c r="F412" i="8"/>
  <c r="G412" i="8" s="1"/>
  <c r="F411" i="8"/>
  <c r="G411" i="8" s="1"/>
  <c r="F475" i="8"/>
  <c r="G475" i="8" s="1"/>
  <c r="F474" i="8"/>
  <c r="G474" i="8" s="1"/>
  <c r="F481" i="8"/>
  <c r="G481" i="8" s="1"/>
  <c r="F480" i="8"/>
  <c r="G480" i="8" s="1"/>
  <c r="F487" i="8"/>
  <c r="G487" i="8" s="1"/>
  <c r="F486" i="8"/>
  <c r="G486" i="8" s="1"/>
  <c r="F493" i="8"/>
  <c r="G493" i="8" s="1"/>
  <c r="F492" i="8"/>
  <c r="G492" i="8" s="1"/>
  <c r="F499" i="8"/>
  <c r="G499" i="8" s="1"/>
  <c r="F498" i="8"/>
  <c r="G498" i="8" s="1"/>
  <c r="F505" i="8"/>
  <c r="G505" i="8" s="1"/>
  <c r="F504" i="8"/>
  <c r="G504" i="8" s="1"/>
  <c r="F511" i="8"/>
  <c r="G511" i="8" s="1"/>
  <c r="F510" i="8"/>
  <c r="G510" i="8" s="1"/>
  <c r="F373" i="8"/>
  <c r="G373" i="8" s="1"/>
  <c r="F372" i="8"/>
  <c r="G372" i="8" s="1"/>
  <c r="F379" i="8"/>
  <c r="G379" i="8" s="1"/>
  <c r="F378" i="8"/>
  <c r="G378" i="8" s="1"/>
  <c r="F385" i="8"/>
  <c r="G385" i="8" s="1"/>
  <c r="F384" i="8"/>
  <c r="G384" i="8" s="1"/>
  <c r="F391" i="8"/>
  <c r="G391" i="8" s="1"/>
  <c r="F390" i="8"/>
  <c r="G390" i="8" s="1"/>
  <c r="F415" i="8"/>
  <c r="G415" i="8" s="1"/>
  <c r="F414" i="8"/>
  <c r="G414" i="8" s="1"/>
  <c r="F421" i="8"/>
  <c r="G421" i="8" s="1"/>
  <c r="F420" i="8"/>
  <c r="G420" i="8" s="1"/>
  <c r="F427" i="8"/>
  <c r="G427" i="8" s="1"/>
  <c r="F426" i="8"/>
  <c r="G426" i="8" s="1"/>
  <c r="F433" i="8"/>
  <c r="G433" i="8" s="1"/>
  <c r="F432" i="8"/>
  <c r="G432" i="8" s="1"/>
  <c r="F439" i="8"/>
  <c r="G439" i="8" s="1"/>
  <c r="F438" i="8"/>
  <c r="G438" i="8" s="1"/>
  <c r="F445" i="8"/>
  <c r="G445" i="8" s="1"/>
  <c r="F444" i="8"/>
  <c r="G444" i="8" s="1"/>
  <c r="F451" i="8"/>
  <c r="G451" i="8" s="1"/>
  <c r="F450" i="8"/>
  <c r="G450" i="8" s="1"/>
  <c r="F478" i="8"/>
  <c r="G478" i="8" s="1"/>
  <c r="F477" i="8"/>
  <c r="G477" i="8" s="1"/>
  <c r="F484" i="8"/>
  <c r="G484" i="8" s="1"/>
  <c r="F483" i="8"/>
  <c r="G483" i="8" s="1"/>
  <c r="F490" i="8"/>
  <c r="G490" i="8" s="1"/>
  <c r="F489" i="8"/>
  <c r="G489" i="8" s="1"/>
  <c r="F496" i="8"/>
  <c r="G496" i="8" s="1"/>
  <c r="F495" i="8"/>
  <c r="G495" i="8" s="1"/>
  <c r="F502" i="8"/>
  <c r="G502" i="8" s="1"/>
  <c r="F501" i="8"/>
  <c r="G501" i="8" s="1"/>
  <c r="F508" i="8"/>
  <c r="G508" i="8" s="1"/>
  <c r="F507" i="8"/>
  <c r="G507" i="8" s="1"/>
  <c r="F370" i="8"/>
  <c r="G370" i="8" s="1"/>
  <c r="F369" i="8"/>
  <c r="G369" i="8" s="1"/>
  <c r="F376" i="8"/>
  <c r="G376" i="8" s="1"/>
  <c r="F375" i="8"/>
  <c r="G375" i="8" s="1"/>
  <c r="F382" i="8"/>
  <c r="G382" i="8" s="1"/>
  <c r="F381" i="8"/>
  <c r="G381" i="8" s="1"/>
  <c r="F388" i="8"/>
  <c r="G388" i="8" s="1"/>
  <c r="F387" i="8"/>
  <c r="G387" i="8" s="1"/>
  <c r="F418" i="8"/>
  <c r="G418" i="8" s="1"/>
  <c r="F417" i="8"/>
  <c r="G417" i="8" s="1"/>
  <c r="F424" i="8"/>
  <c r="G424" i="8" s="1"/>
  <c r="F423" i="8"/>
  <c r="G423" i="8" s="1"/>
  <c r="F430" i="8"/>
  <c r="G430" i="8" s="1"/>
  <c r="F429" i="8"/>
  <c r="G429" i="8" s="1"/>
  <c r="F436" i="8"/>
  <c r="G436" i="8" s="1"/>
  <c r="F435" i="8"/>
  <c r="G435" i="8" s="1"/>
  <c r="F442" i="8"/>
  <c r="G442" i="8" s="1"/>
  <c r="F441" i="8"/>
  <c r="G441" i="8" s="1"/>
  <c r="F448" i="8"/>
  <c r="G448" i="8" s="1"/>
  <c r="F447" i="8"/>
  <c r="G447" i="8" s="1"/>
  <c r="F472" i="8"/>
  <c r="G472" i="8" s="1"/>
  <c r="F471" i="8"/>
  <c r="G471" i="8" s="1"/>
  <c r="F172" i="8"/>
  <c r="G172" i="8" s="1"/>
  <c r="F171" i="8"/>
  <c r="G171" i="8" s="1"/>
  <c r="F232" i="8"/>
  <c r="G232" i="8" s="1"/>
  <c r="F231" i="8"/>
  <c r="G231" i="8" s="1"/>
  <c r="F174" i="8"/>
  <c r="G174" i="8" s="1"/>
  <c r="F177" i="8"/>
  <c r="G177" i="8" s="1"/>
  <c r="F180" i="8"/>
  <c r="G180" i="8" s="1"/>
  <c r="F183" i="8"/>
  <c r="G183" i="8" s="1"/>
  <c r="F186" i="8"/>
  <c r="G186" i="8" s="1"/>
  <c r="F189" i="8"/>
  <c r="G189" i="8" s="1"/>
  <c r="F192" i="8"/>
  <c r="G192" i="8" s="1"/>
  <c r="F195" i="8"/>
  <c r="G195" i="8" s="1"/>
  <c r="F198" i="8"/>
  <c r="G198" i="8" s="1"/>
  <c r="F201" i="8"/>
  <c r="G201" i="8" s="1"/>
  <c r="F204" i="8"/>
  <c r="G204" i="8" s="1"/>
  <c r="F207" i="8"/>
  <c r="G207" i="8" s="1"/>
  <c r="F210" i="8"/>
  <c r="G210" i="8" s="1"/>
  <c r="F234" i="8"/>
  <c r="G234" i="8" s="1"/>
  <c r="F237" i="8"/>
  <c r="G237" i="8" s="1"/>
  <c r="F240" i="8"/>
  <c r="G240" i="8" s="1"/>
  <c r="F243" i="8"/>
  <c r="G243" i="8" s="1"/>
  <c r="F246" i="8"/>
  <c r="G246" i="8" s="1"/>
  <c r="F249" i="8"/>
  <c r="G249" i="8" s="1"/>
  <c r="F252" i="8"/>
  <c r="G252" i="8" s="1"/>
  <c r="F255" i="8"/>
  <c r="G255" i="8" s="1"/>
  <c r="F258" i="8"/>
  <c r="G258" i="8" s="1"/>
  <c r="F261" i="8"/>
  <c r="G261" i="8" s="1"/>
  <c r="F264" i="8"/>
  <c r="G264" i="8" s="1"/>
  <c r="F267" i="8"/>
  <c r="G267" i="8" s="1"/>
  <c r="F270" i="8"/>
  <c r="G270" i="8" s="1"/>
  <c r="F93" i="8"/>
  <c r="G93" i="8" s="1"/>
  <c r="F94" i="8"/>
  <c r="G94" i="8" s="1"/>
  <c r="F96" i="8"/>
  <c r="G96" i="8" s="1"/>
  <c r="F99" i="8"/>
  <c r="G99" i="8" s="1"/>
  <c r="F102" i="8"/>
  <c r="G102" i="8" s="1"/>
  <c r="F105" i="8"/>
  <c r="G105" i="8" s="1"/>
  <c r="F108" i="8"/>
  <c r="G108" i="8" s="1"/>
  <c r="F111" i="8"/>
  <c r="G111" i="8" s="1"/>
  <c r="F114" i="8"/>
  <c r="G114" i="8" s="1"/>
  <c r="F117" i="8"/>
  <c r="G117" i="8" s="1"/>
  <c r="F120" i="8"/>
  <c r="G120" i="8" s="1"/>
  <c r="F123" i="8"/>
  <c r="G123" i="8" s="1"/>
  <c r="F126" i="8"/>
  <c r="G126" i="8" s="1"/>
  <c r="F129" i="8"/>
  <c r="G129" i="8" s="1"/>
  <c r="F132" i="8"/>
  <c r="G132"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85" i="8" l="1"/>
  <c r="D523" i="8"/>
  <c r="D283" i="8"/>
  <c r="D763" i="8"/>
  <c r="D163" i="8"/>
  <c r="D583" i="8"/>
  <c r="D943" i="8"/>
  <c r="D883" i="8"/>
  <c r="D823" i="8"/>
  <c r="D223" i="8"/>
  <c r="D463" i="8"/>
  <c r="D403" i="8"/>
  <c r="D703" i="8"/>
  <c r="D643" i="8"/>
  <c r="D343" i="8"/>
  <c r="J29" i="42" l="1"/>
  <c r="J28" i="42"/>
  <c r="J27" i="42"/>
  <c r="J26" i="42"/>
  <c r="J25" i="42"/>
  <c r="J24" i="42"/>
  <c r="J23" i="42"/>
  <c r="J22" i="42"/>
  <c r="J21" i="42"/>
  <c r="J20" i="42"/>
  <c r="J37" i="40"/>
  <c r="J36" i="40"/>
  <c r="J35" i="40"/>
  <c r="J34" i="40"/>
  <c r="J33" i="40"/>
  <c r="J32" i="40"/>
  <c r="J31" i="40"/>
  <c r="J30" i="40"/>
  <c r="J29" i="40"/>
  <c r="J28" i="40"/>
  <c r="J27" i="40"/>
  <c r="J26" i="40"/>
  <c r="J25" i="40"/>
  <c r="J24" i="40"/>
  <c r="J23" i="40"/>
  <c r="J22" i="40"/>
  <c r="J21" i="40"/>
  <c r="J20" i="40"/>
  <c r="J19" i="40"/>
  <c r="J25" i="9"/>
  <c r="J24" i="9"/>
  <c r="J22" i="9"/>
  <c r="J21" i="9"/>
  <c r="J20" i="9"/>
  <c r="J19" i="9"/>
  <c r="K79" i="8"/>
  <c r="K78" i="8"/>
  <c r="K77"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59" i="8" l="1"/>
  <c r="K155" i="8"/>
  <c r="K133" i="8"/>
  <c r="K129" i="8"/>
  <c r="K125" i="8"/>
  <c r="K121" i="8"/>
  <c r="K117" i="8"/>
  <c r="K113" i="8"/>
  <c r="K109" i="8"/>
  <c r="K105" i="8"/>
  <c r="K101" i="8"/>
  <c r="K97" i="8"/>
  <c r="K93" i="8"/>
  <c r="K158" i="8"/>
  <c r="K132" i="8"/>
  <c r="K128" i="8"/>
  <c r="K124" i="8"/>
  <c r="K120" i="8"/>
  <c r="K116" i="8"/>
  <c r="K112" i="8"/>
  <c r="K108" i="8"/>
  <c r="K104" i="8"/>
  <c r="K100" i="8"/>
  <c r="K96" i="8"/>
  <c r="K157" i="8"/>
  <c r="K131" i="8"/>
  <c r="K127" i="8"/>
  <c r="K123" i="8"/>
  <c r="K119" i="8"/>
  <c r="K115" i="8"/>
  <c r="K111" i="8"/>
  <c r="K107" i="8"/>
  <c r="K103" i="8"/>
  <c r="K99" i="8"/>
  <c r="K95" i="8"/>
  <c r="K130" i="8"/>
  <c r="K114" i="8"/>
  <c r="K98" i="8"/>
  <c r="K118" i="8"/>
  <c r="K160" i="8"/>
  <c r="K126" i="8"/>
  <c r="K110" i="8"/>
  <c r="K94" i="8"/>
  <c r="K156" i="8"/>
  <c r="K122" i="8"/>
  <c r="K106" i="8"/>
  <c r="K102"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217" i="8" l="1"/>
  <c r="K213" i="8"/>
  <c r="K209" i="8"/>
  <c r="K205" i="8"/>
  <c r="K201" i="8"/>
  <c r="K197" i="8"/>
  <c r="K193" i="8"/>
  <c r="K189" i="8"/>
  <c r="K185" i="8"/>
  <c r="K181" i="8"/>
  <c r="K177" i="8"/>
  <c r="K173" i="8"/>
  <c r="K216" i="8"/>
  <c r="K212" i="8"/>
  <c r="K208" i="8"/>
  <c r="K204" i="8"/>
  <c r="K200" i="8"/>
  <c r="K196" i="8"/>
  <c r="K192" i="8"/>
  <c r="K188" i="8"/>
  <c r="K184" i="8"/>
  <c r="K180" i="8"/>
  <c r="K176" i="8"/>
  <c r="K172" i="8"/>
  <c r="K215" i="8"/>
  <c r="K211" i="8"/>
  <c r="K207" i="8"/>
  <c r="K203" i="8"/>
  <c r="K199" i="8"/>
  <c r="K195" i="8"/>
  <c r="K191" i="8"/>
  <c r="K187" i="8"/>
  <c r="K183" i="8"/>
  <c r="K179" i="8"/>
  <c r="K175" i="8"/>
  <c r="K171" i="8"/>
  <c r="K206" i="8"/>
  <c r="K190" i="8"/>
  <c r="K174" i="8"/>
  <c r="K194" i="8"/>
  <c r="K202" i="8"/>
  <c r="K186" i="8"/>
  <c r="K210" i="8"/>
  <c r="K214" i="8"/>
  <c r="K198" i="8"/>
  <c r="K182" i="8"/>
  <c r="K178" i="8"/>
  <c r="AM341" i="38"/>
  <c r="AQ341" i="38"/>
  <c r="AE341" i="38"/>
  <c r="AI341" i="38"/>
  <c r="F341" i="38"/>
  <c r="J341" i="38" s="1"/>
  <c r="O21" i="44"/>
  <c r="P21" i="44"/>
  <c r="I19" i="27" s="1"/>
  <c r="O27" i="23"/>
  <c r="P27" i="23"/>
  <c r="I9" i="27" s="1"/>
  <c r="O36" i="33"/>
  <c r="P36" i="33"/>
  <c r="I11" i="27" s="1"/>
  <c r="O21" i="31"/>
  <c r="P21" i="31"/>
  <c r="I20" i="27" s="1"/>
  <c r="P40" i="24"/>
  <c r="I18" i="27" s="1"/>
  <c r="O43" i="30"/>
  <c r="P43" i="30"/>
  <c r="I8" i="27" s="1"/>
  <c r="O21" i="29"/>
  <c r="P21" i="29"/>
  <c r="I7" i="27" s="1"/>
  <c r="O28" i="28"/>
  <c r="K279" i="8" l="1"/>
  <c r="K275" i="8"/>
  <c r="K271" i="8"/>
  <c r="K267" i="8"/>
  <c r="K263" i="8"/>
  <c r="K259" i="8"/>
  <c r="K255" i="8"/>
  <c r="K251" i="8"/>
  <c r="K247" i="8"/>
  <c r="K243" i="8"/>
  <c r="K239" i="8"/>
  <c r="K235" i="8"/>
  <c r="K231" i="8"/>
  <c r="K278" i="8"/>
  <c r="K270" i="8"/>
  <c r="K266" i="8"/>
  <c r="K262" i="8"/>
  <c r="K258" i="8"/>
  <c r="K254" i="8"/>
  <c r="K250" i="8"/>
  <c r="K246" i="8"/>
  <c r="K242" i="8"/>
  <c r="K238" i="8"/>
  <c r="K234" i="8"/>
  <c r="K277" i="8"/>
  <c r="K269" i="8"/>
  <c r="K265" i="8"/>
  <c r="K261" i="8"/>
  <c r="K257" i="8"/>
  <c r="K253" i="8"/>
  <c r="K249" i="8"/>
  <c r="K245" i="8"/>
  <c r="K241" i="8"/>
  <c r="K237" i="8"/>
  <c r="K233" i="8"/>
  <c r="K280" i="8"/>
  <c r="K264" i="8"/>
  <c r="K248" i="8"/>
  <c r="K232" i="8"/>
  <c r="K236" i="8"/>
  <c r="K276" i="8"/>
  <c r="K260" i="8"/>
  <c r="K244" i="8"/>
  <c r="K268" i="8"/>
  <c r="K256" i="8"/>
  <c r="K240" i="8"/>
  <c r="K252" i="8"/>
  <c r="AR341" i="38"/>
  <c r="H341" i="38"/>
  <c r="J38" i="40"/>
  <c r="K337" i="8" l="1"/>
  <c r="K329" i="8"/>
  <c r="K325" i="8"/>
  <c r="K321" i="8"/>
  <c r="K317" i="8"/>
  <c r="K313" i="8"/>
  <c r="K309" i="8"/>
  <c r="K305" i="8"/>
  <c r="K301" i="8"/>
  <c r="K297" i="8"/>
  <c r="K293" i="8"/>
  <c r="K340" i="8"/>
  <c r="K336" i="8"/>
  <c r="K328" i="8"/>
  <c r="K324" i="8"/>
  <c r="K320" i="8"/>
  <c r="K316" i="8"/>
  <c r="K312" i="8"/>
  <c r="K308" i="8"/>
  <c r="K304" i="8"/>
  <c r="K300" i="8"/>
  <c r="K296" i="8"/>
  <c r="K292" i="8"/>
  <c r="K339" i="8"/>
  <c r="K335" i="8"/>
  <c r="K331" i="8"/>
  <c r="K327" i="8"/>
  <c r="K323" i="8"/>
  <c r="K319" i="8"/>
  <c r="K315" i="8"/>
  <c r="K311" i="8"/>
  <c r="K307" i="8"/>
  <c r="K303" i="8"/>
  <c r="K299" i="8"/>
  <c r="K295" i="8"/>
  <c r="K291" i="8"/>
  <c r="K338" i="8"/>
  <c r="K322" i="8"/>
  <c r="K306" i="8"/>
  <c r="K310" i="8"/>
  <c r="K294" i="8"/>
  <c r="K318" i="8"/>
  <c r="K302" i="8"/>
  <c r="K330" i="8"/>
  <c r="K314" i="8"/>
  <c r="K298" i="8"/>
  <c r="K326" i="8"/>
  <c r="N40" i="24"/>
  <c r="L40" i="24"/>
  <c r="J40" i="24"/>
  <c r="H40" i="24"/>
  <c r="K391" i="8" l="1"/>
  <c r="K387" i="8"/>
  <c r="K383" i="8"/>
  <c r="K379" i="8"/>
  <c r="K375" i="8"/>
  <c r="K371" i="8"/>
  <c r="K367" i="8"/>
  <c r="K363" i="8"/>
  <c r="K359" i="8"/>
  <c r="K355" i="8"/>
  <c r="K351" i="8"/>
  <c r="K388" i="8"/>
  <c r="K376" i="8"/>
  <c r="K368" i="8"/>
  <c r="K390" i="8"/>
  <c r="K386" i="8"/>
  <c r="K382" i="8"/>
  <c r="K378" i="8"/>
  <c r="K374" i="8"/>
  <c r="K370" i="8"/>
  <c r="K366" i="8"/>
  <c r="K362" i="8"/>
  <c r="K358" i="8"/>
  <c r="K354" i="8"/>
  <c r="K384" i="8"/>
  <c r="K372" i="8"/>
  <c r="K389" i="8"/>
  <c r="K385" i="8"/>
  <c r="K381" i="8"/>
  <c r="K377" i="8"/>
  <c r="K373" i="8"/>
  <c r="K369" i="8"/>
  <c r="K365" i="8"/>
  <c r="K361" i="8"/>
  <c r="K357" i="8"/>
  <c r="K353" i="8"/>
  <c r="K380" i="8"/>
  <c r="K364" i="8"/>
  <c r="K360" i="8"/>
  <c r="K352" i="8"/>
  <c r="K356"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57" i="8" l="1"/>
  <c r="K453" i="8"/>
  <c r="K449" i="8"/>
  <c r="K445" i="8"/>
  <c r="K441" i="8"/>
  <c r="K437" i="8"/>
  <c r="K433" i="8"/>
  <c r="K429" i="8"/>
  <c r="K425" i="8"/>
  <c r="K421" i="8"/>
  <c r="K417" i="8"/>
  <c r="K413" i="8"/>
  <c r="K454" i="8"/>
  <c r="K438" i="8"/>
  <c r="K422" i="8"/>
  <c r="K460" i="8"/>
  <c r="K456" i="8"/>
  <c r="K452" i="8"/>
  <c r="K448" i="8"/>
  <c r="K444" i="8"/>
  <c r="K440" i="8"/>
  <c r="K436" i="8"/>
  <c r="K432" i="8"/>
  <c r="K428" i="8"/>
  <c r="K424" i="8"/>
  <c r="K420" i="8"/>
  <c r="K416" i="8"/>
  <c r="K412" i="8"/>
  <c r="K458" i="8"/>
  <c r="K446" i="8"/>
  <c r="K442" i="8"/>
  <c r="K430" i="8"/>
  <c r="K426" i="8"/>
  <c r="K414" i="8"/>
  <c r="K459" i="8"/>
  <c r="K455" i="8"/>
  <c r="K451" i="8"/>
  <c r="K447" i="8"/>
  <c r="K443" i="8"/>
  <c r="K439" i="8"/>
  <c r="K435" i="8"/>
  <c r="K431" i="8"/>
  <c r="K427" i="8"/>
  <c r="K423" i="8"/>
  <c r="K419" i="8"/>
  <c r="K415" i="8"/>
  <c r="K411" i="8"/>
  <c r="K450" i="8"/>
  <c r="K434" i="8"/>
  <c r="K418"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AQ243" i="38"/>
  <c r="AK222" i="38"/>
  <c r="AQ190" i="38"/>
  <c r="AI389" i="38"/>
  <c r="AI398" i="38"/>
  <c r="AG499" i="38"/>
  <c r="AI499" i="38" s="1"/>
  <c r="AM243" i="38"/>
  <c r="AM199" i="38"/>
  <c r="F190" i="38"/>
  <c r="J190" i="38" s="1"/>
  <c r="H44" i="38"/>
  <c r="AH106" i="38"/>
  <c r="AR488" i="38"/>
  <c r="F312" i="38"/>
  <c r="H312" i="38" s="1"/>
  <c r="AQ267" i="38"/>
  <c r="AG222" i="38"/>
  <c r="AR467" i="38"/>
  <c r="AR132" i="38"/>
  <c r="AE89" i="38"/>
  <c r="AQ527" i="38"/>
  <c r="AR346" i="38"/>
  <c r="AI83"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190"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6" i="8"/>
  <c r="D56" i="27"/>
  <c r="G77" i="8"/>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29" i="42"/>
  <c r="F29" i="42"/>
  <c r="I28" i="42"/>
  <c r="F28" i="42"/>
  <c r="I27" i="42"/>
  <c r="F27" i="42"/>
  <c r="I26" i="42"/>
  <c r="F26" i="42"/>
  <c r="I25" i="42"/>
  <c r="F25" i="42"/>
  <c r="I24" i="42"/>
  <c r="F24" i="42"/>
  <c r="I23" i="42"/>
  <c r="F23" i="42"/>
  <c r="I22" i="42"/>
  <c r="F22" i="42"/>
  <c r="I21" i="42"/>
  <c r="F21" i="42"/>
  <c r="AC390" i="38" s="1"/>
  <c r="AC389" i="38" s="1"/>
  <c r="I20" i="42"/>
  <c r="F20" i="42"/>
  <c r="I19" i="42"/>
  <c r="F19"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E390" i="38" l="1"/>
  <c r="E389" i="38" s="1"/>
  <c r="AB390" i="38"/>
  <c r="D390"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26" i="9"/>
  <c r="J18" i="9"/>
  <c r="Y201" i="38" s="1"/>
  <c r="AB389" i="38" l="1"/>
  <c r="AE389" i="38" s="1"/>
  <c r="AR389" i="38" s="1"/>
  <c r="AE390" i="38"/>
  <c r="AR390" i="38" s="1"/>
  <c r="F390" i="38"/>
  <c r="D389" i="38"/>
  <c r="Y322"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H390" i="38" l="1"/>
  <c r="J390" i="38"/>
  <c r="F389" i="38"/>
  <c r="D327"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J389" i="38" l="1"/>
  <c r="H389" i="38"/>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17" i="9"/>
  <c r="I26" i="9"/>
  <c r="I25" i="9"/>
  <c r="I24" i="9"/>
  <c r="I22" i="9"/>
  <c r="I21" i="9"/>
  <c r="I20" i="9"/>
  <c r="I19" i="9"/>
  <c r="I18" i="9"/>
  <c r="J78" i="8"/>
  <c r="C86" i="27"/>
  <c r="C79" i="27"/>
  <c r="C78" i="27"/>
  <c r="C77" i="27"/>
  <c r="C76" i="27"/>
  <c r="C75" i="27"/>
  <c r="C74" i="27"/>
  <c r="C73" i="27"/>
  <c r="C72" i="27"/>
  <c r="C71" i="27"/>
  <c r="C70" i="27"/>
  <c r="C69" i="27"/>
  <c r="J79" i="8"/>
  <c r="J77"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D100" i="27"/>
  <c r="D98" i="27"/>
  <c r="D95" i="27"/>
  <c r="D94" i="27"/>
  <c r="D93" i="27"/>
  <c r="E366" i="38"/>
  <c r="F26" i="9"/>
  <c r="F25" i="9"/>
  <c r="F24" i="9"/>
  <c r="F22" i="9"/>
  <c r="D74" i="27" s="1"/>
  <c r="F21" i="9"/>
  <c r="D73" i="27" s="1"/>
  <c r="F20" i="9"/>
  <c r="F19" i="9"/>
  <c r="F18" i="9"/>
  <c r="F17" i="9"/>
  <c r="AB28" i="38"/>
  <c r="G79" i="8"/>
  <c r="G78" i="8"/>
  <c r="AJ64" i="38"/>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AB29" i="38"/>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<sst xmlns="http://schemas.openxmlformats.org/spreadsheetml/2006/main" count="14225" uniqueCount="1721">
  <si>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</si>
  <si>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</si>
  <si>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</si>
  <si>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</si>
  <si>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</si>
  <si>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</si>
  <si>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</si>
  <si>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</si>
  <si>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</si>
  <si>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</si>
  <si>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</si>
  <si>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</si>
  <si>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</si>
  <si>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</si>
  <si>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</si>
  <si>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</si>
  <si>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</si>
  <si>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</si>
  <si>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</si>
  <si>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</si>
  <si>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</si>
  <si>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</si>
  <si>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</si>
  <si>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</si>
  <si>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</si>
  <si>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</si>
  <si>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</si>
  <si>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</si>
  <si>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</si>
  <si>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</si>
  <si>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</si>
  <si>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</si>
  <si>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</si>
  <si>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</si>
  <si>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</si>
  <si>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</si>
  <si>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</si>
  <si>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</si>
  <si>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</si>
  <si>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</si>
  <si>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</si>
  <si>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</si>
  <si>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</si>
  <si>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</si>
  <si>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</si>
  <si>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</si>
  <si>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</si>
  <si>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</si>
  <si>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</si>
  <si>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</si>
  <si>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</si>
  <si>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</si>
  <si>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</si>
  <si>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</si>
  <si>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</si>
  <si>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</si>
  <si>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</si>
  <si>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</si>
  <si>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</si>
  <si>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</si>
  <si>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</si>
  <si>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</si>
  <si>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</si>
  <si>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</si>
  <si>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</si>
  <si>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</si>
  <si>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</si>
  <si>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</si>
  <si>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</si>
  <si>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</si>
  <si>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</si>
  <si>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</si>
  <si>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</si>
  <si>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</si>
  <si>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</si>
  <si>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</si>
  <si>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</si>
  <si>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</si>
  <si>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</si>
  <si>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</si>
  <si>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</si>
  <si>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</si>
  <si>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</si>
  <si>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</si>
  <si>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</si>
  <si>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</si>
  <si>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</si>
  <si>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</si>
  <si>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</si>
  <si>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</si>
  <si>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</si>
  <si>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</si>
  <si>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</si>
  <si>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</si>
  <si>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</si>
  <si>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</si>
  <si>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</si>
  <si>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</si>
  <si>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</si>
  <si>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</si>
  <si>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</si>
  <si>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</si>
  <si>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</si>
  <si>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</si>
  <si>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</si>
  <si>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</si>
  <si>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</si>
  <si>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</si>
  <si>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</si>
  <si>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</si>
  <si>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</si>
  <si>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</si>
  <si>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</si>
  <si>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</si>
  <si>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</si>
  <si>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</si>
  <si>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</si>
  <si>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</si>
  <si>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</si>
  <si>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</si>
  <si>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</si>
  <si>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</si>
  <si>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</si>
  <si>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</si>
  <si>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</si>
  <si>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</si>
  <si>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</si>
  <si>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</si>
  <si>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</si>
  <si>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</si>
  <si>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</si>
  <si>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</si>
  <si>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</si>
  <si>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</si>
  <si>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</si>
  <si>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</si>
  <si>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</si>
  <si>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</si>
  <si>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</si>
  <si>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</si>
  <si>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</si>
  <si>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</si>
  <si>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</si>
  <si>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</si>
  <si>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</si>
  <si>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</si>
  <si>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</si>
  <si>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</si>
  <si>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</si>
  <si>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</si>
  <si>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</si>
  <si>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</si>
  <si>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</si>
  <si>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</si>
  <si>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</si>
  <si>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</si>
  <si>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</si>
  <si>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</si>
  <si>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</si>
  <si>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</si>
  <si>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</si>
  <si>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</si>
  <si>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</si>
  <si>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</si>
  <si>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</si>
  <si>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</si>
  <si>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</si>
  <si>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</si>
  <si>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</si>
  <si>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</si>
  <si>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</si>
  <si>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</si>
  <si>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</si>
  <si>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</si>
  <si>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</si>
  <si>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</si>
  <si>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</si>
  <si>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</si>
  <si>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</si>
  <si>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</si>
  <si>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</si>
  <si>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</si>
  <si>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</si>
  <si>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</si>
  <si>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</si>
  <si>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</si>
  <si>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</si>
  <si>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</si>
  <si>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</si>
  <si>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</si>
  <si>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</si>
  <si>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</si>
  <si>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</si>
  <si>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</si>
  <si>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</si>
  <si>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</si>
  <si>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</si>
  <si>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</si>
  <si>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</si>
  <si>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</si>
  <si>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</si>
  <si>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</si>
  <si>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</si>
  <si>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</si>
  <si>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</si>
  <si>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</si>
  <si>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</si>
  <si>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</si>
  <si>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</si>
  <si>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</si>
  <si>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</si>
  <si>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</si>
  <si>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</si>
  <si>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</si>
  <si>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</si>
  <si>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</si>
  <si>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</si>
  <si>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</si>
  <si>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</si>
  <si>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</si>
  <si>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</si>
  <si>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</si>
  <si>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</si>
  <si>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</si>
  <si>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</si>
  <si>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</si>
  <si>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</si>
  <si>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</si>
  <si>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</si>
  <si>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</si>
  <si>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</si>
  <si>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</si>
  <si>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</si>
  <si>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</si>
  <si>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</si>
  <si>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</si>
  <si>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</si>
  <si>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</si>
  <si>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</si>
  <si>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</si>
  <si>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</si>
  <si>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</si>
  <si>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</si>
  <si>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</si>
  <si>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</si>
  <si>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</si>
  <si>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</si>
  <si>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</si>
  <si>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</si>
  <si>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</si>
  <si>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</si>
  <si>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</si>
  <si>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</si>
  <si>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</si>
  <si>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</si>
  <si>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</si>
  <si>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</si>
  <si>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</si>
  <si>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</si>
  <si>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</si>
  <si>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</si>
  <si>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</si>
  <si>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</si>
  <si>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</si>
  <si>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</si>
  <si>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</si>
  <si>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</si>
  <si>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</si>
  <si>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</si>
  <si>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</si>
  <si>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</si>
  <si>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</si>
  <si>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</si>
  <si>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</si>
  <si>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</si>
  <si>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</si>
  <si>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</si>
  <si>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</si>
  <si>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</si>
  <si>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</si>
  <si>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</si>
  <si>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</si>
  <si>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</si>
  <si>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</si>
  <si>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</si>
  <si>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</si>
  <si>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</si>
  <si>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</si>
  <si>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</si>
  <si>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</si>
  <si>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</si>
  <si>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</si>
  <si>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</si>
  <si>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</si>
  <si>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</si>
  <si>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</si>
  <si>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</si>
  <si>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</si>
  <si>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</si>
  <si>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</si>
  <si>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</si>
  <si>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</si>
  <si>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</si>
  <si>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</si>
  <si>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</si>
  <si>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</si>
  <si>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</si>
  <si>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</si>
  <si>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</si>
  <si>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</si>
  <si>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</si>
  <si>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</si>
  <si>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</si>
  <si>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</si>
  <si>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</si>
  <si>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</si>
  <si>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</si>
  <si>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</si>
  <si>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</si>
  <si>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</si>
  <si>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</si>
  <si>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</si>
  <si>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</si>
  <si>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</si>
  <si>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</si>
  <si>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</si>
  <si>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</si>
  <si>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</si>
  <si>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</si>
  <si>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</si>
  <si>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</si>
  <si>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</si>
  <si>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</si>
  <si>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</si>
  <si>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</si>
  <si>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</si>
  <si>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</si>
  <si>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</si>
  <si>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</si>
  <si>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</si>
  <si>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</si>
  <si>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</si>
  <si>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</si>
  <si>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</si>
  <si>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</si>
  <si>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</si>
  <si>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</si>
  <si>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</si>
  <si>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</si>
  <si>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</si>
  <si>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</si>
  <si>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</si>
  <si>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</si>
  <si>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</si>
  <si>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</si>
  <si>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</si>
  <si>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</si>
  <si>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</si>
  <si>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</si>
  <si>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</si>
  <si>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</si>
  <si>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</si>
  <si>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</si>
  <si>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</si>
  <si>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</si>
  <si>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</si>
  <si>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</si>
  <si>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</si>
  <si>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</si>
  <si>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</si>
  <si>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</si>
  <si>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</si>
  <si>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</si>
  <si>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</si>
  <si>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</si>
  <si>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</si>
  <si>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</si>
  <si>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</si>
  <si>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</si>
  <si>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</si>
  <si>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</si>
  <si>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</si>
  <si>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</si>
  <si>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</si>
  <si>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</si>
  <si>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</si>
  <si>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</si>
  <si>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</si>
  <si>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</si>
  <si>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</si>
  <si>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</si>
  <si>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</si>
  <si>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</si>
  <si>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</si>
  <si>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</si>
  <si>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</si>
  <si>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</si>
  <si>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</si>
  <si>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</si>
  <si>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</si>
  <si>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</si>
  <si>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</si>
  <si>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</si>
  <si>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</si>
  <si>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</si>
  <si>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</si>
  <si>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</si>
  <si>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</si>
  <si>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</si>
  <si>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</si>
  <si>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</si>
  <si>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</si>
  <si>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</si>
  <si>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</si>
  <si>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</si>
  <si>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</si>
  <si>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</si>
  <si>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</si>
  <si>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</si>
  <si>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</si>
  <si>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</si>
  <si>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</si>
  <si>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</si>
  <si>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</si>
  <si>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</si>
  <si>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</si>
  <si>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</si>
  <si>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</si>
  <si>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</si>
  <si>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</si>
  <si>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</si>
  <si>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</si>
  <si>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</si>
  <si>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</si>
  <si>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</si>
  <si>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</si>
  <si>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</si>
  <si>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</si>
  <si>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</si>
  <si>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</si>
  <si>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</si>
  <si>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</si>
  <si>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</si>
  <si>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</si>
  <si>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</si>
  <si>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</si>
  <si>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</si>
  <si>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</si>
  <si>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</si>
  <si>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</si>
  <si>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</si>
  <si>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</si>
  <si>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</si>
  <si>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</si>
  <si>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</si>
  <si>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</si>
  <si>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</si>
  <si>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</si>
  <si>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</si>
  <si>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</si>
  <si>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</si>
  <si>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</si>
  <si>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</si>
  <si>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</si>
  <si>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</si>
  <si>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</si>
  <si>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</si>
  <si>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</si>
  <si>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</si>
  <si>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</si>
  <si>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</si>
  <si>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</si>
  <si>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</si>
  <si>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</si>
  <si>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</si>
  <si>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</si>
  <si>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</si>
  <si>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</si>
  <si>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</si>
  <si>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</si>
  <si>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</si>
  <si>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</si>
  <si>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</si>
  <si>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</si>
  <si>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</si>
  <si>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</si>
  <si>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</si>
  <si>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</si>
  <si>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</si>
  <si>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</si>
  <si>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</si>
  <si>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</si>
  <si>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</si>
  <si>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</si>
  <si>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</si>
  <si>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</si>
  <si>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</si>
  <si>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</si>
  <si>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</si>
  <si>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</si>
  <si>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</si>
  <si>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</si>
  <si>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</si>
  <si>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</si>
  <si>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</si>
  <si>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</si>
  <si>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</si>
  <si>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</si>
  <si>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</si>
  <si>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</si>
  <si>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</si>
  <si>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</si>
  <si>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</si>
  <si>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</si>
  <si>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</si>
  <si>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</si>
  <si>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</si>
  <si>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</si>
  <si>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</si>
  <si>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</si>
  <si>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</si>
  <si>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</si>
  <si>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</si>
  <si>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</si>
  <si>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</si>
  <si>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</si>
  <si>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</si>
  <si>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</si>
  <si>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</si>
  <si>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</si>
  <si>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</si>
  <si>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</si>
  <si>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</si>
  <si>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</si>
  <si>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</si>
  <si>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</si>
  <si>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</si>
  <si>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</si>
  <si>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</si>
  <si>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</si>
  <si>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</si>
  <si>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</si>
  <si>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</si>
  <si>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</si>
  <si>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</si>
  <si>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</si>
  <si>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</si>
  <si>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</si>
  <si>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</si>
  <si>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</si>
  <si>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</si>
  <si>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</si>
  <si>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</si>
  <si>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</si>
  <si>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</si>
  <si>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</si>
  <si>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</si>
  <si>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</si>
  <si>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</si>
  <si>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</si>
  <si>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</si>
  <si>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</si>
  <si>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</si>
  <si>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</si>
  <si>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</si>
  <si>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</si>
  <si>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</si>
  <si>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</si>
  <si>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</si>
  <si>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</si>
  <si>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</si>
  <si>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</si>
  <si>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</si>
  <si>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</si>
  <si>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</si>
  <si>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</si>
  <si>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</si>
  <si>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</si>
  <si>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</si>
  <si>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</si>
  <si>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</si>
  <si>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</si>
  <si>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</si>
  <si>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</si>
  <si>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</si>
  <si>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</si>
  <si>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</si>
  <si>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</si>
  <si>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</si>
  <si>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</si>
  <si>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</si>
  <si>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</si>
  <si>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</si>
  <si>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</si>
  <si>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</si>
  <si>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</si>
  <si>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</si>
  <si>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</si>
  <si>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</si>
  <si>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</si>
  <si>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</si>
  <si>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</si>
  <si>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</si>
  <si>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</si>
  <si>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</si>
  <si>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</si>
  <si>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</si>
  <si>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</si>
  <si>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</si>
  <si>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</si>
  <si>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</si>
  <si>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</si>
  <si>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</si>
  <si>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</si>
  <si>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</si>
  <si>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</si>
  <si>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</si>
  <si>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</si>
  <si>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</si>
  <si>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</si>
  <si>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</si>
  <si>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</si>
  <si>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</si>
  <si>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</si>
  <si>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</si>
  <si>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</si>
  <si>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</si>
  <si>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</si>
  <si>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</si>
  <si>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</si>
  <si>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</si>
  <si>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</si>
  <si>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</si>
  <si>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</si>
  <si>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</si>
  <si>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</si>
  <si>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</si>
  <si>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</si>
  <si>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</si>
  <si>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</si>
  <si>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</si>
  <si>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</si>
  <si>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</si>
  <si>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</si>
  <si>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</si>
  <si>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</si>
  <si>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</si>
  <si>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</si>
  <si>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</si>
  <si>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</si>
  <si>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</si>
  <si>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</si>
  <si>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</si>
  <si>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</si>
  <si>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</si>
  <si>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</si>
  <si>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</si>
  <si>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</si>
  <si>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</si>
  <si>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</si>
  <si>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</si>
  <si>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</si>
  <si>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</si>
  <si>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</si>
  <si>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</si>
  <si>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</si>
  <si>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</si>
  <si>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</si>
  <si>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</si>
  <si>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</si>
  <si>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</si>
  <si>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</si>
  <si>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</si>
  <si>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</si>
  <si>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</si>
  <si>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</si>
  <si>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</si>
  <si>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</si>
  <si>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</si>
  <si>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</si>
  <si>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</si>
  <si>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</si>
  <si>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</si>
  <si>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</si>
  <si>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</si>
  <si>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</si>
  <si>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</si>
  <si>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</si>
  <si>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</si>
  <si>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</si>
  <si>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</si>
  <si>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</si>
  <si>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</si>
  <si>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</si>
  <si>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</si>
  <si>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</si>
  <si>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</si>
  <si>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</si>
  <si>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</si>
  <si>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</si>
  <si>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</si>
  <si>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</si>
  <si>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</si>
  <si>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</si>
  <si>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</si>
  <si>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</si>
  <si>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</si>
  <si>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</si>
  <si>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</si>
  <si>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</si>
  <si>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</si>
  <si>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</si>
  <si>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</si>
  <si>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</si>
  <si>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</si>
  <si>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</si>
  <si>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</si>
  <si>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</si>
  <si>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</si>
  <si>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</si>
  <si>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</si>
  <si>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</si>
  <si>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</si>
  <si>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</si>
  <si>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</si>
  <si>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</si>
  <si>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</si>
  <si>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</si>
  <si>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</si>
  <si>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</si>
  <si>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</si>
  <si>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</si>
  <si>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</si>
  <si>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</si>
  <si>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</si>
  <si>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</si>
  <si>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</si>
  <si>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</si>
  <si>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</si>
  <si>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</si>
  <si>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</si>
  <si>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</si>
  <si>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</si>
  <si>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</si>
  <si>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</si>
  <si>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</si>
  <si>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</si>
  <si>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</si>
  <si>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</si>
  <si>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</si>
  <si>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</si>
  <si>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</si>
  <si>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</si>
  <si>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</si>
  <si>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</si>
  <si>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</si>
  <si>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</si>
  <si>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</si>
  <si>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</si>
  <si>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</si>
  <si>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</si>
  <si>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</si>
  <si>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</si>
  <si>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</si>
  <si>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</si>
  <si>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</si>
  <si>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</si>
  <si>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</si>
  <si>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</si>
  <si>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</si>
  <si>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</si>
  <si>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</si>
  <si>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</si>
  <si>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</si>
  <si>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</si>
  <si>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</si>
  <si>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</si>
  <si>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</si>
  <si>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</si>
  <si>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</si>
  <si>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</si>
  <si>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</si>
  <si>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</si>
  <si>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</si>
  <si>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</si>
  <si>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</si>
  <si>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</si>
  <si>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</si>
  <si>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</si>
  <si>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</si>
  <si>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</si>
  <si>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</si>
  <si>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</si>
  <si>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</si>
  <si>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</si>
  <si>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</si>
  <si>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</si>
  <si>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</si>
  <si>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</si>
  <si>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</si>
  <si>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</si>
  <si>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</si>
  <si>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</si>
  <si>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</si>
  <si>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</si>
  <si>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</si>
  <si>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</si>
  <si>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</si>
  <si>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</si>
  <si>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</si>
  <si>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</si>
  <si>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</si>
  <si>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</si>
  <si>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</si>
  <si>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</si>
  <si>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</si>
  <si>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</si>
  <si>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</si>
  <si>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</si>
  <si>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</si>
  <si>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</si>
  <si>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</si>
  <si>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</si>
  <si>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</si>
  <si>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</si>
  <si>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</si>
  <si>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</si>
  <si>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</si>
  <si>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</si>
  <si>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</si>
  <si>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</si>
  <si>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</si>
  <si>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</si>
  <si>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</si>
  <si>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</si>
  <si>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</si>
  <si>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</si>
  <si>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</si>
  <si>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</si>
  <si>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</si>
  <si>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</si>
  <si>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</si>
  <si>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</si>
  <si>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</si>
  <si>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</si>
  <si>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</si>
  <si>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</si>
  <si>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</si>
  <si>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</si>
  <si>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</si>
  <si>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</si>
  <si>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</si>
  <si>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</si>
  <si>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</si>
  <si>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</si>
  <si>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</si>
  <si>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</si>
  <si>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</si>
  <si>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</si>
  <si>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</si>
  <si>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</si>
  <si>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</si>
  <si>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</si>
  <si>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</si>
  <si>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</si>
  <si>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</si>
  <si>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</si>
  <si>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</si>
  <si>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</si>
  <si>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</si>
  <si>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</si>
  <si>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</si>
  <si>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</si>
  <si>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</si>
  <si>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</si>
  <si>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</si>
  <si>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</si>
  <si>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</si>
  <si>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</si>
  <si>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</si>
  <si>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</si>
  <si>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</si>
  <si>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</si>
  <si>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</si>
  <si>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</si>
  <si>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</si>
  <si>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</si>
  <si>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</si>
  <si>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</si>
  <si>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</si>
  <si>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</si>
  <si>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</si>
  <si>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</si>
  <si>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</si>
  <si>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</si>
  <si>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</si>
  <si>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</si>
  <si>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</si>
  <si>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</si>
  <si>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</si>
  <si>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</si>
  <si>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</si>
  <si>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</si>
  <si>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</si>
  <si>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</si>
  <si>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</si>
  <si>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</si>
  <si>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</si>
  <si>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</si>
  <si>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</si>
  <si>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</si>
  <si>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</si>
  <si>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</si>
  <si>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</si>
  <si>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</si>
  <si>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</si>
  <si>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</si>
  <si>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</si>
  <si>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</si>
  <si>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</si>
  <si>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</si>
  <si>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</si>
  <si>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</si>
  <si>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</si>
  <si>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</si>
  <si>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</si>
  <si>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</si>
  <si>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</si>
  <si>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</si>
  <si>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</si>
  <si>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</si>
  <si>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</si>
  <si>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</si>
  <si>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</si>
  <si>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</si>
  <si>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</si>
  <si>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</si>
  <si>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</si>
  <si>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</si>
  <si>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</si>
  <si>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</si>
  <si>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</si>
  <si>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</si>
  <si>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</si>
  <si>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</si>
  <si>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</si>
  <si>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</si>
  <si>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</si>
  <si>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</si>
  <si>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</si>
  <si>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</si>
  <si>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</si>
  <si>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</si>
  <si>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</si>
  <si>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</si>
  <si>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</si>
  <si>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</si>
  <si>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</si>
  <si>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</si>
  <si>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</si>
  <si>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</si>
  <si>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</si>
  <si>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</si>
  <si>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</si>
  <si>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</si>
  <si>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</si>
  <si>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</si>
  <si>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</si>
  <si>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</si>
  <si>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</si>
  <si>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</si>
  <si>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</si>
  <si>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</si>
  <si>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</si>
  <si>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</si>
  <si>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</si>
  <si>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</si>
  <si>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</si>
  <si>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</si>
  <si>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</si>
  <si>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</si>
  <si>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</si>
  <si>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</si>
  <si>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</si>
  <si>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</si>
  <si>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</si>
  <si>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</si>
  <si>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</si>
  <si>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</si>
  <si>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</si>
  <si>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</si>
  <si>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</si>
  <si>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</si>
  <si>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</si>
  <si>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</si>
  <si>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</si>
  <si>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</si>
  <si>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</si>
  <si>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</si>
  <si>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</si>
  <si>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</si>
  <si>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</si>
  <si>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</si>
  <si>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</si>
  <si>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</si>
  <si>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</si>
  <si>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</si>
  <si>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</si>
  <si>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</si>
  <si>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</si>
  <si>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</si>
  <si>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</si>
  <si>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</si>
  <si>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</si>
  <si>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</si>
  <si>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</si>
  <si>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</si>
  <si>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</si>
  <si>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</si>
  <si>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</si>
  <si>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</si>
  <si>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</si>
  <si>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</si>
  <si>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</si>
  <si>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</si>
  <si>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</si>
  <si>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</si>
  <si>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</si>
  <si>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</si>
  <si>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</si>
  <si>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</si>
  <si>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</si>
  <si>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</si>
  <si>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</si>
  <si>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</si>
  <si>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</si>
  <si>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</si>
  <si>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</si>
  <si>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</si>
  <si>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</si>
  <si>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</si>
  <si>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</si>
  <si>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</si>
  <si>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</si>
  <si>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</si>
  <si>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</si>
  <si>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</si>
  <si>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</si>
  <si>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</si>
  <si>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</si>
  <si>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</si>
  <si>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</si>
  <si>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</si>
  <si>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</si>
  <si>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</si>
  <si>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</si>
  <si>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</si>
  <si>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</si>
  <si>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</si>
  <si>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</si>
  <si>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</si>
  <si>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</si>
  <si>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</si>
  <si>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</si>
  <si>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</si>
  <si>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</si>
  <si>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</si>
  <si>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</si>
  <si>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</si>
  <si>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</si>
  <si>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</si>
  <si>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</si>
  <si>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</si>
  <si>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</si>
  <si>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</si>
  <si>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</si>
  <si>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</si>
  <si>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</si>
  <si>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</si>
  <si>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</si>
  <si>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</si>
  <si>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</si>
  <si>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</si>
  <si>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</si>
  <si>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</si>
  <si>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</si>
  <si>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</si>
  <si>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</si>
  <si>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</si>
  <si>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</si>
  <si>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</si>
  <si>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</si>
  <si>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</si>
  <si>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</si>
  <si>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</si>
  <si>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</si>
  <si>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</si>
  <si>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</si>
  <si>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</si>
  <si>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</si>
  <si>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</si>
  <si>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</si>
  <si>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</si>
  <si>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</si>
  <si>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</si>
  <si>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</si>
  <si>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</si>
  <si>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</si>
  <si>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</si>
  <si>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</si>
  <si>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</si>
  <si>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</si>
  <si>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</si>
  <si>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</si>
  <si>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</si>
  <si>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</si>
  <si>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</si>
  <si>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</si>
  <si>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</si>
  <si>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</si>
  <si>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</si>
  <si>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</si>
  <si>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</si>
  <si>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</si>
  <si>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</si>
  <si>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</si>
  <si>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</si>
  <si>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</si>
  <si>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</si>
  <si>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</si>
  <si>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</si>
  <si>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</si>
  <si>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</si>
  <si>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</si>
  <si>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</si>
  <si>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</si>
  <si>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</si>
  <si>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</si>
  <si>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</si>
  <si>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</si>
  <si>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</si>
  <si>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</si>
  <si>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</si>
  <si>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</si>
  <si>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</si>
  <si>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</si>
  <si>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</si>
  <si>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</si>
  <si>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</si>
  <si>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</si>
  <si>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</si>
  <si>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</si>
  <si>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</si>
  <si>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</si>
  <si>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</si>
  <si>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</si>
  <si>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</si>
  <si>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</si>
  <si>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</si>
  <si>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</si>
  <si>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</si>
  <si>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</si>
  <si>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</si>
  <si>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</si>
  <si>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</si>
  <si>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</si>
  <si>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</si>
  <si>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</si>
  <si>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</si>
  <si>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</si>
  <si>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</si>
  <si>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</si>
  <si>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</si>
  <si>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</si>
  <si>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</si>
  <si>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</si>
  <si>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</si>
  <si>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</si>
  <si>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</si>
  <si>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</si>
  <si>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</si>
  <si>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</si>
  <si>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</si>
  <si>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</si>
  <si>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</si>
  <si>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</si>
  <si>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</si>
  <si>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</si>
  <si>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</si>
  <si>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</si>
  <si>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</si>
  <si>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</si>
  <si>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</si>
  <si>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</si>
  <si>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</si>
  <si>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</si>
  <si>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</si>
  <si>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</si>
  <si>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</si>
  <si>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</si>
  <si>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</si>
  <si>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</si>
  <si>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</si>
  <si>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</si>
  <si>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</si>
  <si>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</si>
  <si>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</si>
  <si>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</si>
  <si>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</si>
  <si>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</si>
  <si>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</si>
  <si>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</si>
  <si>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</si>
  <si>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</si>
  <si>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</si>
  <si>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</si>
  <si>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</si>
  <si>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</si>
  <si>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</si>
  <si>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</si>
  <si>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</si>
  <si>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</si>
  <si>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</si>
  <si>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</si>
  <si>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</si>
  <si>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</si>
  <si>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</si>
  <si>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</si>
  <si>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</si>
  <si>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</si>
  <si>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</si>
  <si>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</si>
  <si>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</si>
  <si>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</si>
  <si>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</si>
  <si>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</si>
  <si>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</si>
  <si>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</si>
  <si>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</si>
  <si>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</si>
  <si>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</si>
  <si>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</si>
  <si>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</si>
  <si>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</si>
  <si>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</si>
  <si>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</si>
  <si>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</si>
  <si>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</si>
  <si>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</si>
  <si>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</si>
  <si>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</si>
  <si>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</si>
  <si>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</si>
  <si>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</si>
  <si>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</si>
  <si>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</si>
  <si>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</si>
  <si>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</si>
  <si>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</si>
  <si>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</si>
  <si>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</si>
  <si>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</si>
  <si>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</si>
  <si>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</si>
  <si>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</si>
  <si>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</si>
  <si>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</si>
  <si>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</si>
  <si>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</si>
  <si>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</si>
  <si>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</si>
  <si>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</si>
  <si>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</si>
  <si>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</si>
  <si>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</si>
  <si>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</si>
  <si>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</si>
  <si>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</si>
  <si>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</si>
  <si>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</si>
  <si>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</si>
  <si>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</si>
  <si>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</si>
  <si>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</si>
  <si>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</si>
  <si>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</si>
  <si>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</si>
  <si>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</si>
  <si>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</si>
  <si>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</si>
  <si>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</si>
  <si>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</si>
  <si>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</si>
  <si>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</si>
  <si>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</si>
  <si>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</si>
  <si>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</si>
  <si>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</si>
  <si>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</si>
  <si>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</si>
  <si>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</si>
  <si>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</si>
  <si>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</si>
  <si>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</si>
  <si>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</si>
  <si>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</si>
  <si>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</si>
  <si>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</si>
  <si>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</si>
  <si>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</si>
  <si>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</si>
  <si>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</si>
  <si>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</si>
  <si>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</si>
  <si>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</si>
  <si>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</si>
  <si>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</si>
  <si>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</si>
  <si>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</si>
  <si>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</si>
  <si>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</si>
  <si>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</si>
  <si>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</si>
  <si>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</si>
  <si>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</si>
  <si>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</si>
  <si>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</si>
  <si>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</si>
  <si>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</si>
  <si>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</si>
  <si>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</si>
  <si>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</si>
  <si>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</si>
  <si>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</si>
  <si>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</si>
  <si>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</si>
  <si>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</si>
  <si>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</si>
  <si>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</si>
  <si>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</si>
  <si>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</si>
  <si>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</si>
  <si>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</si>
  <si>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</si>
  <si>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</si>
  <si>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</si>
  <si>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</si>
  <si>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</si>
  <si>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</si>
  <si>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</si>
  <si>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</si>
  <si>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</si>
  <si>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</si>
  <si>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</si>
  <si>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</si>
  <si>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</si>
  <si>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</si>
  <si>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</si>
  <si>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</si>
  <si>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</si>
  <si>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</si>
  <si>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</si>
  <si>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</si>
  <si>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</si>
  <si>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</si>
  <si>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</si>
  <si>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</si>
  <si>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</si>
  <si>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</si>
  <si>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</si>
  <si>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</si>
  <si>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</si>
  <si>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</si>
  <si>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</si>
  <si>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</si>
  <si>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</si>
  <si>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</si>
  <si>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</si>
  <si>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</si>
  <si>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</si>
  <si>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</si>
  <si>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</si>
  <si>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</si>
  <si>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</si>
  <si>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</si>
  <si>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</si>
  <si>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</si>
  <si>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</si>
  <si>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</si>
  <si>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</si>
  <si>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</si>
  <si>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</si>
  <si>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</si>
  <si>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</si>
  <si>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</si>
  <si>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</si>
  <si>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</si>
  <si>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</si>
  <si>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</si>
  <si>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</si>
  <si>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</si>
  <si>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</si>
  <si>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</si>
  <si>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</si>
  <si>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</si>
  <si>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</si>
  <si>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</si>
  <si>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</si>
  <si>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</si>
  <si>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</si>
  <si>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</si>
  <si>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</si>
  <si>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</si>
  <si>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</si>
  <si>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</si>
  <si>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</si>
  <si>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</si>
  <si>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</si>
  <si>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</si>
  <si>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</si>
  <si>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</si>
  <si>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</si>
  <si>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</si>
  <si>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</si>
  <si>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</si>
  <si>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</si>
  <si>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</si>
  <si>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</si>
  <si>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</si>
  <si>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</si>
  <si>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</si>
  <si>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</si>
  <si>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</si>
  <si>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</si>
  <si>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</si>
  <si>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</si>
  <si>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</si>
  <si>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</si>
  <si>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</si>
  <si>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</si>
  <si>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</si>
  <si>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</si>
  <si>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</si>
  <si>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</si>
  <si>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</si>
  <si>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</si>
  <si>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</si>
  <si>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</si>
  <si>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</si>
  <si>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</si>
  <si>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</si>
  <si>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</si>
  <si>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</si>
  <si>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</si>
  <si>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</si>
  <si>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</si>
  <si>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</si>
  <si>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</si>
  <si>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</si>
  <si>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</si>
  <si>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</si>
  <si>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</si>
  <si>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</si>
  <si>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</si>
  <si>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</si>
  <si>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</si>
  <si>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</si>
  <si>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</si>
  <si>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</si>
  <si>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</si>
  <si>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</si>
  <si>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</si>
  <si>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</si>
  <si>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</si>
  <si>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</si>
  <si>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</si>
  <si>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</si>
  <si>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</si>
  <si>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</si>
  <si>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</si>
  <si>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</si>
  <si>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</si>
  <si>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</si>
  <si>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</si>
  <si>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</si>
  <si>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</si>
  <si>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</si>
  <si>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</si>
  <si>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</si>
  <si>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</si>
  <si>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</si>
  <si>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</si>
  <si>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</si>
  <si>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</si>
  <si>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</si>
  <si>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</si>
  <si>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</si>
  <si>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</si>
  <si>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</si>
  <si>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</si>
  <si>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</si>
  <si>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</si>
  <si>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</si>
  <si>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</si>
  <si>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</si>
  <si>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</si>
  <si>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</si>
  <si>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</si>
  <si>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</si>
  <si>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</si>
  <si>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</si>
  <si>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</si>
  <si>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</si>
  <si>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</si>
  <si>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</si>
  <si>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</si>
  <si>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</si>
  <si>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</si>
  <si>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</si>
  <si>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</si>
  <si>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</si>
  <si>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</si>
  <si>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</si>
  <si>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</si>
  <si>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</si>
  <si>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</si>
  <si>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</si>
  <si>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</si>
  <si>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</si>
  <si>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</si>
  <si>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</si>
  <si>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</si>
  <si>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</si>
  <si>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</si>
  <si>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</si>
  <si>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</si>
  <si>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</si>
  <si>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</si>
  <si>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</si>
  <si>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</si>
  <si>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Ejecución física y financiera de los proyectos de la Ciudad Universitaria de acuerdo a lo programado.</t>
  </si>
  <si>
    <t>Porcentaje de ejecución física y financiera</t>
  </si>
  <si>
    <t>11.1.1</t>
  </si>
  <si>
    <t>Construcción de edificios para generar la infraestructura necesaria para la demanda actual de estudiantes de la Ciudad Universitaria.</t>
  </si>
  <si>
    <t>Secretaría Ejecutiva de Administración de Proyectos de Infraestructura SEAPI- UNAH</t>
  </si>
  <si>
    <t>Construcción de los Proyectos de Infraestructura en la Ciudad Universitaria.</t>
  </si>
  <si>
    <t>Construcción Edificio Rectoría-Administrativo, Ciudad Universitaria.</t>
  </si>
  <si>
    <t>Reforzamiento Estructural y Finalización del Edificio C3, Ciudad Universitaria.</t>
  </si>
  <si>
    <t>Ejecución física y financiera de los proyectos en UNAH-VS de acuerdo a lo programado.</t>
  </si>
  <si>
    <t>11.1.2</t>
  </si>
  <si>
    <t>Construcción de los Proyectos de Infraestructura en UNAH-VS.</t>
  </si>
  <si>
    <t>Construcción Edificio Ciencias de la Salud UNAH-VS.</t>
  </si>
  <si>
    <t>Readecuación y Mejoramiento de Servicios Sanitarios y Sistema de Distribución Eléctrica de los Edificios No. 1, No. 2, No. 4 y Biblioteca en UNAH-VS.</t>
  </si>
  <si>
    <t>Construcción de edificios para generar la infraestructura necesaria para la demanda actual de estudiantes de UNAH-VS.</t>
  </si>
  <si>
    <t>Ciudad Universitaria José Trinidad Reyes.</t>
  </si>
  <si>
    <t>UNAH-Valle de Sula.</t>
  </si>
  <si>
    <t xml:space="preserve">Edificios construidos y funcionando adecuadamente. Informes de Ejecución Física y  Financiera. </t>
  </si>
  <si>
    <t xml:space="preserve">Edificios construidos y funcionando adecuadamente. Informes de Ejecución Física y Financiera. </t>
  </si>
  <si>
    <t>Construcción Edificio 1847, Ciudad Universitaria.</t>
  </si>
  <si>
    <t>Restauración y Rehabilitación Edificio Paraninfo Universitario.</t>
  </si>
  <si>
    <t>Construcción del Muro Perimetral (I Etapa) de la Ciudad Universitaria, José Trinidad Reyes de la Universidad Nacional Autónoma de Honduras.</t>
  </si>
  <si>
    <t xml:space="preserve">Construcción del Sistema Hidrosanitario, CU. </t>
  </si>
  <si>
    <t>Construcción del Sistema Eléctrico en Alto y Bajo Voltaje, CU.</t>
  </si>
  <si>
    <t>Construcción Red Vial Pavimentada y No Pavimentada CU.</t>
  </si>
  <si>
    <t>Diseño y Construcción Edificio de Ingeniería, CU.</t>
  </si>
  <si>
    <t>Diseño y Construcción Edificio Megaestacionamiento Este, CU.</t>
  </si>
  <si>
    <t>Construcción e Instalación de Elevadores en Edificios A2, D1 y F1, CU.</t>
  </si>
  <si>
    <t>Construcción Edificio Anexo Facultad de Ciencias Económicas, CU.</t>
  </si>
  <si>
    <t>Construcción Pebetero, Ciudad Universitaria.</t>
  </si>
  <si>
    <t>Consultoría para el Diseño del Sistema Hidrosanitario, Sistema Eléctrico en Alto y Bajo Voltaje y   Red Peatonal y Red Vial Pavimentada y No Pavimentada, UNAH-VS.</t>
  </si>
  <si>
    <t>Construcción del Sistema Eléctrico en Alto y Bajo Voltaje, UNAH-VS.</t>
  </si>
  <si>
    <t>Construcción del Sistema Hidrosanitario y la Red Peatonal y Red Vial Pavimentada y No Pavimentada, UNAH-VS.</t>
  </si>
  <si>
    <t>Construcción de Muro Perimetral y Portales Peatonal y Vehicular, UNAH-VS.</t>
  </si>
  <si>
    <t>Centro de Innovación y Tecnología, UNAH-VS.</t>
  </si>
  <si>
    <t>Construcción Laboratorio de Suelos y Biología, Centro Universitario Regional Litoral Atlántico, CURLA.</t>
  </si>
  <si>
    <t>Construcción de Tanque de Agua, Centro Universitario Regional Litoral Atlántico, CURLA.</t>
  </si>
  <si>
    <t>Perforación de Pozo, Línea de Conducción y Construcción de Tanque de Almacenamiento, Centro Universitario Regional Nororiental, CURNO.</t>
  </si>
  <si>
    <t>Construcción de Edificio de Aulas No. 1 y Edificio Administrativo, Centro Universitario Regional Nororiental, CURNO.</t>
  </si>
  <si>
    <t>Construcción de Laboratorios de Química, Biología, Física y de Agroindustria, Centro Universitario Regional del Centro, CURC.</t>
  </si>
  <si>
    <t>Construcción de Laboratorios de Química, Biología, Física y de Agroindustria, Centro Universitario Regional Litoral Pacífico, CURLP.</t>
  </si>
  <si>
    <t>Construcción de Laboratorios de Química, Biología, Física y de Agroindustria, Centro Universitario Regional de Occidente, CUROC.</t>
  </si>
  <si>
    <t>Ejecución física y financiera de los proyectos en el CURLA de acuerdo a lo programado.</t>
  </si>
  <si>
    <t>Ejecución física y financiera de los proyectos en el CURNO de acuerdo a lo programado.</t>
  </si>
  <si>
    <t>Ejecución física y financiera de los proyectos en el CURC de acuerdo a lo programado.</t>
  </si>
  <si>
    <t>Ejecución física y financiera de los proyectos en el CURLP de acuerdo a lo programado.</t>
  </si>
  <si>
    <t>Ejecución física y financiera de los proyectos en el CUROC de acuerdo a lo programado.</t>
  </si>
  <si>
    <t>11.1.3</t>
  </si>
  <si>
    <t>11.1.4</t>
  </si>
  <si>
    <t>11.1.5</t>
  </si>
  <si>
    <t>11.1.6</t>
  </si>
  <si>
    <t>11.1.7</t>
  </si>
  <si>
    <t>Construcción de los Proyectos de Infraestructura en el CURLA.</t>
  </si>
  <si>
    <t>Construcción de los Proyectos de Infraestructura en el CURNO.</t>
  </si>
  <si>
    <t>Construcción de los Proyectos de Infraestructura en el CURC.</t>
  </si>
  <si>
    <t>Construcción de los Proyectos de Infraestructura en el CUROC.</t>
  </si>
  <si>
    <t>Construcción de edificios para generar la infraestructura necesaria para la demanda actual de estudiantes en el CURLA.</t>
  </si>
  <si>
    <t>Construcción de edificios para generar la infraestructura necesaria para la demanda actual de estudiantes en el CURNO.</t>
  </si>
  <si>
    <t>Construcción de edificios para generar la infraestructura necesaria para la demanda actual de estudiantes en el CURC.</t>
  </si>
  <si>
    <t>Construcción de los Proyectos de Infraestructura en el CURLP.</t>
  </si>
  <si>
    <t>Construcción de edificios para generar la infraestructura necesaria para la demanda actual de estudiantes en el CURLP.</t>
  </si>
  <si>
    <t>Construcción de edificios para generar la infraestructura necesaria para la demanda actual de estudiantes en el CUROC.</t>
  </si>
  <si>
    <t>CUROC</t>
  </si>
  <si>
    <t>CURLP</t>
  </si>
  <si>
    <t>CURC</t>
  </si>
  <si>
    <t>CURNO</t>
  </si>
  <si>
    <t>CURLA</t>
  </si>
  <si>
    <t>Profesionales contratados para apoyar la gestión de la Secretaría, Direcciones y Unidades de Apoyo.</t>
  </si>
  <si>
    <t>Porcentaje de ejecución en la contratación.</t>
  </si>
  <si>
    <t>11.2.1</t>
  </si>
  <si>
    <t>Contratación de servicios profesionales</t>
  </si>
  <si>
    <t>Lograr la eficiencia en las actividades con el equipo asignado.</t>
  </si>
  <si>
    <t>Porcentaje de ejecución del valor de las compras.</t>
  </si>
  <si>
    <t>11.2.2</t>
  </si>
  <si>
    <t>Compra de equipo de oficina y equipo tecnológico</t>
  </si>
  <si>
    <t>Alcanzar metas propuestas a través de una operación eficiente.</t>
  </si>
  <si>
    <t>Porcentaje de ejecución de gastos de operación.</t>
  </si>
  <si>
    <t>11.2.3</t>
  </si>
  <si>
    <t>Gastos de operación de la SEAPI</t>
  </si>
  <si>
    <t>Lograr una administración eficiente en la inversión de obras de infraestructura</t>
  </si>
  <si>
    <t>Ejecución Presupuestaria</t>
  </si>
  <si>
    <t>Ciudad Universitaria José Trinidad Reyes y Centros Regionales</t>
  </si>
  <si>
    <t>Calculadora de escritorio</t>
  </si>
  <si>
    <t>Niveles Topograficos de Mano</t>
  </si>
  <si>
    <t>GPS</t>
  </si>
  <si>
    <t>Regletas para conexiones electricas</t>
  </si>
  <si>
    <t>Memorias de Disco</t>
  </si>
  <si>
    <t>Mantenimiento y reparación de Edificios y Locales</t>
  </si>
  <si>
    <t>Mantenimiento y reparacion de equipo y medio de transporte</t>
  </si>
  <si>
    <t>Mantenimiento y reparacion de equipo de computaciòn</t>
  </si>
  <si>
    <t>Mantenimiento y reparaciòn de equipo de oficina y muebles</t>
  </si>
  <si>
    <t>Mantenimiento y reparación de otros equipos</t>
  </si>
  <si>
    <t>Estudios de Investigaciòn y Analisìs de Factibilidad</t>
  </si>
  <si>
    <t>Servicios de Capacitaciòn</t>
  </si>
  <si>
    <t>Otros servicios técnicos profesionales</t>
  </si>
  <si>
    <t>Transporte interno</t>
  </si>
  <si>
    <t>Fotocopias e impresión de documentos</t>
  </si>
  <si>
    <t>Publicidad y propaganda</t>
  </si>
  <si>
    <t>Otros servicios comerciales y financieros</t>
  </si>
  <si>
    <t>Pasajes Nacionales</t>
  </si>
  <si>
    <t>Pasajes al Extranjero</t>
  </si>
  <si>
    <t>Refrigerio, Licitaciones y otros</t>
  </si>
  <si>
    <t>Papel Bond Tamaño 20 Tamaño Carta ( Resma)</t>
  </si>
  <si>
    <t>Papel Bond Tamaño 20 Tamaño Oficio (Resma)</t>
  </si>
  <si>
    <t>Papel Bond 20 Tamaño Tabloide 11 X 17´´ (Resma)</t>
  </si>
  <si>
    <t>Papel Bond 20 Tamaño legal (Resma)</t>
  </si>
  <si>
    <t>Productos de Artes Graficas</t>
  </si>
  <si>
    <t>Pendaflex para archivo  (caja de 25 unid.)</t>
  </si>
  <si>
    <t>Sobres Manila tamaño carta (docena)</t>
  </si>
  <si>
    <t>Sobres Manila tamaño oficio (docena)</t>
  </si>
  <si>
    <t>sobres manila tamaño legal (docena)</t>
  </si>
  <si>
    <t>Folder tamaño carta (resma de 100 unidades)</t>
  </si>
  <si>
    <t>Folder tamaño oficio (resma de 100 unidades)</t>
  </si>
  <si>
    <t>Papel higiénico ( por fardo)</t>
  </si>
  <si>
    <t>Libretas taquigráficas ( unidad)</t>
  </si>
  <si>
    <t>Archivadores tamaño oficio (unidad)</t>
  </si>
  <si>
    <t>Archivadores tamaño carta (unidad)</t>
  </si>
  <si>
    <t>Archivadores Tamaño carta(panoramico)</t>
  </si>
  <si>
    <t>Separador de documentos (docena)</t>
  </si>
  <si>
    <t>Caratulas para empastar documentos(resma)</t>
  </si>
  <si>
    <t>Libros, revistas y periódicos</t>
  </si>
  <si>
    <t>Boletin Cámara de la Construcción</t>
  </si>
  <si>
    <t>Especies timbradas y valores</t>
  </si>
  <si>
    <t>Llantas para vehículo</t>
  </si>
  <si>
    <t>Repelente de mosquitos</t>
  </si>
  <si>
    <t>Productos Farmaceuticos y Medicinales</t>
  </si>
  <si>
    <t>Insecticidas, fungicidas y otros</t>
  </si>
  <si>
    <t>Tintas, pinturas y colorantes</t>
  </si>
  <si>
    <t>Combustibles y lubricantes</t>
  </si>
  <si>
    <t>Diesel</t>
  </si>
  <si>
    <t>Aceites y Grasas Lubricantes</t>
  </si>
  <si>
    <t>Recipiente para basura (unidad)</t>
  </si>
  <si>
    <t>Productos Ferrosos</t>
  </si>
  <si>
    <t>Herramientas menores</t>
  </si>
  <si>
    <t>Accesorios de metal</t>
  </si>
  <si>
    <t>Elementos de ferretería</t>
  </si>
  <si>
    <t>Cemento Cal y yeso</t>
  </si>
  <si>
    <t>Piedra Arcilla y Arena</t>
  </si>
  <si>
    <t>Glicerina de una onza (unidad)</t>
  </si>
  <si>
    <t>Tape 3/4x72 yardas</t>
  </si>
  <si>
    <t>Masking tape de 60 yardas</t>
  </si>
  <si>
    <t>Lápiz carbon 2HB (docena)</t>
  </si>
  <si>
    <t>Tinta rollon para sellos (unidad)</t>
  </si>
  <si>
    <t>Almohadillas para sellos (unidad)</t>
  </si>
  <si>
    <t>Borrador de goma lyra o similar (unidad)</t>
  </si>
  <si>
    <t>Barra de pegamento de 21 gramos (unidad)</t>
  </si>
  <si>
    <t>Marcador para pizarra de formica color negro (unidad)</t>
  </si>
  <si>
    <t>Marcador para pizarra de formica color azul (unidad)</t>
  </si>
  <si>
    <t>Marcador para pizarra de formica color rojo (unidad)</t>
  </si>
  <si>
    <t>Marcador permanente punta gruesa, color negro, (Docena)</t>
  </si>
  <si>
    <t>Cajitas de clips de 50 unidades pequeños (unidad)</t>
  </si>
  <si>
    <t xml:space="preserve">Cajitas de clips de 50 unidades grandes,unid </t>
  </si>
  <si>
    <t>Marcador fluorecente punta gruesa (unidad)</t>
  </si>
  <si>
    <t>Lapiz tinta color rojo, punta fina de metal</t>
  </si>
  <si>
    <t>Lapiz tinta color negro punta fina de metal (unidad)</t>
  </si>
  <si>
    <t>Marcador color rojo punta fina de metal ( unidad)</t>
  </si>
  <si>
    <t>Engrapadora Standard</t>
  </si>
  <si>
    <t>Grapas para engrapadora de escritorio 26/8 (caja)</t>
  </si>
  <si>
    <t>Grapas para engrapadora de escritorio 26/6 (caja)</t>
  </si>
  <si>
    <t>Corrector blanco en lápiz  (unidad)</t>
  </si>
  <si>
    <t>Posti up (unidad)</t>
  </si>
  <si>
    <t>Banderines</t>
  </si>
  <si>
    <t>Fastener de 8 cm (caja)</t>
  </si>
  <si>
    <t>Perforadora</t>
  </si>
  <si>
    <t>Tijera de metal inoxidable de 12"</t>
  </si>
  <si>
    <t>Saca grapas (unidad)</t>
  </si>
  <si>
    <t>CD`s Ligth Scribe</t>
  </si>
  <si>
    <t>CD`s 700MB</t>
  </si>
  <si>
    <t>DVD`s</t>
  </si>
  <si>
    <t>Tinta HP 88C9385AL, color negro (unidad)</t>
  </si>
  <si>
    <t>Tinta HP 88C9386AL, Cyan (unidad)</t>
  </si>
  <si>
    <t>Tinta HP 88C9387AL, Magenta (unidad)</t>
  </si>
  <si>
    <t>Tinta HP 88C9388AL, Amarilla (unidad)</t>
  </si>
  <si>
    <t>Tinta No. 11 plotter HP, Desingjet 110 plus Magenta (unidad)</t>
  </si>
  <si>
    <t>Tinta No. 11 para plotter HP, Desingjet 110 plus Amarilla (unidad)</t>
  </si>
  <si>
    <t>Tinta No. 11  plotter HP, Desingjet 110 plus Syan</t>
  </si>
  <si>
    <t>Tinta xerox laser printer phaser 3428</t>
  </si>
  <si>
    <t>Tinta HP Laser Jet P2035n</t>
  </si>
  <si>
    <t>Tinta HP Laser Jet P2055dn</t>
  </si>
  <si>
    <t>Tinta HP 21</t>
  </si>
  <si>
    <t>Tinta HP 22</t>
  </si>
  <si>
    <t>Tinta No. 11 para plotter HP, Desingjet 110 plus Negro (unidad)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</si>
</sst>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_ ;\-#,##0.00\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2" fillId="5" borderId="12" xfId="0" applyFont="1" applyFill="1" applyBorder="1" applyAlignment="1">
      <alignment vertical="center" wrapText="1"/>
    </xf>
    <xf numFmtId="43" fontId="22" fillId="5" borderId="14" xfId="0" applyNumberFormat="1" applyFont="1" applyFill="1" applyBorder="1" applyAlignment="1">
      <alignment vertical="center"/>
    </xf>
    <xf numFmtId="174" fontId="22" fillId="5" borderId="33" xfId="0" applyNumberFormat="1" applyFont="1" applyFill="1" applyBorder="1" applyAlignment="1">
      <alignment vertical="center"/>
    </xf>
    <xf numFmtId="174" fontId="22" fillId="5" borderId="17" xfId="0" applyNumberFormat="1" applyFont="1" applyFill="1" applyBorder="1" applyAlignment="1">
      <alignment vertical="center"/>
    </xf>
    <xf numFmtId="174" fontId="22" fillId="5" borderId="19" xfId="0" applyNumberFormat="1" applyFont="1" applyFill="1" applyBorder="1" applyAlignment="1">
      <alignment vertical="center"/>
    </xf>
    <xf numFmtId="43" fontId="22" fillId="2" borderId="12" xfId="0" applyNumberFormat="1" applyFont="1" applyFill="1" applyBorder="1" applyAlignment="1">
      <alignment vertical="center"/>
    </xf>
    <xf numFmtId="43" fontId="22" fillId="2" borderId="11" xfId="0" applyNumberFormat="1" applyFont="1" applyFill="1" applyBorder="1" applyAlignment="1">
      <alignment vertical="center"/>
    </xf>
    <xf numFmtId="0" fontId="22" fillId="5" borderId="11" xfId="0" applyFont="1" applyFill="1" applyBorder="1" applyAlignment="1">
      <alignment vertical="center" wrapText="1"/>
    </xf>
    <xf numFmtId="174" fontId="22" fillId="5" borderId="14" xfId="0" applyNumberFormat="1" applyFont="1" applyFill="1" applyBorder="1" applyAlignment="1">
      <alignment vertical="center"/>
    </xf>
    <xf numFmtId="174" fontId="22" fillId="2" borderId="12" xfId="0" applyNumberFormat="1" applyFont="1" applyFill="1" applyBorder="1" applyAlignment="1">
      <alignment vertical="center"/>
    </xf>
    <xf numFmtId="174" fontId="22" fillId="2" borderId="11" xfId="0" applyNumberFormat="1" applyFont="1" applyFill="1" applyBorder="1" applyAlignment="1">
      <alignment vertical="center"/>
    </xf>
    <xf numFmtId="174" fontId="50" fillId="11" borderId="26" xfId="18" applyNumberFormat="1" applyFont="1" applyFill="1" applyBorder="1" applyAlignment="1">
      <alignment horizontal="center" vertical="center"/>
    </xf>
    <xf numFmtId="43" fontId="22" fillId="5" borderId="33" xfId="0" applyNumberFormat="1" applyFont="1" applyFill="1" applyBorder="1" applyAlignment="1">
      <alignment vertical="center"/>
    </xf>
    <xf numFmtId="4" fontId="0" fillId="0" borderId="0" xfId="0" applyNumberFormat="1"/>
    <xf numFmtId="41" fontId="22" fillId="2" borderId="15" xfId="0" applyNumberFormat="1" applyFont="1" applyFill="1" applyBorder="1" applyAlignment="1">
      <alignment horizontal="center" vertical="center" wrapText="1"/>
    </xf>
    <xf numFmtId="41" fontId="22" fillId="2" borderId="15" xfId="0" applyNumberFormat="1" applyFont="1" applyFill="1" applyBorder="1" applyAlignment="1">
      <alignment vertical="center" wrapText="1"/>
    </xf>
    <xf numFmtId="0" fontId="49" fillId="14" borderId="15"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22" fillId="5" borderId="12" xfId="0" applyFont="1" applyFill="1" applyBorder="1" applyAlignment="1">
      <alignment horizontal="justify" vertical="center" wrapText="1"/>
    </xf>
    <xf numFmtId="0" fontId="22" fillId="5" borderId="10" xfId="0" applyFont="1" applyFill="1" applyBorder="1" applyAlignment="1">
      <alignment horizontal="justify" vertical="center" wrapText="1"/>
    </xf>
    <xf numFmtId="10" fontId="32" fillId="0" borderId="26" xfId="0" applyNumberFormat="1" applyFont="1" applyFill="1" applyBorder="1" applyAlignment="1">
      <alignment horizontal="center" vertical="center" wrapText="1"/>
    </xf>
    <xf numFmtId="10" fontId="33" fillId="10" borderId="26" xfId="19" applyNumberFormat="1" applyFont="1" applyFill="1" applyBorder="1" applyAlignment="1">
      <alignment vertical="top" wrapText="1"/>
    </xf>
    <xf numFmtId="10" fontId="0" fillId="0" borderId="0" xfId="0" applyNumberFormat="1"/>
    <xf numFmtId="10" fontId="33" fillId="10" borderId="26" xfId="18" applyNumberFormat="1" applyFont="1" applyFill="1" applyBorder="1" applyAlignment="1">
      <alignment vertical="top" wrapText="1"/>
    </xf>
    <xf numFmtId="174" fontId="23" fillId="12" borderId="26" xfId="18" applyNumberFormat="1" applyFont="1" applyFill="1" applyBorder="1" applyAlignment="1">
      <alignment horizontal="center" vertical="center"/>
    </xf>
    <xf numFmtId="174" fontId="48" fillId="3" borderId="26" xfId="18" applyNumberFormat="1" applyFont="1" applyFill="1" applyBorder="1" applyAlignment="1">
      <alignment horizontal="center" vertical="center"/>
    </xf>
    <xf numFmtId="174" fontId="0" fillId="0" borderId="26" xfId="18" applyNumberFormat="1" applyFont="1" applyBorder="1" applyAlignment="1">
      <alignment horizontal="center" vertical="center"/>
    </xf>
    <xf numFmtId="0" fontId="22" fillId="5" borderId="3" xfId="0" applyFont="1" applyFill="1" applyBorder="1" applyAlignment="1">
      <alignment horizontal="justify" vertical="center" wrapText="1"/>
    </xf>
    <xf numFmtId="0" fontId="22" fillId="5" borderId="24" xfId="0" applyNumberFormat="1" applyFont="1" applyFill="1" applyBorder="1" applyAlignment="1">
      <alignment horizontal="center" vertical="center"/>
    </xf>
    <xf numFmtId="41" fontId="22" fillId="5" borderId="6" xfId="0" applyNumberFormat="1" applyFont="1" applyFill="1" applyBorder="1" applyAlignment="1">
      <alignment vertical="center"/>
    </xf>
    <xf numFmtId="41" fontId="22" fillId="2" borderId="3" xfId="0" applyNumberFormat="1" applyFont="1" applyFill="1" applyBorder="1" applyAlignment="1">
      <alignment vertical="center"/>
    </xf>
    <xf numFmtId="41" fontId="22" fillId="2" borderId="7" xfId="0" applyNumberFormat="1" applyFont="1" applyFill="1" applyBorder="1" applyAlignment="1">
      <alignment horizontal="center" vertical="center" wrapText="1"/>
    </xf>
    <xf numFmtId="0" fontId="22" fillId="5" borderId="7" xfId="0" applyFont="1" applyFill="1" applyBorder="1" applyAlignment="1">
      <alignment horizontal="center" vertical="center"/>
    </xf>
    <xf numFmtId="41" fontId="22" fillId="2" borderId="7" xfId="0" applyNumberFormat="1" applyFont="1" applyFill="1" applyBorder="1" applyAlignment="1">
      <alignment vertical="center" wrapText="1"/>
    </xf>
    <xf numFmtId="0" fontId="49" fillId="14" borderId="7" xfId="0" applyFont="1" applyFill="1" applyBorder="1" applyAlignment="1">
      <alignment horizontal="center" vertical="center" wrapText="1"/>
    </xf>
    <xf numFmtId="0" fontId="22" fillId="2" borderId="7"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5" borderId="11" xfId="0" applyFont="1" applyFill="1" applyBorder="1" applyAlignment="1">
      <alignment horizontal="justify" vertical="center" wrapText="1"/>
    </xf>
    <xf numFmtId="0" fontId="22" fillId="5" borderId="46" xfId="0" applyNumberFormat="1" applyFont="1" applyFill="1" applyBorder="1" applyAlignment="1">
      <alignment horizontal="center" vertical="center"/>
    </xf>
    <xf numFmtId="41" fontId="22" fillId="2" borderId="35" xfId="0" applyNumberFormat="1" applyFont="1" applyFill="1" applyBorder="1" applyAlignment="1">
      <alignment horizontal="center" vertical="center" wrapText="1"/>
    </xf>
    <xf numFmtId="0" fontId="22" fillId="5" borderId="35" xfId="0" applyFont="1" applyFill="1" applyBorder="1" applyAlignment="1">
      <alignment horizontal="center" vertical="center"/>
    </xf>
    <xf numFmtId="41" fontId="22" fillId="2" borderId="35" xfId="0" applyNumberFormat="1" applyFont="1" applyFill="1" applyBorder="1" applyAlignment="1">
      <alignment vertical="center" wrapText="1"/>
    </xf>
    <xf numFmtId="0" fontId="22" fillId="2" borderId="35" xfId="0" applyFont="1" applyFill="1" applyBorder="1" applyAlignment="1">
      <alignment horizontal="center" vertical="center" wrapText="1"/>
    </xf>
    <xf numFmtId="0" fontId="21" fillId="6" borderId="49" xfId="0" applyFont="1" applyFill="1" applyBorder="1" applyAlignment="1">
      <alignment vertical="center"/>
    </xf>
    <xf numFmtId="0" fontId="22" fillId="5" borderId="12" xfId="0" applyNumberFormat="1" applyFont="1" applyFill="1" applyBorder="1" applyAlignment="1">
      <alignment horizontal="center" vertical="center"/>
    </xf>
    <xf numFmtId="0" fontId="22" fillId="5" borderId="15" xfId="0" applyNumberFormat="1" applyFont="1" applyFill="1" applyBorder="1" applyAlignment="1">
      <alignment horizontal="center" vertical="center"/>
    </xf>
    <xf numFmtId="41" fontId="21" fillId="6" borderId="48" xfId="0" applyNumberFormat="1" applyFont="1" applyFill="1" applyBorder="1" applyAlignment="1">
      <alignment vertical="center"/>
    </xf>
    <xf numFmtId="41" fontId="21" fillId="6" borderId="48" xfId="0" applyNumberFormat="1" applyFont="1" applyFill="1" applyBorder="1" applyAlignment="1">
      <alignment horizontal="center" vertical="center"/>
    </xf>
    <xf numFmtId="0" fontId="22" fillId="6" borderId="47" xfId="0" applyFont="1" applyFill="1" applyBorder="1" applyAlignment="1">
      <alignment horizontal="center" vertical="center"/>
    </xf>
    <xf numFmtId="43" fontId="46" fillId="3" borderId="0" xfId="10" applyNumberFormat="1" applyFont="1" applyFill="1" applyAlignment="1">
      <alignment vertical="center"/>
    </xf>
    <xf numFmtId="41" fontId="22" fillId="2" borderId="35" xfId="0" applyNumberFormat="1" applyFont="1" applyFill="1" applyBorder="1" applyAlignment="1">
      <alignment horizontal="center" vertical="center"/>
    </xf>
    <xf numFmtId="0" fontId="23" fillId="14" borderId="12" xfId="0" applyFont="1" applyFill="1" applyBorder="1" applyAlignment="1">
      <alignment vertical="center" wrapText="1"/>
    </xf>
    <xf numFmtId="0" fontId="23" fillId="14" borderId="2" xfId="0" applyFont="1" applyFill="1" applyBorder="1" applyAlignment="1">
      <alignment vertical="center"/>
    </xf>
    <xf numFmtId="0" fontId="23" fillId="14" borderId="48" xfId="0" applyNumberFormat="1" applyFont="1" applyFill="1" applyBorder="1" applyAlignment="1">
      <alignment horizontal="center" vertical="center"/>
    </xf>
    <xf numFmtId="41" fontId="22" fillId="0" borderId="6" xfId="0" applyNumberFormat="1" applyFont="1" applyFill="1" applyBorder="1" applyAlignment="1">
      <alignment vertical="center"/>
    </xf>
    <xf numFmtId="41" fontId="22" fillId="2" borderId="2" xfId="0" applyNumberFormat="1" applyFont="1" applyFill="1" applyBorder="1" applyAlignment="1">
      <alignment vertical="center"/>
    </xf>
    <xf numFmtId="0" fontId="22" fillId="5" borderId="47" xfId="0" applyFont="1" applyFill="1" applyBorder="1" applyAlignment="1">
      <alignment horizontal="center" vertical="center"/>
    </xf>
    <xf numFmtId="41" fontId="22" fillId="2" borderId="47" xfId="0" applyNumberFormat="1" applyFont="1" applyFill="1" applyBorder="1" applyAlignment="1">
      <alignment vertical="center"/>
    </xf>
    <xf numFmtId="0" fontId="49" fillId="14" borderId="47"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22</c:v>
                </c:pt>
                <c:pt idx="15">
                  <c:v>0</c:v>
                </c:pt>
                <c:pt idx="16">
                  <c:v>6</c:v>
                </c:pt>
              </c:numCache>
            </c:numRef>
          </c:val>
        </c:ser>
        <c:dLbls>
          <c:showLegendKey val="0"/>
          <c:showVal val="0"/>
          <c:showCatName val="0"/>
          <c:showSerName val="0"/>
          <c:showPercent val="0"/>
          <c:showBubbleSize val="0"/>
        </c:dLbls>
        <c:gapWidth val="150"/>
        <c:shape val="box"/>
        <c:axId val="84675968"/>
        <c:axId val="84677760"/>
        <c:axId val="0"/>
      </c:bar3DChart>
      <c:catAx>
        <c:axId val="84675968"/>
        <c:scaling>
          <c:orientation val="minMax"/>
        </c:scaling>
        <c:delete val="0"/>
        <c:axPos val="b"/>
        <c:majorTickMark val="none"/>
        <c:minorTickMark val="none"/>
        <c:tickLblPos val="nextTo"/>
        <c:txPr>
          <a:bodyPr/>
          <a:lstStyle/>
          <a:p>
            <a:pPr>
              <a:defRPr lang="es-HN"/>
            </a:pPr>
            <a:endParaRPr lang="es-HN"/>
          </a:p>
        </c:txPr>
        <c:crossAx val="84677760"/>
        <c:crosses val="autoZero"/>
        <c:auto val="1"/>
        <c:lblAlgn val="ctr"/>
        <c:lblOffset val="100"/>
        <c:noMultiLvlLbl val="0"/>
      </c:catAx>
      <c:valAx>
        <c:axId val="846777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6759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12</c:v>
                </c:pt>
                <c:pt idx="7">
                  <c:v>0</c:v>
                </c:pt>
                <c:pt idx="8">
                  <c:v>0</c:v>
                </c:pt>
                <c:pt idx="9">
                  <c:v>0</c:v>
                </c:pt>
              </c:numCache>
            </c:numRef>
          </c:val>
        </c:ser>
        <c:dLbls>
          <c:showLegendKey val="0"/>
          <c:showVal val="0"/>
          <c:showCatName val="0"/>
          <c:showSerName val="0"/>
          <c:showPercent val="0"/>
          <c:showBubbleSize val="0"/>
        </c:dLbls>
        <c:gapWidth val="150"/>
        <c:shape val="box"/>
        <c:axId val="84708352"/>
        <c:axId val="85005056"/>
        <c:axId val="0"/>
      </c:bar3DChart>
      <c:catAx>
        <c:axId val="84708352"/>
        <c:scaling>
          <c:orientation val="minMax"/>
        </c:scaling>
        <c:delete val="0"/>
        <c:axPos val="b"/>
        <c:majorTickMark val="none"/>
        <c:minorTickMark val="none"/>
        <c:tickLblPos val="nextTo"/>
        <c:txPr>
          <a:bodyPr/>
          <a:lstStyle/>
          <a:p>
            <a:pPr>
              <a:defRPr lang="es-HN"/>
            </a:pPr>
            <a:endParaRPr lang="es-HN"/>
          </a:p>
        </c:txPr>
        <c:crossAx val="85005056"/>
        <c:crosses val="autoZero"/>
        <c:auto val="1"/>
        <c:lblAlgn val="ctr"/>
        <c:lblOffset val="100"/>
        <c:noMultiLvlLbl val="0"/>
      </c:catAx>
      <c:valAx>
        <c:axId val="850050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70835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8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10</c:v>
                </c:pt>
                <c:pt idx="4">
                  <c:v>0</c:v>
                </c:pt>
                <c:pt idx="5">
                  <c:v>0</c:v>
                </c:pt>
                <c:pt idx="6">
                  <c:v>0</c:v>
                </c:pt>
                <c:pt idx="7">
                  <c:v>0</c:v>
                </c:pt>
                <c:pt idx="8">
                  <c:v>0</c:v>
                </c:pt>
                <c:pt idx="9">
                  <c:v>1</c:v>
                </c:pt>
                <c:pt idx="10">
                  <c:v>0</c:v>
                </c:pt>
                <c:pt idx="11">
                  <c:v>0</c:v>
                </c:pt>
                <c:pt idx="12">
                  <c:v>0</c:v>
                </c:pt>
                <c:pt idx="13">
                  <c:v>10</c:v>
                </c:pt>
                <c:pt idx="14">
                  <c:v>0</c:v>
                </c:pt>
                <c:pt idx="15">
                  <c:v>15</c:v>
                </c:pt>
                <c:pt idx="16">
                  <c:v>0</c:v>
                </c:pt>
              </c:numCache>
            </c:numRef>
          </c:val>
        </c:ser>
        <c:dLbls>
          <c:showLegendKey val="0"/>
          <c:showVal val="0"/>
          <c:showCatName val="0"/>
          <c:showSerName val="0"/>
          <c:showPercent val="0"/>
          <c:showBubbleSize val="0"/>
        </c:dLbls>
        <c:gapWidth val="150"/>
        <c:shape val="box"/>
        <c:axId val="85039744"/>
        <c:axId val="85045632"/>
        <c:axId val="0"/>
      </c:bar3DChart>
      <c:catAx>
        <c:axId val="85039744"/>
        <c:scaling>
          <c:orientation val="minMax"/>
        </c:scaling>
        <c:delete val="0"/>
        <c:axPos val="b"/>
        <c:majorTickMark val="none"/>
        <c:minorTickMark val="none"/>
        <c:tickLblPos val="nextTo"/>
        <c:txPr>
          <a:bodyPr/>
          <a:lstStyle/>
          <a:p>
            <a:pPr>
              <a:defRPr lang="es-HN"/>
            </a:pPr>
            <a:endParaRPr lang="es-HN"/>
          </a:p>
        </c:txPr>
        <c:crossAx val="85045632"/>
        <c:crosses val="autoZero"/>
        <c:auto val="1"/>
        <c:lblAlgn val="ctr"/>
        <c:lblOffset val="100"/>
        <c:noMultiLvlLbl val="0"/>
      </c:catAx>
      <c:valAx>
        <c:axId val="850456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503974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E%202016%20Administr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7"/>
      <c r="U2" s="567"/>
      <c r="V2" s="567"/>
      <c r="W2" s="567"/>
      <c r="X2" s="567"/>
      <c r="Y2" s="567"/>
      <c r="Z2" s="567"/>
      <c r="AA2" s="567"/>
      <c r="AB2" s="567"/>
      <c r="AC2" s="567" t="s">
        <v>25</v>
      </c>
      <c r="AD2" s="567"/>
      <c r="AE2" s="567"/>
      <c r="AF2" s="567"/>
      <c r="AG2" s="567"/>
      <c r="AH2" s="567"/>
      <c r="AI2" s="567"/>
      <c r="AJ2" s="567"/>
    </row>
    <row r="3" spans="2:36" ht="16.5" customHeight="1" x14ac:dyDescent="0.25">
      <c r="B3" s="33" t="s">
        <v>7</v>
      </c>
      <c r="C3" s="33"/>
      <c r="D3" s="33"/>
      <c r="E3" s="33"/>
      <c r="F3" s="33"/>
      <c r="G3" s="33"/>
      <c r="H3" s="33"/>
      <c r="I3" s="33"/>
      <c r="J3" s="33"/>
      <c r="K3" s="33"/>
      <c r="L3" s="33"/>
      <c r="M3" s="33"/>
      <c r="N3" s="33"/>
      <c r="O3" s="33"/>
      <c r="P3" s="33"/>
      <c r="Q3" s="33"/>
      <c r="R3" s="33"/>
      <c r="S3" s="33"/>
      <c r="T3" s="567"/>
      <c r="U3" s="567"/>
      <c r="V3" s="567"/>
      <c r="W3" s="567"/>
      <c r="X3" s="567"/>
      <c r="Y3" s="567"/>
      <c r="Z3" s="567"/>
      <c r="AA3" s="567"/>
      <c r="AB3" s="567"/>
      <c r="AC3" s="567" t="s">
        <v>7</v>
      </c>
      <c r="AD3" s="567"/>
      <c r="AE3" s="567"/>
      <c r="AF3" s="567"/>
      <c r="AG3" s="567"/>
      <c r="AH3" s="567"/>
      <c r="AI3" s="567"/>
      <c r="AJ3" s="567"/>
    </row>
    <row r="4" spans="2:36" ht="12.75" customHeight="1" x14ac:dyDescent="0.25">
      <c r="B4" s="33" t="s">
        <v>36</v>
      </c>
      <c r="C4" s="33"/>
      <c r="D4" s="33"/>
      <c r="E4" s="33"/>
      <c r="F4" s="33"/>
      <c r="G4" s="33"/>
      <c r="H4" s="33"/>
      <c r="I4" s="33"/>
      <c r="J4" s="33"/>
      <c r="K4" s="33"/>
      <c r="L4" s="33"/>
      <c r="M4" s="33"/>
      <c r="N4" s="33"/>
      <c r="O4" s="33"/>
      <c r="P4" s="33"/>
      <c r="Q4" s="33"/>
      <c r="R4" s="33"/>
      <c r="S4" s="33"/>
      <c r="T4" s="567"/>
      <c r="U4" s="567"/>
      <c r="V4" s="567"/>
      <c r="W4" s="567"/>
      <c r="X4" s="567"/>
      <c r="Y4" s="567"/>
      <c r="Z4" s="567"/>
      <c r="AA4" s="567"/>
      <c r="AB4" s="567"/>
      <c r="AC4" s="567" t="s">
        <v>36</v>
      </c>
      <c r="AD4" s="567"/>
      <c r="AE4" s="567"/>
      <c r="AF4" s="567"/>
      <c r="AG4" s="567"/>
      <c r="AH4" s="567"/>
      <c r="AI4" s="567"/>
      <c r="AJ4" s="567"/>
    </row>
    <row r="5" spans="2:36" ht="15.75" x14ac:dyDescent="0.25">
      <c r="B5" s="2"/>
      <c r="C5" s="2"/>
      <c r="D5" s="2"/>
    </row>
    <row r="6" spans="2:36" ht="16.5" thickBot="1" x14ac:dyDescent="0.3">
      <c r="B6" s="2"/>
      <c r="C6" s="2"/>
      <c r="D6" s="2"/>
    </row>
    <row r="7" spans="2:36" ht="75.75" customHeight="1" x14ac:dyDescent="0.25">
      <c r="B7" s="564" t="s">
        <v>20</v>
      </c>
      <c r="C7" s="564" t="s">
        <v>38</v>
      </c>
      <c r="D7" s="564" t="s">
        <v>39</v>
      </c>
      <c r="E7" s="573" t="s">
        <v>40</v>
      </c>
      <c r="F7" s="564" t="s">
        <v>37</v>
      </c>
      <c r="G7" s="573" t="s">
        <v>9</v>
      </c>
      <c r="H7" s="562" t="s">
        <v>0</v>
      </c>
      <c r="I7" s="562" t="s">
        <v>8</v>
      </c>
      <c r="J7" s="562" t="s">
        <v>16</v>
      </c>
      <c r="K7" s="562"/>
      <c r="L7" s="562" t="s">
        <v>13</v>
      </c>
      <c r="M7" s="562"/>
      <c r="N7" s="562"/>
      <c r="O7" s="562"/>
      <c r="P7" s="562"/>
      <c r="Q7" s="562"/>
      <c r="R7" s="562"/>
      <c r="S7" s="562"/>
      <c r="T7" s="564" t="s">
        <v>14</v>
      </c>
      <c r="U7" s="562" t="s">
        <v>18</v>
      </c>
      <c r="V7" s="562" t="s">
        <v>26</v>
      </c>
      <c r="W7" s="562"/>
      <c r="X7" s="562" t="s">
        <v>15</v>
      </c>
      <c r="Y7" s="562" t="s">
        <v>17</v>
      </c>
      <c r="Z7" s="562"/>
      <c r="AA7" s="562" t="s">
        <v>22</v>
      </c>
      <c r="AB7" s="562" t="s">
        <v>32</v>
      </c>
      <c r="AC7" s="568" t="s">
        <v>31</v>
      </c>
      <c r="AD7" s="568"/>
      <c r="AE7" s="568"/>
      <c r="AF7" s="568"/>
      <c r="AG7" s="562" t="s">
        <v>28</v>
      </c>
      <c r="AH7" s="562" t="s">
        <v>29</v>
      </c>
      <c r="AI7" s="562" t="s">
        <v>1</v>
      </c>
      <c r="AJ7" s="562" t="s">
        <v>2</v>
      </c>
    </row>
    <row r="8" spans="2:36" ht="15.75" customHeight="1" x14ac:dyDescent="0.25">
      <c r="B8" s="565"/>
      <c r="C8" s="565"/>
      <c r="D8" s="565"/>
      <c r="E8" s="574"/>
      <c r="F8" s="565"/>
      <c r="G8" s="574"/>
      <c r="H8" s="563"/>
      <c r="I8" s="563"/>
      <c r="J8" s="563" t="s">
        <v>33</v>
      </c>
      <c r="K8" s="563" t="s">
        <v>19</v>
      </c>
      <c r="L8" s="566" t="s">
        <v>3</v>
      </c>
      <c r="M8" s="566"/>
      <c r="N8" s="566" t="s">
        <v>4</v>
      </c>
      <c r="O8" s="566"/>
      <c r="P8" s="566" t="s">
        <v>5</v>
      </c>
      <c r="Q8" s="566"/>
      <c r="R8" s="566" t="s">
        <v>6</v>
      </c>
      <c r="S8" s="566"/>
      <c r="T8" s="565"/>
      <c r="U8" s="563"/>
      <c r="V8" s="563" t="s">
        <v>23</v>
      </c>
      <c r="W8" s="563" t="s">
        <v>21</v>
      </c>
      <c r="X8" s="563"/>
      <c r="Y8" s="563" t="s">
        <v>23</v>
      </c>
      <c r="Z8" s="563" t="s">
        <v>21</v>
      </c>
      <c r="AA8" s="563"/>
      <c r="AB8" s="563"/>
      <c r="AC8" s="14" t="s">
        <v>3</v>
      </c>
      <c r="AD8" s="14" t="s">
        <v>4</v>
      </c>
      <c r="AE8" s="14" t="s">
        <v>5</v>
      </c>
      <c r="AF8" s="14" t="s">
        <v>6</v>
      </c>
      <c r="AG8" s="563"/>
      <c r="AH8" s="563"/>
      <c r="AI8" s="563"/>
      <c r="AJ8" s="563"/>
    </row>
    <row r="9" spans="2:36" ht="78.75" x14ac:dyDescent="0.25">
      <c r="B9" s="565"/>
      <c r="C9" s="565"/>
      <c r="D9" s="565"/>
      <c r="E9" s="574"/>
      <c r="F9" s="565"/>
      <c r="G9" s="574"/>
      <c r="H9" s="563"/>
      <c r="I9" s="563"/>
      <c r="J9" s="563"/>
      <c r="K9" s="563"/>
      <c r="L9" s="32" t="s">
        <v>11</v>
      </c>
      <c r="M9" s="32" t="s">
        <v>12</v>
      </c>
      <c r="N9" s="32" t="s">
        <v>11</v>
      </c>
      <c r="O9" s="32" t="s">
        <v>12</v>
      </c>
      <c r="P9" s="32" t="s">
        <v>11</v>
      </c>
      <c r="Q9" s="32" t="s">
        <v>12</v>
      </c>
      <c r="R9" s="32" t="s">
        <v>11</v>
      </c>
      <c r="S9" s="32" t="s">
        <v>12</v>
      </c>
      <c r="T9" s="565"/>
      <c r="U9" s="563"/>
      <c r="V9" s="563"/>
      <c r="W9" s="563"/>
      <c r="X9" s="563"/>
      <c r="Y9" s="563"/>
      <c r="Z9" s="563"/>
      <c r="AA9" s="563"/>
      <c r="AB9" s="563"/>
      <c r="AC9" s="14" t="s">
        <v>24</v>
      </c>
      <c r="AD9" s="14" t="s">
        <v>24</v>
      </c>
      <c r="AE9" s="14" t="s">
        <v>24</v>
      </c>
      <c r="AF9" s="14" t="s">
        <v>24</v>
      </c>
      <c r="AG9" s="563"/>
      <c r="AH9" s="563"/>
      <c r="AI9" s="563"/>
      <c r="AJ9" s="563"/>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1" t="s">
        <v>10</v>
      </c>
      <c r="K31" s="572"/>
      <c r="L31" s="569"/>
      <c r="M31" s="570"/>
      <c r="N31" s="569"/>
      <c r="O31" s="570"/>
      <c r="P31" s="569"/>
      <c r="Q31" s="570"/>
      <c r="R31" s="569"/>
      <c r="S31" s="57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8"/>
  <sheetViews>
    <sheetView showGridLines="0" topLeftCell="A4" zoomScale="86" zoomScaleNormal="86" zoomScaleSheetLayoutView="80" workbookViewId="0">
      <selection activeCell="C25" sqref="C25"/>
    </sheetView>
  </sheetViews>
  <sheetFormatPr baseColWidth="10" defaultColWidth="11.5703125" defaultRowHeight="15" x14ac:dyDescent="0.25"/>
  <cols>
    <col min="1" max="1" width="3" style="86" customWidth="1"/>
    <col min="2" max="2" width="7.85546875" style="86" customWidth="1"/>
    <col min="3" max="3" width="51.7109375" style="86" customWidth="1"/>
    <col min="4" max="4" width="34.42578125" style="86" customWidth="1"/>
    <col min="5" max="6" width="20" style="86" customWidth="1"/>
    <col min="7" max="7" width="16.5703125" style="77" customWidth="1"/>
    <col min="8" max="8" width="18.140625" style="86"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1189934645.52</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SUM(F17:F29)</f>
        <v>744015561.67000008</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t="s">
        <v>1542</v>
      </c>
      <c r="E12" s="93"/>
      <c r="F12" s="93"/>
      <c r="G12" s="93"/>
      <c r="H12" s="76"/>
      <c r="I12" s="76"/>
      <c r="J12" s="76"/>
      <c r="K12" s="112"/>
    </row>
    <row r="13" spans="1:555" ht="18.75" x14ac:dyDescent="0.2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Construcción de los Proyectos de Infraestructura en la Ciudad Universitaria.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ht="45" x14ac:dyDescent="0.25">
      <c r="C17" s="521" t="s">
        <v>1546</v>
      </c>
      <c r="D17" s="158">
        <v>1</v>
      </c>
      <c r="E17" s="503">
        <v>68485254.260000005</v>
      </c>
      <c r="F17" s="507">
        <f t="shared" ref="F17:F29" si="0">D17*E17</f>
        <v>68485254.260000005</v>
      </c>
      <c r="G17" s="161" t="s">
        <v>129</v>
      </c>
      <c r="H17" s="142" t="s">
        <v>343</v>
      </c>
      <c r="I17" s="517" t="str">
        <f>VLOOKUP(H17,Presupuesto!$B$11:$C$565,2,0)</f>
        <v>CONSTRUCCIONES ADICIONES Y MEJORA DE EDIF (47100-00)</v>
      </c>
      <c r="J17" s="518" t="s">
        <v>1364</v>
      </c>
      <c r="K17" s="98" t="s">
        <v>394</v>
      </c>
      <c r="L17" s="519" t="s">
        <v>1366</v>
      </c>
    </row>
    <row r="18" spans="3:12" s="466" customFormat="1" ht="45" x14ac:dyDescent="0.25">
      <c r="C18" s="521" t="s">
        <v>1560</v>
      </c>
      <c r="D18" s="158">
        <v>1</v>
      </c>
      <c r="E18" s="514">
        <v>1489307.41</v>
      </c>
      <c r="F18" s="507">
        <f t="shared" si="0"/>
        <v>1489307.41</v>
      </c>
      <c r="G18" s="161" t="s">
        <v>129</v>
      </c>
      <c r="H18" s="142" t="s">
        <v>343</v>
      </c>
      <c r="I18" s="517" t="str">
        <f>VLOOKUP(H18,Presupuesto!$B$11:$C$565,2,0)</f>
        <v>CONSTRUCCIONES ADICIONES Y MEJORA DE EDIF (47100-00)</v>
      </c>
      <c r="J18" s="520" t="s">
        <v>1364</v>
      </c>
      <c r="K18" s="98" t="s">
        <v>404</v>
      </c>
      <c r="L18" s="519" t="s">
        <v>1366</v>
      </c>
    </row>
    <row r="19" spans="3:12" ht="45" x14ac:dyDescent="0.25">
      <c r="C19" s="521" t="s">
        <v>1547</v>
      </c>
      <c r="D19" s="158">
        <v>1</v>
      </c>
      <c r="E19" s="504">
        <v>115000000</v>
      </c>
      <c r="F19" s="507">
        <f t="shared" si="0"/>
        <v>115000000</v>
      </c>
      <c r="G19" s="161" t="s">
        <v>129</v>
      </c>
      <c r="H19" s="142" t="s">
        <v>343</v>
      </c>
      <c r="I19" s="517" t="str">
        <f>VLOOKUP(H19,Presupuesto!$B$11:$C$565,2,0)</f>
        <v>CONSTRUCCIONES ADICIONES Y MEJORA DE EDIF (47100-00)</v>
      </c>
      <c r="J19" s="519" t="str">
        <f>$J$17</f>
        <v>Gestión Administrativa y  financiera en apoyo al Desarrollo Académico</v>
      </c>
      <c r="K19" s="98" t="s">
        <v>394</v>
      </c>
      <c r="L19" s="519" t="s">
        <v>1366</v>
      </c>
    </row>
    <row r="20" spans="3:12" ht="45" x14ac:dyDescent="0.25">
      <c r="C20" s="521" t="s">
        <v>1558</v>
      </c>
      <c r="D20" s="158">
        <v>1</v>
      </c>
      <c r="E20" s="504">
        <v>299500000</v>
      </c>
      <c r="F20" s="507">
        <f t="shared" si="0"/>
        <v>299500000</v>
      </c>
      <c r="G20" s="161" t="s">
        <v>129</v>
      </c>
      <c r="H20" s="142" t="s">
        <v>343</v>
      </c>
      <c r="I20" s="517" t="str">
        <f>VLOOKUP(H20,Presupuesto!$B$11:$C$565,2,0)</f>
        <v>CONSTRUCCIONES ADICIONES Y MEJORA DE EDIF (47100-00)</v>
      </c>
      <c r="J20" s="519" t="str">
        <f t="shared" ref="J20:J29" si="1">$J$17</f>
        <v>Gestión Administrativa y  financiera en apoyo al Desarrollo Académico</v>
      </c>
      <c r="K20" s="98" t="s">
        <v>394</v>
      </c>
      <c r="L20" s="519" t="s">
        <v>1366</v>
      </c>
    </row>
    <row r="21" spans="3:12" ht="45" x14ac:dyDescent="0.25">
      <c r="C21" s="521" t="s">
        <v>1559</v>
      </c>
      <c r="D21" s="158">
        <v>1</v>
      </c>
      <c r="E21" s="504">
        <v>42000000</v>
      </c>
      <c r="F21" s="507">
        <f t="shared" si="0"/>
        <v>42000000</v>
      </c>
      <c r="G21" s="161" t="s">
        <v>129</v>
      </c>
      <c r="H21" s="142" t="s">
        <v>343</v>
      </c>
      <c r="I21" s="517" t="str">
        <f>VLOOKUP(H21,Presupuesto!$B$11:$C$565,2,0)</f>
        <v>CONSTRUCCIONES ADICIONES Y MEJORA DE EDIF (47100-00)</v>
      </c>
      <c r="J21" s="519" t="str">
        <f t="shared" si="1"/>
        <v>Gestión Administrativa y  financiera en apoyo al Desarrollo Académico</v>
      </c>
      <c r="K21" s="98" t="s">
        <v>394</v>
      </c>
      <c r="L21" s="519" t="s">
        <v>1366</v>
      </c>
    </row>
    <row r="22" spans="3:12" ht="45" x14ac:dyDescent="0.25">
      <c r="C22" s="521" t="s">
        <v>1561</v>
      </c>
      <c r="D22" s="158">
        <v>1</v>
      </c>
      <c r="E22" s="504">
        <v>24300000</v>
      </c>
      <c r="F22" s="507">
        <f t="shared" si="0"/>
        <v>24300000</v>
      </c>
      <c r="G22" s="161" t="s">
        <v>129</v>
      </c>
      <c r="H22" s="142" t="s">
        <v>343</v>
      </c>
      <c r="I22" s="517" t="str">
        <f>VLOOKUP(H22,Presupuesto!$B$11:$C$565,2,0)</f>
        <v>CONSTRUCCIONES ADICIONES Y MEJORA DE EDIF (47100-00)</v>
      </c>
      <c r="J22" s="519" t="str">
        <f t="shared" si="1"/>
        <v>Gestión Administrativa y  financiera en apoyo al Desarrollo Académico</v>
      </c>
      <c r="K22" s="98" t="s">
        <v>394</v>
      </c>
      <c r="L22" s="519" t="s">
        <v>1366</v>
      </c>
    </row>
    <row r="23" spans="3:12" ht="45" x14ac:dyDescent="0.25">
      <c r="C23" s="521" t="s">
        <v>1562</v>
      </c>
      <c r="D23" s="158">
        <v>1</v>
      </c>
      <c r="E23" s="504">
        <v>30000000</v>
      </c>
      <c r="F23" s="507">
        <f t="shared" si="0"/>
        <v>30000000</v>
      </c>
      <c r="G23" s="161" t="s">
        <v>129</v>
      </c>
      <c r="H23" s="142" t="s">
        <v>343</v>
      </c>
      <c r="I23" s="517" t="str">
        <f>VLOOKUP(H23,Presupuesto!$B$11:$C$565,2,0)</f>
        <v>CONSTRUCCIONES ADICIONES Y MEJORA DE EDIF (47100-00)</v>
      </c>
      <c r="J23" s="519" t="str">
        <f t="shared" si="1"/>
        <v>Gestión Administrativa y  financiera en apoyo al Desarrollo Académico</v>
      </c>
      <c r="K23" s="98" t="s">
        <v>394</v>
      </c>
      <c r="L23" s="519" t="s">
        <v>1366</v>
      </c>
    </row>
    <row r="24" spans="3:12" ht="45" x14ac:dyDescent="0.25">
      <c r="C24" s="521" t="s">
        <v>1563</v>
      </c>
      <c r="D24" s="158">
        <v>1</v>
      </c>
      <c r="E24" s="504">
        <v>30000000</v>
      </c>
      <c r="F24" s="507">
        <f t="shared" si="0"/>
        <v>30000000</v>
      </c>
      <c r="G24" s="161" t="s">
        <v>129</v>
      </c>
      <c r="H24" s="142" t="s">
        <v>343</v>
      </c>
      <c r="I24" s="517" t="str">
        <f>VLOOKUP(H24,Presupuesto!$B$11:$C$565,2,0)</f>
        <v>CONSTRUCCIONES ADICIONES Y MEJORA DE EDIF (47100-00)</v>
      </c>
      <c r="J24" s="519" t="str">
        <f t="shared" si="1"/>
        <v>Gestión Administrativa y  financiera en apoyo al Desarrollo Académico</v>
      </c>
      <c r="K24" s="98" t="s">
        <v>394</v>
      </c>
      <c r="L24" s="519" t="s">
        <v>1366</v>
      </c>
    </row>
    <row r="25" spans="3:12" ht="45" x14ac:dyDescent="0.25">
      <c r="C25" s="521" t="s">
        <v>1564</v>
      </c>
      <c r="D25" s="158">
        <v>1</v>
      </c>
      <c r="E25" s="504">
        <v>68000000</v>
      </c>
      <c r="F25" s="507">
        <f t="shared" si="0"/>
        <v>68000000</v>
      </c>
      <c r="G25" s="516" t="s">
        <v>1509</v>
      </c>
      <c r="H25" s="142" t="s">
        <v>343</v>
      </c>
      <c r="I25" s="517" t="str">
        <f>VLOOKUP(H25,Presupuesto!$B$11:$C$565,2,0)</f>
        <v>CONSTRUCCIONES ADICIONES Y MEJORA DE EDIF (47100-00)</v>
      </c>
      <c r="J25" s="519" t="str">
        <f t="shared" si="1"/>
        <v>Gestión Administrativa y  financiera en apoyo al Desarrollo Académico</v>
      </c>
      <c r="K25" s="98" t="s">
        <v>394</v>
      </c>
      <c r="L25" s="519" t="s">
        <v>1366</v>
      </c>
    </row>
    <row r="26" spans="3:12" ht="45" x14ac:dyDescent="0.25">
      <c r="C26" s="521" t="s">
        <v>1565</v>
      </c>
      <c r="D26" s="158">
        <v>1</v>
      </c>
      <c r="E26" s="504">
        <v>17000000</v>
      </c>
      <c r="F26" s="507">
        <f t="shared" si="0"/>
        <v>17000000</v>
      </c>
      <c r="G26" s="516" t="s">
        <v>1509</v>
      </c>
      <c r="H26" s="142" t="s">
        <v>343</v>
      </c>
      <c r="I26" s="517" t="str">
        <f>VLOOKUP(H26,Presupuesto!$B$11:$C$565,2,0)</f>
        <v>CONSTRUCCIONES ADICIONES Y MEJORA DE EDIF (47100-00)</v>
      </c>
      <c r="J26" s="519" t="str">
        <f t="shared" si="1"/>
        <v>Gestión Administrativa y  financiera en apoyo al Desarrollo Académico</v>
      </c>
      <c r="K26" s="98" t="s">
        <v>394</v>
      </c>
      <c r="L26" s="519" t="s">
        <v>1366</v>
      </c>
    </row>
    <row r="27" spans="3:12" ht="45" x14ac:dyDescent="0.25">
      <c r="C27" s="521" t="s">
        <v>1566</v>
      </c>
      <c r="D27" s="158">
        <v>1</v>
      </c>
      <c r="E27" s="504">
        <v>6375000</v>
      </c>
      <c r="F27" s="507">
        <f t="shared" si="0"/>
        <v>6375000</v>
      </c>
      <c r="G27" s="516" t="s">
        <v>1509</v>
      </c>
      <c r="H27" s="142" t="s">
        <v>343</v>
      </c>
      <c r="I27" s="517" t="str">
        <f>VLOOKUP(H27,Presupuesto!$B$11:$C$565,2,0)</f>
        <v>CONSTRUCCIONES ADICIONES Y MEJORA DE EDIF (47100-00)</v>
      </c>
      <c r="J27" s="519" t="str">
        <f t="shared" si="1"/>
        <v>Gestión Administrativa y  financiera en apoyo al Desarrollo Académico</v>
      </c>
      <c r="K27" s="98" t="s">
        <v>394</v>
      </c>
      <c r="L27" s="519" t="s">
        <v>1366</v>
      </c>
    </row>
    <row r="28" spans="3:12" ht="45" x14ac:dyDescent="0.25">
      <c r="C28" s="522" t="s">
        <v>1567</v>
      </c>
      <c r="D28" s="158">
        <v>1</v>
      </c>
      <c r="E28" s="505">
        <v>39366000</v>
      </c>
      <c r="F28" s="507">
        <f t="shared" si="0"/>
        <v>39366000</v>
      </c>
      <c r="G28" s="516" t="s">
        <v>1509</v>
      </c>
      <c r="H28" s="142" t="s">
        <v>343</v>
      </c>
      <c r="I28" s="517" t="str">
        <f>VLOOKUP(H28,Presupuesto!$B$11:$C$565,2,0)</f>
        <v>CONSTRUCCIONES ADICIONES Y MEJORA DE EDIF (47100-00)</v>
      </c>
      <c r="J28" s="519" t="str">
        <f t="shared" si="1"/>
        <v>Gestión Administrativa y  financiera en apoyo al Desarrollo Académico</v>
      </c>
      <c r="K28" s="98" t="s">
        <v>394</v>
      </c>
      <c r="L28" s="519" t="s">
        <v>1366</v>
      </c>
    </row>
    <row r="29" spans="3:12" ht="45.75" thickBot="1" x14ac:dyDescent="0.3">
      <c r="C29" s="540" t="s">
        <v>1568</v>
      </c>
      <c r="D29" s="541">
        <v>1</v>
      </c>
      <c r="E29" s="506">
        <v>2500000</v>
      </c>
      <c r="F29" s="508">
        <f t="shared" si="0"/>
        <v>2500000</v>
      </c>
      <c r="G29" s="542" t="s">
        <v>1509</v>
      </c>
      <c r="H29" s="543" t="s">
        <v>343</v>
      </c>
      <c r="I29" s="544" t="str">
        <f>VLOOKUP(H29,Presupuesto!$B$11:$C$565,2,0)</f>
        <v>CONSTRUCCIONES ADICIONES Y MEJORA DE EDIF (47100-00)</v>
      </c>
      <c r="J29" s="545" t="str">
        <f t="shared" si="1"/>
        <v>Gestión Administrativa y  financiera en apoyo al Desarrollo Académico</v>
      </c>
      <c r="K29" s="124" t="s">
        <v>394</v>
      </c>
      <c r="L29" s="545" t="s">
        <v>1366</v>
      </c>
    </row>
    <row r="30" spans="3:12" x14ac:dyDescent="0.25">
      <c r="F30" s="90"/>
      <c r="G30" s="89"/>
      <c r="H30" s="90"/>
      <c r="I30" s="90"/>
    </row>
    <row r="31" spans="3:12" ht="15.75" thickBot="1" x14ac:dyDescent="0.3"/>
    <row r="32" spans="3:12" ht="15.75" thickBot="1" x14ac:dyDescent="0.3">
      <c r="C32" s="157" t="s">
        <v>53</v>
      </c>
      <c r="D32" s="374">
        <f>SUM(F39:F45)</f>
        <v>353569083.85000002</v>
      </c>
      <c r="F32" s="70"/>
      <c r="G32" s="79"/>
      <c r="H32" s="70"/>
      <c r="I32" s="70"/>
    </row>
    <row r="33" spans="3:12" x14ac:dyDescent="0.25">
      <c r="C33" s="70"/>
      <c r="D33" s="31"/>
      <c r="E33" s="93"/>
      <c r="F33" s="93"/>
      <c r="G33" s="93"/>
      <c r="H33" s="76"/>
      <c r="I33" s="76"/>
      <c r="J33" s="76"/>
      <c r="K33" s="112"/>
    </row>
    <row r="34" spans="3:12" ht="15.75" x14ac:dyDescent="0.25">
      <c r="C34" s="303" t="s">
        <v>392</v>
      </c>
      <c r="D34" s="370" t="s">
        <v>1549</v>
      </c>
      <c r="E34" s="93"/>
      <c r="F34" s="93"/>
      <c r="G34" s="93"/>
      <c r="H34" s="76"/>
      <c r="I34" s="76"/>
      <c r="J34" s="76"/>
      <c r="K34" s="112"/>
    </row>
    <row r="35" spans="3:12" ht="18.75" x14ac:dyDescent="0.25">
      <c r="C35" s="211" t="str">
        <f>IFERROR(VLOOKUP(D34,'1. Desarrollo e Innov. Curricu.'!$E:$F,2,FALSE),IFERROR(VLOOKUP(D34,'2. Investigación Científica'!$E:$F,2,FALSE),IFERROR(VLOOKUP(D34,'3. Vinculación Univ. Sociedad'!$E:$F,2,FALSE),IFERROR(VLOOKUP(D34,'4. Docencia y Profesorado Univ.'!$E:$F,2,FALSE),IFERROR(VLOOKUP(D34,'5. Estudiantes y Graduados'!$E:$F,2,FALSE),IFERROR(VLOOKUP(D34,'11. Gestion Administrativa'!$E:$F,2,FALSE),IFERROR(VLOOKUP(D34,'13. Gestión Académica'!$E:$F,2,FALSE),IFERROR(VLOOKUP(D34,'8. Asegura. de la Calid. y M'!$E:$F,2,FALSE),IFERROR(VLOOKUP(D34,'6. Gestión del Conocimiento'!$E:$F,2,FALSE),IFERROR(VLOOKUP(D34,'15. Gobernabilidad y Proceso...'!$E:$F,2,FALSE),IFERROR(VLOOKUP(D34,'12. Gestión del Talento Humano'!$E:$F,2,FALSE),IFERROR(VLOOKUP(D34,'14. Internacional... de la E.S.'!$E:$F,2,FALSE),IFERROR(VLOOKUP(D34,'10. Posgrado'!$E:$F,2,FALSE),IFERROR(VLOOKUP(D34,'17. Gestión TIC'!$E:$F,2,FALSE),IFERROR(VLOOKUP(D34,'16. Desa. del Sistema Educ.Sup.'!$E:$F,2,FALSE),IFERROR(VLOOKUP(D34,'9. Cultura de Inno. Insti...'!$E:$F,2,FALSE),VLOOKUP(D34,'7. Lo Esencial de la Reforma U.'!$E:$F,2,0)))))))))))))))))</f>
        <v>Construcción de los Proyectos de Infraestructura en UNAH-VS.</v>
      </c>
      <c r="D35" s="31"/>
      <c r="E35" s="93"/>
      <c r="F35" s="93"/>
      <c r="G35" s="93"/>
      <c r="H35" s="76"/>
      <c r="I35" s="76"/>
      <c r="J35" s="76"/>
      <c r="K35" s="112"/>
    </row>
    <row r="36" spans="3:12" x14ac:dyDescent="0.25">
      <c r="E36" s="93"/>
      <c r="F36" s="93"/>
      <c r="G36" s="93"/>
      <c r="H36" s="76"/>
      <c r="I36" s="76"/>
      <c r="J36" s="76"/>
      <c r="K36" s="112"/>
    </row>
    <row r="37" spans="3:12" ht="15.75" thickBot="1" x14ac:dyDescent="0.3">
      <c r="F37" s="93"/>
      <c r="G37" s="76"/>
      <c r="H37" s="76"/>
      <c r="I37" s="76"/>
    </row>
    <row r="38" spans="3:12" ht="30.75" thickBot="1" x14ac:dyDescent="0.3">
      <c r="C38" s="129" t="s">
        <v>44</v>
      </c>
      <c r="D38" s="134" t="s">
        <v>55</v>
      </c>
      <c r="E38" s="136" t="s">
        <v>57</v>
      </c>
      <c r="F38" s="135" t="s">
        <v>27</v>
      </c>
      <c r="G38" s="133" t="s">
        <v>131</v>
      </c>
      <c r="H38" s="136" t="s">
        <v>46</v>
      </c>
      <c r="I38" s="133" t="s">
        <v>132</v>
      </c>
      <c r="J38" s="133" t="s">
        <v>410</v>
      </c>
      <c r="K38" s="133" t="s">
        <v>411</v>
      </c>
      <c r="L38" s="133" t="s">
        <v>121</v>
      </c>
    </row>
    <row r="39" spans="3:12" ht="45" x14ac:dyDescent="0.25">
      <c r="C39" s="521" t="s">
        <v>1551</v>
      </c>
      <c r="D39" s="158">
        <v>1</v>
      </c>
      <c r="E39" s="510">
        <v>74348514.129999995</v>
      </c>
      <c r="F39" s="511">
        <f t="shared" ref="F39:F45" si="2">D39*E39</f>
        <v>74348514.129999995</v>
      </c>
      <c r="G39" s="161" t="s">
        <v>129</v>
      </c>
      <c r="H39" s="142" t="s">
        <v>343</v>
      </c>
      <c r="I39" s="517" t="str">
        <f>VLOOKUP(H39,Presupuesto!$B$11:$C$565,2,0)</f>
        <v>CONSTRUCCIONES ADICIONES Y MEJORA DE EDIF (47100-00)</v>
      </c>
      <c r="J39" s="518" t="s">
        <v>1364</v>
      </c>
      <c r="K39" s="98" t="s">
        <v>394</v>
      </c>
      <c r="L39" s="519" t="s">
        <v>1366</v>
      </c>
    </row>
    <row r="40" spans="3:12" ht="45" x14ac:dyDescent="0.25">
      <c r="C40" s="521" t="s">
        <v>1552</v>
      </c>
      <c r="D40" s="158">
        <v>1</v>
      </c>
      <c r="E40" s="504">
        <v>7620569.7199999997</v>
      </c>
      <c r="F40" s="511">
        <f t="shared" si="2"/>
        <v>7620569.7199999997</v>
      </c>
      <c r="G40" s="161" t="s">
        <v>129</v>
      </c>
      <c r="H40" s="142" t="s">
        <v>343</v>
      </c>
      <c r="I40" s="517" t="str">
        <f>VLOOKUP(H40,Presupuesto!$B$11:$C$565,2,0)</f>
        <v>CONSTRUCCIONES ADICIONES Y MEJORA DE EDIF (47100-00)</v>
      </c>
      <c r="J40" s="519" t="str">
        <f>$J$39</f>
        <v>Gestión Administrativa y  financiera en apoyo al Desarrollo Académico</v>
      </c>
      <c r="K40" s="98" t="s">
        <v>394</v>
      </c>
      <c r="L40" s="519" t="s">
        <v>1366</v>
      </c>
    </row>
    <row r="41" spans="3:12" ht="45" x14ac:dyDescent="0.25">
      <c r="C41" s="521" t="s">
        <v>1569</v>
      </c>
      <c r="D41" s="158">
        <v>1</v>
      </c>
      <c r="E41" s="504">
        <v>3000000</v>
      </c>
      <c r="F41" s="511">
        <f t="shared" si="2"/>
        <v>3000000</v>
      </c>
      <c r="G41" s="516" t="s">
        <v>1509</v>
      </c>
      <c r="H41" s="142" t="s">
        <v>343</v>
      </c>
      <c r="I41" s="517" t="str">
        <f>VLOOKUP(H41,Presupuesto!$B$11:$C$565,2,0)</f>
        <v>CONSTRUCCIONES ADICIONES Y MEJORA DE EDIF (47100-00)</v>
      </c>
      <c r="J41" s="519" t="str">
        <f t="shared" ref="J41:J45" si="3">$J$39</f>
        <v>Gestión Administrativa y  financiera en apoyo al Desarrollo Académico</v>
      </c>
      <c r="K41" s="98" t="s">
        <v>394</v>
      </c>
      <c r="L41" s="519" t="s">
        <v>1366</v>
      </c>
    </row>
    <row r="42" spans="3:12" ht="45" x14ac:dyDescent="0.25">
      <c r="C42" s="521" t="s">
        <v>1570</v>
      </c>
      <c r="D42" s="158">
        <v>1</v>
      </c>
      <c r="E42" s="504">
        <v>10300000</v>
      </c>
      <c r="F42" s="511">
        <f t="shared" si="2"/>
        <v>10300000</v>
      </c>
      <c r="G42" s="516" t="s">
        <v>1509</v>
      </c>
      <c r="H42" s="142" t="s">
        <v>343</v>
      </c>
      <c r="I42" s="517" t="str">
        <f>VLOOKUP(H42,Presupuesto!$B$11:$C$565,2,0)</f>
        <v>CONSTRUCCIONES ADICIONES Y MEJORA DE EDIF (47100-00)</v>
      </c>
      <c r="J42" s="519" t="str">
        <f t="shared" si="3"/>
        <v>Gestión Administrativa y  financiera en apoyo al Desarrollo Académico</v>
      </c>
      <c r="K42" s="98" t="s">
        <v>399</v>
      </c>
      <c r="L42" s="519" t="s">
        <v>1366</v>
      </c>
    </row>
    <row r="43" spans="3:12" ht="45" x14ac:dyDescent="0.25">
      <c r="C43" s="521" t="s">
        <v>1571</v>
      </c>
      <c r="D43" s="158">
        <v>1</v>
      </c>
      <c r="E43" s="504">
        <v>8800000</v>
      </c>
      <c r="F43" s="511">
        <f t="shared" si="2"/>
        <v>8800000</v>
      </c>
      <c r="G43" s="516" t="s">
        <v>1509</v>
      </c>
      <c r="H43" s="142" t="s">
        <v>343</v>
      </c>
      <c r="I43" s="517" t="str">
        <f>VLOOKUP(H43,Presupuesto!$B$11:$C$565,2,0)</f>
        <v>CONSTRUCCIONES ADICIONES Y MEJORA DE EDIF (47100-00)</v>
      </c>
      <c r="J43" s="519" t="str">
        <f t="shared" si="3"/>
        <v>Gestión Administrativa y  financiera en apoyo al Desarrollo Académico</v>
      </c>
      <c r="K43" s="98" t="s">
        <v>399</v>
      </c>
      <c r="L43" s="519" t="s">
        <v>1366</v>
      </c>
    </row>
    <row r="44" spans="3:12" ht="45" x14ac:dyDescent="0.25">
      <c r="C44" s="521" t="s">
        <v>1572</v>
      </c>
      <c r="D44" s="158">
        <v>1</v>
      </c>
      <c r="E44" s="504">
        <v>12000000</v>
      </c>
      <c r="F44" s="511">
        <f t="shared" si="2"/>
        <v>12000000</v>
      </c>
      <c r="G44" s="516" t="s">
        <v>1509</v>
      </c>
      <c r="H44" s="142" t="s">
        <v>343</v>
      </c>
      <c r="I44" s="517" t="str">
        <f>VLOOKUP(H44,Presupuesto!$B$11:$C$565,2,0)</f>
        <v>CONSTRUCCIONES ADICIONES Y MEJORA DE EDIF (47100-00)</v>
      </c>
      <c r="J44" s="519" t="str">
        <f t="shared" si="3"/>
        <v>Gestión Administrativa y  financiera en apoyo al Desarrollo Académico</v>
      </c>
      <c r="K44" s="98" t="s">
        <v>394</v>
      </c>
      <c r="L44" s="519" t="s">
        <v>1366</v>
      </c>
    </row>
    <row r="45" spans="3:12" ht="45.75" thickBot="1" x14ac:dyDescent="0.3">
      <c r="C45" s="540" t="s">
        <v>1573</v>
      </c>
      <c r="D45" s="541">
        <v>1</v>
      </c>
      <c r="E45" s="506">
        <v>237500000</v>
      </c>
      <c r="F45" s="512">
        <f t="shared" si="2"/>
        <v>237500000</v>
      </c>
      <c r="G45" s="542" t="s">
        <v>1509</v>
      </c>
      <c r="H45" s="543" t="s">
        <v>343</v>
      </c>
      <c r="I45" s="544" t="str">
        <f>VLOOKUP(H45,Presupuesto!$B$11:$C$565,2,0)</f>
        <v>CONSTRUCCIONES ADICIONES Y MEJORA DE EDIF (47100-00)</v>
      </c>
      <c r="J45" s="545" t="str">
        <f t="shared" si="3"/>
        <v>Gestión Administrativa y  financiera en apoyo al Desarrollo Académico</v>
      </c>
      <c r="K45" s="124" t="s">
        <v>399</v>
      </c>
      <c r="L45" s="545" t="s">
        <v>1366</v>
      </c>
    </row>
    <row r="47" spans="3:12" ht="15.75" thickBot="1" x14ac:dyDescent="0.3"/>
    <row r="48" spans="3:12" ht="15.75" thickBot="1" x14ac:dyDescent="0.3">
      <c r="C48" s="157" t="s">
        <v>53</v>
      </c>
      <c r="D48" s="374">
        <f>SUM(F55:F56)</f>
        <v>15000000</v>
      </c>
      <c r="F48" s="70"/>
      <c r="G48" s="79"/>
      <c r="H48" s="70"/>
      <c r="I48" s="70"/>
    </row>
    <row r="49" spans="3:12" x14ac:dyDescent="0.25">
      <c r="C49" s="70"/>
      <c r="D49" s="31"/>
      <c r="E49" s="93"/>
      <c r="F49" s="93"/>
      <c r="G49" s="93"/>
      <c r="H49" s="76"/>
      <c r="I49" s="76"/>
      <c r="J49" s="76"/>
      <c r="K49" s="112"/>
    </row>
    <row r="50" spans="3:12" ht="15.75" x14ac:dyDescent="0.25">
      <c r="C50" s="303" t="s">
        <v>392</v>
      </c>
      <c r="D50" s="370" t="s">
        <v>1586</v>
      </c>
      <c r="E50" s="93"/>
      <c r="F50" s="93"/>
      <c r="G50" s="93"/>
      <c r="H50" s="76"/>
      <c r="I50" s="76"/>
      <c r="J50" s="76"/>
      <c r="K50" s="112"/>
    </row>
    <row r="51" spans="3:12" ht="18.75" x14ac:dyDescent="0.25">
      <c r="C51" s="211" t="str">
        <f>IFERROR(VLOOKUP(D50,'1. Desarrollo e Innov. Curricu.'!$E:$F,2,FALSE),IFERROR(VLOOKUP(D50,'2. Investigación Científica'!$E:$F,2,FALSE),IFERROR(VLOOKUP(D50,'3. Vinculación Univ. Sociedad'!$E:$F,2,FALSE),IFERROR(VLOOKUP(D50,'4. Docencia y Profesorado Univ.'!$E:$F,2,FALSE),IFERROR(VLOOKUP(D50,'5. Estudiantes y Graduados'!$E:$F,2,FALSE),IFERROR(VLOOKUP(D50,'11. Gestion Administrativa'!$E:$F,2,FALSE),IFERROR(VLOOKUP(D50,'13. Gestión Académica'!$E:$F,2,FALSE),IFERROR(VLOOKUP(D50,'8. Asegura. de la Calid. y M'!$E:$F,2,FALSE),IFERROR(VLOOKUP(D50,'6. Gestión del Conocimiento'!$E:$F,2,FALSE),IFERROR(VLOOKUP(D50,'15. Gobernabilidad y Proceso...'!$E:$F,2,FALSE),IFERROR(VLOOKUP(D50,'12. Gestión del Talento Humano'!$E:$F,2,FALSE),IFERROR(VLOOKUP(D50,'14. Internacional... de la E.S.'!$E:$F,2,FALSE),IFERROR(VLOOKUP(D50,'10. Posgrado'!$E:$F,2,FALSE),IFERROR(VLOOKUP(D50,'17. Gestión TIC'!$E:$F,2,FALSE),IFERROR(VLOOKUP(D50,'16. Desa. del Sistema Educ.Sup.'!$E:$F,2,FALSE),IFERROR(VLOOKUP(D50,'9. Cultura de Inno. Insti...'!$E:$F,2,FALSE),VLOOKUP(D50,'7. Lo Esencial de la Reforma U.'!$E:$F,2,0)))))))))))))))))</f>
        <v>Construcción de los Proyectos de Infraestructura en el CURLA.</v>
      </c>
      <c r="D51" s="31"/>
      <c r="E51" s="93"/>
      <c r="F51" s="93"/>
      <c r="G51" s="93"/>
      <c r="H51" s="76"/>
      <c r="I51" s="76"/>
      <c r="J51" s="76"/>
      <c r="K51" s="112"/>
    </row>
    <row r="52" spans="3:12" x14ac:dyDescent="0.25">
      <c r="E52" s="93"/>
      <c r="F52" s="93"/>
      <c r="G52" s="93"/>
      <c r="H52" s="76"/>
      <c r="I52" s="76"/>
      <c r="J52" s="76"/>
      <c r="K52" s="112"/>
    </row>
    <row r="53" spans="3:12" ht="15.75" thickBot="1" x14ac:dyDescent="0.3">
      <c r="F53" s="93"/>
      <c r="G53" s="76"/>
      <c r="H53" s="76"/>
      <c r="I53" s="76"/>
    </row>
    <row r="54" spans="3:12" ht="30.75" thickBot="1" x14ac:dyDescent="0.3">
      <c r="C54" s="129" t="s">
        <v>44</v>
      </c>
      <c r="D54" s="134" t="s">
        <v>55</v>
      </c>
      <c r="E54" s="136" t="s">
        <v>57</v>
      </c>
      <c r="F54" s="135" t="s">
        <v>27</v>
      </c>
      <c r="G54" s="133" t="s">
        <v>131</v>
      </c>
      <c r="H54" s="136" t="s">
        <v>46</v>
      </c>
      <c r="I54" s="133" t="s">
        <v>132</v>
      </c>
      <c r="J54" s="133" t="s">
        <v>410</v>
      </c>
      <c r="K54" s="133" t="s">
        <v>411</v>
      </c>
      <c r="L54" s="133" t="s">
        <v>121</v>
      </c>
    </row>
    <row r="55" spans="3:12" ht="45" x14ac:dyDescent="0.25">
      <c r="C55" s="521" t="s">
        <v>1574</v>
      </c>
      <c r="D55" s="158">
        <v>1</v>
      </c>
      <c r="E55" s="115">
        <v>7000000</v>
      </c>
      <c r="F55" s="97">
        <f t="shared" ref="F55:F56" si="4">D55*E55</f>
        <v>7000000</v>
      </c>
      <c r="G55" s="516" t="s">
        <v>1509</v>
      </c>
      <c r="H55" s="142" t="s">
        <v>343</v>
      </c>
      <c r="I55" s="517" t="str">
        <f>VLOOKUP(H55,Presupuesto!$B$11:$C$565,2,0)</f>
        <v>CONSTRUCCIONES ADICIONES Y MEJORA DE EDIF (47100-00)</v>
      </c>
      <c r="J55" s="518" t="s">
        <v>1364</v>
      </c>
      <c r="K55" s="98" t="s">
        <v>396</v>
      </c>
      <c r="L55" s="519" t="s">
        <v>1366</v>
      </c>
    </row>
    <row r="56" spans="3:12" ht="45.75" thickBot="1" x14ac:dyDescent="0.3">
      <c r="C56" s="540" t="s">
        <v>1575</v>
      </c>
      <c r="D56" s="541">
        <v>1</v>
      </c>
      <c r="E56" s="103">
        <v>8000000</v>
      </c>
      <c r="F56" s="105">
        <f t="shared" si="4"/>
        <v>8000000</v>
      </c>
      <c r="G56" s="542" t="s">
        <v>1509</v>
      </c>
      <c r="H56" s="543" t="s">
        <v>343</v>
      </c>
      <c r="I56" s="544" t="str">
        <f>VLOOKUP(H56,Presupuesto!$B$11:$C$565,2,0)</f>
        <v>CONSTRUCCIONES ADICIONES Y MEJORA DE EDIF (47100-00)</v>
      </c>
      <c r="J56" s="545" t="str">
        <f>$J$55</f>
        <v>Gestión Administrativa y  financiera en apoyo al Desarrollo Académico</v>
      </c>
      <c r="K56" s="124" t="s">
        <v>394</v>
      </c>
      <c r="L56" s="545" t="s">
        <v>1366</v>
      </c>
    </row>
    <row r="57" spans="3:12" x14ac:dyDescent="0.25">
      <c r="F57" s="90"/>
      <c r="G57" s="89"/>
      <c r="H57" s="90"/>
      <c r="I57" s="90"/>
    </row>
    <row r="58" spans="3:12" ht="15.75" thickBot="1" x14ac:dyDescent="0.3"/>
    <row r="59" spans="3:12" ht="15.75" thickBot="1" x14ac:dyDescent="0.3">
      <c r="C59" s="157" t="s">
        <v>53</v>
      </c>
      <c r="D59" s="374">
        <f>SUM(F66:F67)</f>
        <v>56350000</v>
      </c>
      <c r="F59" s="70"/>
      <c r="G59" s="79"/>
      <c r="H59" s="70"/>
      <c r="I59" s="70"/>
    </row>
    <row r="60" spans="3:12" x14ac:dyDescent="0.25">
      <c r="C60" s="70"/>
      <c r="D60" s="31"/>
      <c r="E60" s="93"/>
      <c r="F60" s="93"/>
      <c r="G60" s="93"/>
      <c r="H60" s="76"/>
      <c r="I60" s="76"/>
      <c r="J60" s="76"/>
      <c r="K60" s="112"/>
    </row>
    <row r="61" spans="3:12" ht="15.75" x14ac:dyDescent="0.25">
      <c r="C61" s="303" t="s">
        <v>392</v>
      </c>
      <c r="D61" s="370" t="s">
        <v>1587</v>
      </c>
      <c r="E61" s="93"/>
      <c r="F61" s="93"/>
      <c r="G61" s="93"/>
      <c r="H61" s="76"/>
      <c r="I61" s="76"/>
      <c r="J61" s="76"/>
      <c r="K61" s="112"/>
    </row>
    <row r="62" spans="3:12" ht="18.75" x14ac:dyDescent="0.25">
      <c r="C62" s="211" t="str">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Construcción de los Proyectos de Infraestructura en el CURNO.</v>
      </c>
      <c r="D62" s="31"/>
      <c r="E62" s="93"/>
      <c r="F62" s="93"/>
      <c r="G62" s="93"/>
      <c r="H62" s="76"/>
      <c r="I62" s="76"/>
      <c r="J62" s="76"/>
      <c r="K62" s="112"/>
    </row>
    <row r="63" spans="3:12" x14ac:dyDescent="0.25">
      <c r="E63" s="93"/>
      <c r="F63" s="93"/>
      <c r="G63" s="93"/>
      <c r="H63" s="76"/>
      <c r="I63" s="76"/>
      <c r="J63" s="76"/>
      <c r="K63" s="112"/>
    </row>
    <row r="64" spans="3:12" ht="15.75" thickBot="1" x14ac:dyDescent="0.3">
      <c r="F64" s="93"/>
      <c r="G64" s="76"/>
      <c r="H64" s="76"/>
      <c r="I64" s="76"/>
    </row>
    <row r="65" spans="3:12" ht="30.75" thickBot="1" x14ac:dyDescent="0.3">
      <c r="C65" s="129" t="s">
        <v>44</v>
      </c>
      <c r="D65" s="134" t="s">
        <v>55</v>
      </c>
      <c r="E65" s="136" t="s">
        <v>57</v>
      </c>
      <c r="F65" s="135" t="s">
        <v>27</v>
      </c>
      <c r="G65" s="133" t="s">
        <v>131</v>
      </c>
      <c r="H65" s="136" t="s">
        <v>46</v>
      </c>
      <c r="I65" s="133" t="s">
        <v>132</v>
      </c>
      <c r="J65" s="133" t="s">
        <v>410</v>
      </c>
      <c r="K65" s="133" t="s">
        <v>411</v>
      </c>
      <c r="L65" s="133" t="s">
        <v>121</v>
      </c>
    </row>
    <row r="66" spans="3:12" ht="45" x14ac:dyDescent="0.25">
      <c r="C66" s="521" t="s">
        <v>1576</v>
      </c>
      <c r="D66" s="158">
        <v>1</v>
      </c>
      <c r="E66" s="115">
        <v>28000000</v>
      </c>
      <c r="F66" s="97">
        <f t="shared" ref="F66:F67" si="5">D66*E66</f>
        <v>28000000</v>
      </c>
      <c r="G66" s="516" t="s">
        <v>1509</v>
      </c>
      <c r="H66" s="142" t="s">
        <v>343</v>
      </c>
      <c r="I66" s="517" t="str">
        <f>VLOOKUP(H66,Presupuesto!$B$11:$C$565,2,0)</f>
        <v>CONSTRUCCIONES ADICIONES Y MEJORA DE EDIF (47100-00)</v>
      </c>
      <c r="J66" s="518" t="s">
        <v>1364</v>
      </c>
      <c r="K66" s="98" t="s">
        <v>394</v>
      </c>
      <c r="L66" s="519" t="s">
        <v>1366</v>
      </c>
    </row>
    <row r="67" spans="3:12" ht="45.75" thickBot="1" x14ac:dyDescent="0.3">
      <c r="C67" s="540" t="s">
        <v>1577</v>
      </c>
      <c r="D67" s="541">
        <v>1</v>
      </c>
      <c r="E67" s="103">
        <v>28350000</v>
      </c>
      <c r="F67" s="105">
        <f t="shared" si="5"/>
        <v>28350000</v>
      </c>
      <c r="G67" s="542" t="s">
        <v>1509</v>
      </c>
      <c r="H67" s="543" t="s">
        <v>343</v>
      </c>
      <c r="I67" s="544" t="str">
        <f>VLOOKUP(H67,Presupuesto!$B$11:$C$565,2,0)</f>
        <v>CONSTRUCCIONES ADICIONES Y MEJORA DE EDIF (47100-00)</v>
      </c>
      <c r="J67" s="545" t="str">
        <f>$J$66</f>
        <v>Gestión Administrativa y  financiera en apoyo al Desarrollo Académico</v>
      </c>
      <c r="K67" s="124" t="s">
        <v>396</v>
      </c>
      <c r="L67" s="545" t="s">
        <v>1366</v>
      </c>
    </row>
    <row r="69" spans="3:12" ht="15.75" thickBot="1" x14ac:dyDescent="0.3"/>
    <row r="70" spans="3:12" ht="15.75" thickBot="1" x14ac:dyDescent="0.3">
      <c r="C70" s="157" t="s">
        <v>53</v>
      </c>
      <c r="D70" s="374">
        <f>SUM(F77:F77)</f>
        <v>7000000</v>
      </c>
      <c r="F70" s="70"/>
      <c r="G70" s="79"/>
      <c r="H70" s="70"/>
      <c r="I70" s="70"/>
    </row>
    <row r="71" spans="3:12" x14ac:dyDescent="0.25">
      <c r="C71" s="70"/>
      <c r="D71" s="31"/>
      <c r="E71" s="93"/>
      <c r="F71" s="93"/>
      <c r="G71" s="93"/>
      <c r="H71" s="76"/>
      <c r="I71" s="76"/>
      <c r="J71" s="76"/>
      <c r="K71" s="112"/>
    </row>
    <row r="72" spans="3:12" ht="15.75" x14ac:dyDescent="0.25">
      <c r="C72" s="303" t="s">
        <v>392</v>
      </c>
      <c r="D72" s="370" t="s">
        <v>1588</v>
      </c>
      <c r="E72" s="93"/>
      <c r="F72" s="93"/>
      <c r="G72" s="93"/>
      <c r="H72" s="76"/>
      <c r="I72" s="76"/>
      <c r="J72" s="76"/>
      <c r="K72" s="112"/>
    </row>
    <row r="73" spans="3:12" ht="18.75" x14ac:dyDescent="0.25">
      <c r="C73" s="211"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Construcción de los Proyectos de Infraestructura en el CURC.</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ht="45.75" thickBot="1" x14ac:dyDescent="0.3">
      <c r="C77" s="530" t="s">
        <v>1578</v>
      </c>
      <c r="D77" s="531">
        <v>1</v>
      </c>
      <c r="E77" s="532">
        <v>7000000</v>
      </c>
      <c r="F77" s="533">
        <f t="shared" ref="F77" si="6">D77*E77</f>
        <v>7000000</v>
      </c>
      <c r="G77" s="534" t="s">
        <v>1509</v>
      </c>
      <c r="H77" s="535" t="s">
        <v>343</v>
      </c>
      <c r="I77" s="536" t="str">
        <f>VLOOKUP(H77,Presupuesto!$B$11:$C$565,2,0)</f>
        <v>CONSTRUCCIONES ADICIONES Y MEJORA DE EDIF (47100-00)</v>
      </c>
      <c r="J77" s="537" t="s">
        <v>1364</v>
      </c>
      <c r="K77" s="538" t="s">
        <v>396</v>
      </c>
      <c r="L77" s="539" t="s">
        <v>1366</v>
      </c>
    </row>
    <row r="78" spans="3:12" x14ac:dyDescent="0.25">
      <c r="F78" s="90"/>
      <c r="G78" s="89"/>
      <c r="H78" s="90"/>
      <c r="I78" s="90"/>
    </row>
    <row r="79" spans="3:12" ht="15.75" thickBot="1" x14ac:dyDescent="0.3"/>
    <row r="80" spans="3:12" ht="15.75" thickBot="1" x14ac:dyDescent="0.3">
      <c r="C80" s="157" t="s">
        <v>53</v>
      </c>
      <c r="D80" s="374">
        <f>SUM(F87:F87)</f>
        <v>7000000</v>
      </c>
      <c r="F80" s="70"/>
      <c r="G80" s="79"/>
      <c r="H80" s="70"/>
      <c r="I80" s="70"/>
    </row>
    <row r="81" spans="3:12" x14ac:dyDescent="0.25">
      <c r="C81" s="70"/>
      <c r="D81" s="31"/>
      <c r="E81" s="93"/>
      <c r="F81" s="93"/>
      <c r="G81" s="93"/>
      <c r="H81" s="76"/>
      <c r="I81" s="76"/>
      <c r="J81" s="76"/>
      <c r="K81" s="112"/>
    </row>
    <row r="82" spans="3:12" ht="15.75" x14ac:dyDescent="0.25">
      <c r="C82" s="303" t="s">
        <v>392</v>
      </c>
      <c r="D82" s="370" t="s">
        <v>1589</v>
      </c>
      <c r="E82" s="93"/>
      <c r="F82" s="93"/>
      <c r="G82" s="93"/>
      <c r="H82" s="76"/>
      <c r="I82" s="76"/>
      <c r="J82" s="76"/>
      <c r="K82" s="112"/>
    </row>
    <row r="83" spans="3:12" ht="18.75" x14ac:dyDescent="0.25">
      <c r="C83" s="211"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Posgrado'!$E:$F,2,FALSE),IFERROR(VLOOKUP(D82,'17. Gestión TIC'!$E:$F,2,FALSE),IFERROR(VLOOKUP(D82,'16. Desa. del Sistema Educ.Sup.'!$E:$F,2,FALSE),IFERROR(VLOOKUP(D82,'9. Cultura de Inno. Insti...'!$E:$F,2,FALSE),VLOOKUP(D82,'7. Lo Esencial de la Reforma U.'!$E:$F,2,0)))))))))))))))))</f>
        <v>Construcción de los Proyectos de Infraestructura en el CURLP.</v>
      </c>
      <c r="D83" s="31"/>
      <c r="E83" s="93"/>
      <c r="F83" s="93"/>
      <c r="G83" s="93"/>
      <c r="H83" s="76"/>
      <c r="I83" s="76"/>
      <c r="J83" s="76"/>
      <c r="K83" s="112"/>
    </row>
    <row r="84" spans="3:12" x14ac:dyDescent="0.25">
      <c r="E84" s="93"/>
      <c r="F84" s="93"/>
      <c r="G84" s="93"/>
      <c r="H84" s="76"/>
      <c r="I84" s="76"/>
      <c r="J84" s="76"/>
      <c r="K84" s="112"/>
    </row>
    <row r="85" spans="3:12" ht="15.75" thickBot="1" x14ac:dyDescent="0.3">
      <c r="F85" s="93"/>
      <c r="G85" s="76"/>
      <c r="H85" s="76"/>
      <c r="I85" s="76"/>
    </row>
    <row r="86" spans="3:12" ht="30.75" thickBot="1" x14ac:dyDescent="0.3">
      <c r="C86" s="129" t="s">
        <v>44</v>
      </c>
      <c r="D86" s="134" t="s">
        <v>55</v>
      </c>
      <c r="E86" s="136" t="s">
        <v>57</v>
      </c>
      <c r="F86" s="135" t="s">
        <v>27</v>
      </c>
      <c r="G86" s="133" t="s">
        <v>131</v>
      </c>
      <c r="H86" s="136" t="s">
        <v>46</v>
      </c>
      <c r="I86" s="133" t="s">
        <v>132</v>
      </c>
      <c r="J86" s="133" t="s">
        <v>410</v>
      </c>
      <c r="K86" s="133" t="s">
        <v>411</v>
      </c>
      <c r="L86" s="133" t="s">
        <v>121</v>
      </c>
    </row>
    <row r="87" spans="3:12" ht="45.75" thickBot="1" x14ac:dyDescent="0.3">
      <c r="C87" s="530" t="s">
        <v>1579</v>
      </c>
      <c r="D87" s="531">
        <v>1</v>
      </c>
      <c r="E87" s="532">
        <v>7000000</v>
      </c>
      <c r="F87" s="533">
        <f t="shared" ref="F87" si="7">D87*E87</f>
        <v>7000000</v>
      </c>
      <c r="G87" s="534" t="s">
        <v>1509</v>
      </c>
      <c r="H87" s="535" t="s">
        <v>343</v>
      </c>
      <c r="I87" s="536" t="str">
        <f>VLOOKUP(H87,Presupuesto!$B$11:$C$565,2,0)</f>
        <v>CONSTRUCCIONES ADICIONES Y MEJORA DE EDIF (47100-00)</v>
      </c>
      <c r="J87" s="537" t="s">
        <v>1364</v>
      </c>
      <c r="K87" s="538" t="s">
        <v>396</v>
      </c>
      <c r="L87" s="539" t="s">
        <v>1366</v>
      </c>
    </row>
    <row r="90" spans="3:12" ht="15.75" thickBot="1" x14ac:dyDescent="0.3"/>
    <row r="91" spans="3:12" s="466" customFormat="1" ht="15.75" thickBot="1" x14ac:dyDescent="0.3">
      <c r="C91" s="157" t="s">
        <v>53</v>
      </c>
      <c r="D91" s="374">
        <f>SUM(F98:F98)</f>
        <v>7000000</v>
      </c>
      <c r="F91" s="70"/>
      <c r="G91" s="79"/>
      <c r="H91" s="70"/>
      <c r="I91" s="70"/>
    </row>
    <row r="92" spans="3:12" s="466" customFormat="1" x14ac:dyDescent="0.25">
      <c r="C92" s="70"/>
      <c r="D92" s="31"/>
      <c r="E92" s="93"/>
      <c r="F92" s="93"/>
      <c r="G92" s="93"/>
      <c r="H92" s="76"/>
      <c r="I92" s="76"/>
      <c r="J92" s="76"/>
      <c r="K92" s="112"/>
    </row>
    <row r="93" spans="3:12" s="466" customFormat="1" ht="15.75" x14ac:dyDescent="0.25">
      <c r="C93" s="303" t="s">
        <v>392</v>
      </c>
      <c r="D93" s="370" t="s">
        <v>1590</v>
      </c>
      <c r="E93" s="93"/>
      <c r="F93" s="93"/>
      <c r="G93" s="93"/>
      <c r="H93" s="76"/>
      <c r="I93" s="76"/>
      <c r="J93" s="76"/>
      <c r="K93" s="112"/>
    </row>
    <row r="94" spans="3:12" s="466" customFormat="1" ht="18.75" x14ac:dyDescent="0.25">
      <c r="C94" s="211"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Construcción de los Proyectos de Infraestructura en el CUROC.</v>
      </c>
      <c r="D94" s="31"/>
      <c r="E94" s="93"/>
      <c r="F94" s="93"/>
      <c r="G94" s="93"/>
      <c r="H94" s="76"/>
      <c r="I94" s="76"/>
      <c r="J94" s="76"/>
      <c r="K94" s="112"/>
    </row>
    <row r="95" spans="3:12" s="466" customFormat="1" x14ac:dyDescent="0.25">
      <c r="E95" s="93"/>
      <c r="F95" s="93"/>
      <c r="G95" s="93"/>
      <c r="H95" s="76"/>
      <c r="I95" s="76"/>
      <c r="J95" s="76"/>
      <c r="K95" s="112"/>
    </row>
    <row r="96" spans="3:12" s="466" customFormat="1" ht="15.75" thickBot="1" x14ac:dyDescent="0.3">
      <c r="F96" s="93"/>
      <c r="G96" s="76"/>
      <c r="H96" s="76"/>
      <c r="I96" s="76"/>
    </row>
    <row r="97" spans="3:12" s="466" customFormat="1" ht="30.75" thickBot="1" x14ac:dyDescent="0.3">
      <c r="C97" s="129" t="s">
        <v>44</v>
      </c>
      <c r="D97" s="134" t="s">
        <v>55</v>
      </c>
      <c r="E97" s="136" t="s">
        <v>57</v>
      </c>
      <c r="F97" s="135" t="s">
        <v>27</v>
      </c>
      <c r="G97" s="133" t="s">
        <v>131</v>
      </c>
      <c r="H97" s="136" t="s">
        <v>46</v>
      </c>
      <c r="I97" s="133" t="s">
        <v>132</v>
      </c>
      <c r="J97" s="133" t="s">
        <v>410</v>
      </c>
      <c r="K97" s="133" t="s">
        <v>411</v>
      </c>
      <c r="L97" s="133" t="s">
        <v>121</v>
      </c>
    </row>
    <row r="98" spans="3:12" s="466" customFormat="1" ht="45.75" thickBot="1" x14ac:dyDescent="0.3">
      <c r="C98" s="530" t="s">
        <v>1580</v>
      </c>
      <c r="D98" s="531">
        <v>1</v>
      </c>
      <c r="E98" s="532">
        <v>7000000</v>
      </c>
      <c r="F98" s="533">
        <f t="shared" ref="F98" si="8">D98*E98</f>
        <v>7000000</v>
      </c>
      <c r="G98" s="534" t="s">
        <v>1509</v>
      </c>
      <c r="H98" s="535" t="s">
        <v>343</v>
      </c>
      <c r="I98" s="536" t="str">
        <f>VLOOKUP(H98,Presupuesto!$B$11:$C$565,2,0)</f>
        <v>CONSTRUCCIONES ADICIONES Y MEJORA DE EDIF (47100-00)</v>
      </c>
      <c r="J98" s="537" t="s">
        <v>1364</v>
      </c>
      <c r="K98" s="538" t="s">
        <v>396</v>
      </c>
      <c r="L98" s="539" t="s">
        <v>1366</v>
      </c>
    </row>
  </sheetData>
  <dataValidations count="6">
    <dataValidation type="list" allowBlank="1" showInputMessage="1" showErrorMessage="1" errorTitle="¡Ingreso Inválido!" error="Seleccione una opción de la lista." promptTitle="Tipo de Presupuesto" prompt="Seleccione una opción de la lista." sqref="G98 G87 G66:G67 G39:G45 G17:G29 G55:G56 G77">
      <formula1>$R$2:$S$2</formula1>
    </dataValidation>
    <dataValidation type="list" allowBlank="1" showInputMessage="1" showErrorMessage="1" errorTitle="¡Ingreso Inválido!" error="Seleccione una opción de la lista" promptTitle="Mes Requerido" prompt="Seleccione el mes en el que requiere el recurso." sqref="K98 K87 K66:K67 K39:K45 K17:K29 K55:K56 K77">
      <formula1>$U$2:$AF$2</formula1>
    </dataValidation>
    <dataValidation type="list" allowBlank="1" showInputMessage="1" showErrorMessage="1" errorTitle="¡Ingreso Inválido!" error="Seleccione una opción de la lista." promptTitle="Proyecto" prompt="Seleccione una opción." sqref="L98 L87 L66:L67 L39:L45 L17:L29 L55:L56 L77">
      <formula1>$M$2:$O$2</formula1>
    </dataValidation>
    <dataValidation type="list" allowBlank="1" showInputMessage="1" showErrorMessage="1" errorTitle="¡Ingreso Inválido!" error="Verifique el valor ingresado." promptTitle="Ingrese el Objeto de Gasto" prompt="Ingrese el Objeto de Gasto" sqref="H98 H87 H66:H67 H39:H45 H17:H29 H55:H56 H77">
      <formula1>$A$1:$UI$1</formula1>
    </dataValidation>
    <dataValidation type="list" allowBlank="1" showInputMessage="1" showErrorMessage="1" errorTitle="¡Ingreso Inválido!" error="Seleccione una opción de la lista." promptTitle="Dimensión Estratégica" prompt="Seleccione una opción de la lista." sqref="J56 J67 J40:J45 J19:J29">
      <formula1>$A$2:$P$2</formula1>
    </dataValidation>
    <dataValidation type="list" allowBlank="1" showInputMessage="1" showErrorMessage="1" errorTitle="¡Ingreso Inválido!" error="Seleccione una opción de la lista." promptTitle="Dimensión Estratégica" prompt="Seleccione una opción de la lista." sqref="J98 J87 J66 J39 J17:J18 J55 J7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87" t="s">
        <v>97</v>
      </c>
      <c r="B5" s="586" t="s">
        <v>111</v>
      </c>
      <c r="C5" s="589" t="s">
        <v>86</v>
      </c>
      <c r="D5" s="589" t="s">
        <v>87</v>
      </c>
      <c r="E5" s="589" t="s">
        <v>392</v>
      </c>
      <c r="F5" s="589" t="s">
        <v>88</v>
      </c>
      <c r="G5" s="592" t="s">
        <v>100</v>
      </c>
      <c r="H5" s="598"/>
      <c r="I5" s="598"/>
      <c r="J5" s="598"/>
      <c r="K5" s="598"/>
      <c r="L5" s="598"/>
      <c r="M5" s="598"/>
      <c r="N5" s="593"/>
      <c r="O5" s="594" t="s">
        <v>101</v>
      </c>
      <c r="P5" s="595"/>
      <c r="Q5" s="586" t="s">
        <v>102</v>
      </c>
      <c r="R5" s="586" t="s">
        <v>103</v>
      </c>
      <c r="S5" s="586" t="s">
        <v>110</v>
      </c>
      <c r="T5" s="586" t="s">
        <v>109</v>
      </c>
      <c r="U5" s="583" t="s">
        <v>89</v>
      </c>
    </row>
    <row r="6" spans="1:21" ht="14.45" customHeight="1" x14ac:dyDescent="0.25">
      <c r="A6" s="587"/>
      <c r="B6" s="587"/>
      <c r="C6" s="590"/>
      <c r="D6" s="590"/>
      <c r="E6" s="590"/>
      <c r="F6" s="590"/>
      <c r="G6" s="592" t="s">
        <v>104</v>
      </c>
      <c r="H6" s="593"/>
      <c r="I6" s="592" t="s">
        <v>105</v>
      </c>
      <c r="J6" s="593"/>
      <c r="K6" s="592" t="s">
        <v>106</v>
      </c>
      <c r="L6" s="593"/>
      <c r="M6" s="592" t="s">
        <v>107</v>
      </c>
      <c r="N6" s="593"/>
      <c r="O6" s="596"/>
      <c r="P6" s="597"/>
      <c r="Q6" s="587"/>
      <c r="R6" s="587"/>
      <c r="S6" s="587"/>
      <c r="T6" s="587"/>
      <c r="U6" s="584"/>
    </row>
    <row r="7" spans="1:21" ht="25.5" x14ac:dyDescent="0.25">
      <c r="A7" s="588"/>
      <c r="B7" s="588"/>
      <c r="C7" s="591"/>
      <c r="D7" s="591"/>
      <c r="E7" s="591"/>
      <c r="F7" s="591"/>
      <c r="G7" s="442" t="s">
        <v>108</v>
      </c>
      <c r="H7" s="442" t="s">
        <v>12</v>
      </c>
      <c r="I7" s="442" t="s">
        <v>108</v>
      </c>
      <c r="J7" s="442" t="s">
        <v>12</v>
      </c>
      <c r="K7" s="442" t="s">
        <v>108</v>
      </c>
      <c r="L7" s="442" t="s">
        <v>12</v>
      </c>
      <c r="M7" s="442" t="s">
        <v>108</v>
      </c>
      <c r="N7" s="442" t="s">
        <v>12</v>
      </c>
      <c r="O7" s="442" t="s">
        <v>108</v>
      </c>
      <c r="P7" s="442" t="s">
        <v>12</v>
      </c>
      <c r="Q7" s="588"/>
      <c r="R7" s="588"/>
      <c r="S7" s="588"/>
      <c r="T7" s="588"/>
      <c r="U7" s="585"/>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05" t="s">
        <v>1374</v>
      </c>
      <c r="B9" s="602"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606"/>
      <c r="B10" s="603"/>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606"/>
      <c r="B11" s="603"/>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606"/>
      <c r="B12" s="603"/>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606"/>
      <c r="B13" s="603"/>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606"/>
      <c r="B14" s="603"/>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606"/>
      <c r="B15" s="603"/>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606"/>
      <c r="B16" s="603"/>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606"/>
      <c r="B17" s="603"/>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607"/>
      <c r="B18" s="604"/>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99" t="s">
        <v>1376</v>
      </c>
      <c r="B19" s="599"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600"/>
      <c r="B20" s="600"/>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600"/>
      <c r="B21" s="600"/>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600"/>
      <c r="B22" s="600"/>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600"/>
      <c r="B23" s="600"/>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600"/>
      <c r="B24" s="600"/>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600"/>
      <c r="B25" s="600"/>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600"/>
      <c r="B26" s="600"/>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601"/>
      <c r="B27" s="601"/>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s="67" customFormat="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s="67" customFormat="1" ht="24" customHeight="1"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08" t="s">
        <v>1378</v>
      </c>
      <c r="B8" s="608"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609"/>
      <c r="B9" s="609"/>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609"/>
      <c r="B10" s="609"/>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609"/>
      <c r="B11" s="609"/>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609"/>
      <c r="B12" s="609"/>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609"/>
      <c r="B13" s="610"/>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609"/>
      <c r="B14" s="608"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609"/>
      <c r="B15" s="609"/>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609"/>
      <c r="B16" s="609"/>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609"/>
      <c r="B17" s="609"/>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609"/>
      <c r="B18" s="609"/>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609"/>
      <c r="B19" s="610"/>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609"/>
      <c r="B20" s="608"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609"/>
      <c r="B21" s="609"/>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609"/>
      <c r="B22" s="609"/>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609"/>
      <c r="B23" s="609"/>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609"/>
      <c r="B24" s="609"/>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609"/>
      <c r="B25" s="609"/>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609"/>
      <c r="B26" s="609"/>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609"/>
      <c r="B27" s="610"/>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609"/>
      <c r="B28" s="611"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609"/>
      <c r="B29" s="611"/>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609"/>
      <c r="B30" s="611"/>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609"/>
      <c r="B31" s="611"/>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609"/>
      <c r="B32" s="611"/>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609"/>
      <c r="B33" s="611"/>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609"/>
      <c r="B34" s="611"/>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609"/>
      <c r="B35" s="611"/>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609"/>
      <c r="B36" s="611"/>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609"/>
      <c r="B37" s="611"/>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609"/>
      <c r="B38" s="611"/>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609"/>
      <c r="B39" s="611"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609"/>
      <c r="B40" s="611"/>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609"/>
      <c r="B41" s="611"/>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609"/>
      <c r="B42" s="611"/>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609"/>
      <c r="B43" s="611"/>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609"/>
      <c r="B44" s="611"/>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609"/>
      <c r="B45" s="611"/>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609"/>
      <c r="B46" s="611"/>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87" t="s">
        <v>97</v>
      </c>
      <c r="B5" s="586" t="s">
        <v>111</v>
      </c>
      <c r="C5" s="589" t="s">
        <v>86</v>
      </c>
      <c r="D5" s="589" t="s">
        <v>87</v>
      </c>
      <c r="E5" s="589" t="s">
        <v>392</v>
      </c>
      <c r="F5" s="589" t="s">
        <v>88</v>
      </c>
      <c r="G5" s="592" t="s">
        <v>100</v>
      </c>
      <c r="H5" s="598"/>
      <c r="I5" s="598"/>
      <c r="J5" s="598"/>
      <c r="K5" s="598"/>
      <c r="L5" s="598"/>
      <c r="M5" s="598"/>
      <c r="N5" s="593"/>
      <c r="O5" s="594" t="s">
        <v>101</v>
      </c>
      <c r="P5" s="595"/>
      <c r="Q5" s="586" t="s">
        <v>102</v>
      </c>
      <c r="R5" s="586" t="s">
        <v>103</v>
      </c>
      <c r="S5" s="586" t="s">
        <v>110</v>
      </c>
      <c r="T5" s="586" t="s">
        <v>109</v>
      </c>
      <c r="U5" s="583" t="s">
        <v>89</v>
      </c>
    </row>
    <row r="6" spans="1:27" s="66" customFormat="1" ht="15" customHeight="1" x14ac:dyDescent="0.25">
      <c r="A6" s="587"/>
      <c r="B6" s="587"/>
      <c r="C6" s="590"/>
      <c r="D6" s="590"/>
      <c r="E6" s="590"/>
      <c r="F6" s="590"/>
      <c r="G6" s="592" t="s">
        <v>104</v>
      </c>
      <c r="H6" s="593"/>
      <c r="I6" s="592" t="s">
        <v>105</v>
      </c>
      <c r="J6" s="593"/>
      <c r="K6" s="592" t="s">
        <v>106</v>
      </c>
      <c r="L6" s="593"/>
      <c r="M6" s="592" t="s">
        <v>107</v>
      </c>
      <c r="N6" s="593"/>
      <c r="O6" s="596"/>
      <c r="P6" s="597"/>
      <c r="Q6" s="587"/>
      <c r="R6" s="587"/>
      <c r="S6" s="587"/>
      <c r="T6" s="587"/>
      <c r="U6" s="584"/>
    </row>
    <row r="7" spans="1:27" s="66" customFormat="1" ht="24" customHeight="1" x14ac:dyDescent="0.25">
      <c r="A7" s="588"/>
      <c r="B7" s="588"/>
      <c r="C7" s="591"/>
      <c r="D7" s="591"/>
      <c r="E7" s="591"/>
      <c r="F7" s="591"/>
      <c r="G7" s="442" t="s">
        <v>108</v>
      </c>
      <c r="H7" s="442" t="s">
        <v>12</v>
      </c>
      <c r="I7" s="442" t="s">
        <v>108</v>
      </c>
      <c r="J7" s="442" t="s">
        <v>12</v>
      </c>
      <c r="K7" s="442" t="s">
        <v>108</v>
      </c>
      <c r="L7" s="442" t="s">
        <v>12</v>
      </c>
      <c r="M7" s="442" t="s">
        <v>108</v>
      </c>
      <c r="N7" s="442" t="s">
        <v>12</v>
      </c>
      <c r="O7" s="442" t="s">
        <v>108</v>
      </c>
      <c r="P7" s="442" t="s">
        <v>12</v>
      </c>
      <c r="Q7" s="588"/>
      <c r="R7" s="588"/>
      <c r="S7" s="588"/>
      <c r="T7" s="588"/>
      <c r="U7" s="585"/>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612" t="s">
        <v>1461</v>
      </c>
      <c r="B9" s="611"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613"/>
      <c r="B10" s="611"/>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613"/>
      <c r="B11" s="611"/>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613"/>
      <c r="B12" s="611"/>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613"/>
      <c r="B13" s="611"/>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613"/>
      <c r="B14" s="611"/>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613"/>
      <c r="B15" s="611"/>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614"/>
      <c r="B16" s="611"/>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608" t="s">
        <v>1460</v>
      </c>
      <c r="B17" s="608"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609"/>
      <c r="B18" s="609"/>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609"/>
      <c r="B19" s="609"/>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609"/>
      <c r="B20" s="609"/>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609"/>
      <c r="B21" s="609"/>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609"/>
      <c r="B22" s="610"/>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609"/>
      <c r="B23" s="608"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609"/>
      <c r="B24" s="609"/>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609"/>
      <c r="B25" s="609"/>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609"/>
      <c r="B26" s="609"/>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609"/>
      <c r="B27" s="609"/>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609"/>
      <c r="B28" s="609"/>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609"/>
      <c r="B29" s="611"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609"/>
      <c r="B30" s="611"/>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609"/>
      <c r="B31" s="611"/>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609"/>
      <c r="B32" s="611"/>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609"/>
      <c r="B33" s="611"/>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609"/>
      <c r="B34" s="611"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609"/>
      <c r="B35" s="611"/>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609"/>
      <c r="B36" s="611"/>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609"/>
      <c r="B37" s="611"/>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609"/>
      <c r="B38" s="611"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609"/>
      <c r="B39" s="611"/>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609"/>
      <c r="B40" s="611"/>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609"/>
      <c r="B41" s="611"/>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609"/>
      <c r="B42" s="611"/>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608" t="s">
        <v>1461</v>
      </c>
      <c r="B43" s="611"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609"/>
      <c r="B44" s="611"/>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609"/>
      <c r="B45" s="611"/>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609"/>
      <c r="B46" s="611"/>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609"/>
      <c r="B47" s="611"/>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609"/>
      <c r="B48" s="611"/>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609"/>
      <c r="B49" s="611"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609"/>
      <c r="B50" s="611"/>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609"/>
      <c r="B51" s="611"/>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609"/>
      <c r="B52" s="611"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609"/>
      <c r="B53" s="611"/>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609"/>
      <c r="B54" s="611"/>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609"/>
      <c r="B55" s="611"/>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609"/>
      <c r="B56" s="611"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609"/>
      <c r="B57" s="611"/>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609"/>
      <c r="B58" s="611"/>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609"/>
      <c r="B59" s="611"/>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609"/>
      <c r="B60" s="611"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609"/>
      <c r="B61" s="611"/>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609"/>
      <c r="B62" s="611"/>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609"/>
      <c r="B63" s="611"/>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609"/>
      <c r="B64" s="616"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609"/>
      <c r="B65" s="617"/>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609"/>
      <c r="B66" s="617"/>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609"/>
      <c r="B67" s="618"/>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609"/>
      <c r="B68" s="615"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609"/>
      <c r="B69" s="615"/>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609"/>
      <c r="B70" s="615"/>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609"/>
      <c r="B71" s="616"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609"/>
      <c r="B72" s="617"/>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609"/>
      <c r="B73" s="618"/>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619" t="s">
        <v>1349</v>
      </c>
      <c r="B3" s="619"/>
      <c r="C3" s="619"/>
      <c r="D3" s="619"/>
      <c r="E3" s="619"/>
      <c r="F3" s="619"/>
      <c r="G3" s="619"/>
      <c r="H3" s="619"/>
      <c r="I3" s="619"/>
      <c r="J3" s="619"/>
      <c r="K3" s="619"/>
      <c r="L3" s="619"/>
      <c r="M3" s="619"/>
      <c r="N3" s="619"/>
      <c r="O3" s="619"/>
      <c r="P3" s="619"/>
      <c r="Q3" s="619"/>
      <c r="R3" s="619"/>
      <c r="S3" s="619"/>
      <c r="T3" s="619"/>
      <c r="U3" s="619"/>
    </row>
    <row r="4" spans="1:21" ht="1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ht="25.5"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08" t="s">
        <v>1381</v>
      </c>
      <c r="B8" s="608"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609"/>
      <c r="B9" s="609"/>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609"/>
      <c r="B10" s="609"/>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609"/>
      <c r="B11" s="609"/>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609"/>
      <c r="B12" s="609"/>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609"/>
      <c r="B13" s="609"/>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609"/>
      <c r="B14" s="609"/>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609"/>
      <c r="B15" s="609"/>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609"/>
      <c r="B16" s="609"/>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609"/>
      <c r="B17" s="609"/>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609"/>
      <c r="B18" s="609"/>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609"/>
      <c r="B19" s="609"/>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610"/>
      <c r="B20" s="610"/>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87" t="s">
        <v>97</v>
      </c>
      <c r="B6" s="586" t="s">
        <v>111</v>
      </c>
      <c r="C6" s="589" t="s">
        <v>86</v>
      </c>
      <c r="D6" s="589" t="s">
        <v>87</v>
      </c>
      <c r="E6" s="589" t="s">
        <v>392</v>
      </c>
      <c r="F6" s="589" t="s">
        <v>88</v>
      </c>
      <c r="G6" s="592" t="s">
        <v>100</v>
      </c>
      <c r="H6" s="598"/>
      <c r="I6" s="598"/>
      <c r="J6" s="598"/>
      <c r="K6" s="598"/>
      <c r="L6" s="598"/>
      <c r="M6" s="598"/>
      <c r="N6" s="593"/>
      <c r="O6" s="594" t="s">
        <v>101</v>
      </c>
      <c r="P6" s="595"/>
      <c r="Q6" s="586" t="s">
        <v>102</v>
      </c>
      <c r="R6" s="586" t="s">
        <v>103</v>
      </c>
      <c r="S6" s="586" t="s">
        <v>110</v>
      </c>
      <c r="T6" s="586" t="s">
        <v>109</v>
      </c>
      <c r="U6" s="583" t="s">
        <v>89</v>
      </c>
    </row>
    <row r="7" spans="1:27" ht="15" customHeight="1" x14ac:dyDescent="0.25">
      <c r="A7" s="587"/>
      <c r="B7" s="587"/>
      <c r="C7" s="590"/>
      <c r="D7" s="590"/>
      <c r="E7" s="590"/>
      <c r="F7" s="590"/>
      <c r="G7" s="592" t="s">
        <v>104</v>
      </c>
      <c r="H7" s="593"/>
      <c r="I7" s="592" t="s">
        <v>105</v>
      </c>
      <c r="J7" s="593"/>
      <c r="K7" s="592" t="s">
        <v>106</v>
      </c>
      <c r="L7" s="593"/>
      <c r="M7" s="592" t="s">
        <v>107</v>
      </c>
      <c r="N7" s="593"/>
      <c r="O7" s="596"/>
      <c r="P7" s="597"/>
      <c r="Q7" s="587"/>
      <c r="R7" s="587"/>
      <c r="S7" s="587"/>
      <c r="T7" s="587"/>
      <c r="U7" s="584"/>
    </row>
    <row r="8" spans="1:27" ht="25.5" x14ac:dyDescent="0.25">
      <c r="A8" s="588"/>
      <c r="B8" s="588"/>
      <c r="C8" s="591"/>
      <c r="D8" s="591"/>
      <c r="E8" s="591"/>
      <c r="F8" s="591"/>
      <c r="G8" s="442" t="s">
        <v>108</v>
      </c>
      <c r="H8" s="442" t="s">
        <v>12</v>
      </c>
      <c r="I8" s="442" t="s">
        <v>108</v>
      </c>
      <c r="J8" s="442" t="s">
        <v>12</v>
      </c>
      <c r="K8" s="442" t="s">
        <v>108</v>
      </c>
      <c r="L8" s="442" t="s">
        <v>12</v>
      </c>
      <c r="M8" s="442" t="s">
        <v>108</v>
      </c>
      <c r="N8" s="442" t="s">
        <v>12</v>
      </c>
      <c r="O8" s="442" t="s">
        <v>108</v>
      </c>
      <c r="P8" s="442" t="s">
        <v>12</v>
      </c>
      <c r="Q8" s="588"/>
      <c r="R8" s="588"/>
      <c r="S8" s="588"/>
      <c r="T8" s="588"/>
      <c r="U8" s="585"/>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08" t="s">
        <v>1385</v>
      </c>
      <c r="B10" s="608"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609"/>
      <c r="B11" s="609"/>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609"/>
      <c r="B12" s="609"/>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609"/>
      <c r="B13" s="609"/>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609"/>
      <c r="B14" s="609"/>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609"/>
      <c r="B15" s="610"/>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609"/>
      <c r="B16" s="608"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609"/>
      <c r="B17" s="609"/>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609"/>
      <c r="B18" s="609"/>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609"/>
      <c r="B19" s="609"/>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609"/>
      <c r="B20" s="610"/>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609"/>
      <c r="B21" s="608"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609"/>
      <c r="B22" s="609"/>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609"/>
      <c r="B23" s="609"/>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609"/>
      <c r="B24" s="610"/>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609"/>
      <c r="B25" s="611"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609"/>
      <c r="B26" s="611"/>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609"/>
      <c r="B27" s="611"/>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609"/>
      <c r="B28" s="611"/>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610"/>
      <c r="B29" s="611"/>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620" t="s">
        <v>478</v>
      </c>
      <c r="B30" s="621"/>
      <c r="C30" s="621"/>
      <c r="D30" s="621"/>
      <c r="E30" s="621"/>
      <c r="F30" s="621"/>
      <c r="G30" s="621"/>
      <c r="H30" s="621"/>
      <c r="I30" s="621"/>
      <c r="J30" s="621"/>
      <c r="K30" s="621"/>
      <c r="L30" s="621"/>
      <c r="M30" s="621"/>
      <c r="N30" s="621"/>
      <c r="O30" s="621"/>
      <c r="P30" s="621"/>
      <c r="Q30" s="621"/>
      <c r="R30" s="621"/>
      <c r="S30" s="621"/>
      <c r="T30" s="621"/>
      <c r="U30" s="622"/>
    </row>
    <row r="31" spans="1:21" ht="15.75" customHeight="1" x14ac:dyDescent="0.25">
      <c r="A31" s="608" t="s">
        <v>1395</v>
      </c>
      <c r="B31" s="611"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609"/>
      <c r="B32" s="611"/>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609"/>
      <c r="B33" s="611"/>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609"/>
      <c r="B34" s="611"/>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609"/>
      <c r="B35" s="611"/>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610"/>
      <c r="B36" s="611"/>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611" t="s">
        <v>1393</v>
      </c>
      <c r="B37" s="611"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611"/>
      <c r="B38" s="611"/>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611"/>
      <c r="B39" s="611"/>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611"/>
      <c r="B40" s="611"/>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611"/>
      <c r="B41" s="611"/>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611"/>
      <c r="B42" s="611"/>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s="66" customFormat="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s="67" customFormat="1" ht="25.5"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23" t="s">
        <v>1399</v>
      </c>
      <c r="B8" s="623"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623"/>
      <c r="B9" s="623"/>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623"/>
      <c r="B10" s="623"/>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623"/>
      <c r="B11" s="623"/>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623"/>
      <c r="B12" s="623"/>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623"/>
      <c r="B13" s="623"/>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623"/>
      <c r="B14" s="623"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623"/>
      <c r="B15" s="623"/>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623"/>
      <c r="B16" s="623"/>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623"/>
      <c r="B17" s="623"/>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623"/>
      <c r="B18" s="623"/>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623"/>
      <c r="B19" s="623"/>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623"/>
      <c r="B20" s="623"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623"/>
      <c r="B21" s="623"/>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623"/>
      <c r="B22" s="623"/>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623"/>
      <c r="B23" s="623"/>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623"/>
      <c r="B24" s="623"/>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623"/>
      <c r="B25" s="623"/>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623"/>
      <c r="B26" s="623"/>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87" t="s">
        <v>97</v>
      </c>
      <c r="B3" s="586" t="s">
        <v>111</v>
      </c>
      <c r="C3" s="589" t="s">
        <v>86</v>
      </c>
      <c r="D3" s="589" t="s">
        <v>87</v>
      </c>
      <c r="E3" s="589" t="s">
        <v>392</v>
      </c>
      <c r="F3" s="589" t="s">
        <v>88</v>
      </c>
      <c r="G3" s="592" t="s">
        <v>100</v>
      </c>
      <c r="H3" s="598"/>
      <c r="I3" s="598"/>
      <c r="J3" s="598"/>
      <c r="K3" s="598"/>
      <c r="L3" s="598"/>
      <c r="M3" s="598"/>
      <c r="N3" s="593"/>
      <c r="O3" s="594" t="s">
        <v>101</v>
      </c>
      <c r="P3" s="595"/>
      <c r="Q3" s="586" t="s">
        <v>102</v>
      </c>
      <c r="R3" s="586" t="s">
        <v>103</v>
      </c>
      <c r="S3" s="586" t="s">
        <v>110</v>
      </c>
      <c r="T3" s="586" t="s">
        <v>109</v>
      </c>
      <c r="U3" s="583" t="s">
        <v>89</v>
      </c>
    </row>
    <row r="4" spans="1:21" ht="15" customHeight="1" x14ac:dyDescent="0.25">
      <c r="A4" s="587"/>
      <c r="B4" s="587"/>
      <c r="C4" s="590"/>
      <c r="D4" s="590"/>
      <c r="E4" s="590"/>
      <c r="F4" s="590"/>
      <c r="G4" s="592" t="s">
        <v>104</v>
      </c>
      <c r="H4" s="593"/>
      <c r="I4" s="592" t="s">
        <v>105</v>
      </c>
      <c r="J4" s="593"/>
      <c r="K4" s="592" t="s">
        <v>106</v>
      </c>
      <c r="L4" s="593"/>
      <c r="M4" s="592" t="s">
        <v>107</v>
      </c>
      <c r="N4" s="593"/>
      <c r="O4" s="596"/>
      <c r="P4" s="597"/>
      <c r="Q4" s="587"/>
      <c r="R4" s="587"/>
      <c r="S4" s="587"/>
      <c r="T4" s="587"/>
      <c r="U4" s="584"/>
    </row>
    <row r="5" spans="1:21" ht="25.5" x14ac:dyDescent="0.25">
      <c r="A5" s="588"/>
      <c r="B5" s="588"/>
      <c r="C5" s="591"/>
      <c r="D5" s="591"/>
      <c r="E5" s="591"/>
      <c r="F5" s="591"/>
      <c r="G5" s="442" t="s">
        <v>108</v>
      </c>
      <c r="H5" s="442" t="s">
        <v>12</v>
      </c>
      <c r="I5" s="442" t="s">
        <v>108</v>
      </c>
      <c r="J5" s="442" t="s">
        <v>12</v>
      </c>
      <c r="K5" s="442" t="s">
        <v>108</v>
      </c>
      <c r="L5" s="442" t="s">
        <v>12</v>
      </c>
      <c r="M5" s="442" t="s">
        <v>108</v>
      </c>
      <c r="N5" s="442" t="s">
        <v>12</v>
      </c>
      <c r="O5" s="442" t="s">
        <v>108</v>
      </c>
      <c r="P5" s="442" t="s">
        <v>12</v>
      </c>
      <c r="Q5" s="588"/>
      <c r="R5" s="588"/>
      <c r="S5" s="588"/>
      <c r="T5" s="588"/>
      <c r="U5" s="585"/>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611" t="s">
        <v>1436</v>
      </c>
      <c r="B7" s="608"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611"/>
      <c r="B8" s="609"/>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611"/>
      <c r="B9" s="609"/>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611"/>
      <c r="B10" s="609"/>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611"/>
      <c r="B11" s="609"/>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611"/>
      <c r="B12" s="610"/>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609" t="s">
        <v>1437</v>
      </c>
      <c r="B13" s="608"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609"/>
      <c r="B14" s="609"/>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609"/>
      <c r="B15" s="609"/>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609"/>
      <c r="B16" s="609"/>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609"/>
      <c r="B17" s="609"/>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609"/>
      <c r="B18" s="609"/>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610"/>
      <c r="B19" s="610"/>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608" t="s">
        <v>1439</v>
      </c>
      <c r="B20" s="608"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609"/>
      <c r="B21" s="609"/>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609"/>
      <c r="B22" s="609"/>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609"/>
      <c r="B23" s="609"/>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609"/>
      <c r="B24" s="609"/>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609"/>
      <c r="B25" s="609"/>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610"/>
      <c r="B26" s="610"/>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608" t="s">
        <v>1441</v>
      </c>
      <c r="B27" s="608"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609"/>
      <c r="B28" s="609"/>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609"/>
      <c r="B29" s="609"/>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609"/>
      <c r="B30" s="609"/>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609"/>
      <c r="B31" s="609"/>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609"/>
      <c r="B32" s="609"/>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610"/>
      <c r="B33" s="610"/>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15"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24" t="s">
        <v>1402</v>
      </c>
      <c r="B3" s="624"/>
      <c r="C3" s="624"/>
      <c r="D3" s="624"/>
      <c r="E3" s="624"/>
      <c r="F3" s="624"/>
      <c r="G3" s="624"/>
      <c r="H3" s="624"/>
      <c r="I3" s="624"/>
      <c r="J3" s="624"/>
      <c r="K3" s="624"/>
      <c r="L3" s="624"/>
      <c r="M3" s="624"/>
      <c r="N3" s="624"/>
      <c r="O3" s="624"/>
      <c r="P3" s="624"/>
      <c r="Q3" s="624"/>
      <c r="R3" s="624"/>
      <c r="S3" s="624"/>
      <c r="T3" s="624"/>
      <c r="U3" s="624"/>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87" t="s">
        <v>97</v>
      </c>
      <c r="B6" s="586" t="s">
        <v>111</v>
      </c>
      <c r="C6" s="589" t="s">
        <v>86</v>
      </c>
      <c r="D6" s="589" t="s">
        <v>87</v>
      </c>
      <c r="E6" s="589" t="s">
        <v>392</v>
      </c>
      <c r="F6" s="589" t="s">
        <v>88</v>
      </c>
      <c r="G6" s="592" t="s">
        <v>100</v>
      </c>
      <c r="H6" s="598"/>
      <c r="I6" s="598"/>
      <c r="J6" s="598"/>
      <c r="K6" s="598"/>
      <c r="L6" s="598"/>
      <c r="M6" s="598"/>
      <c r="N6" s="593"/>
      <c r="O6" s="594" t="s">
        <v>101</v>
      </c>
      <c r="P6" s="595"/>
      <c r="Q6" s="586" t="s">
        <v>102</v>
      </c>
      <c r="R6" s="586" t="s">
        <v>103</v>
      </c>
      <c r="S6" s="586" t="s">
        <v>110</v>
      </c>
      <c r="T6" s="586" t="s">
        <v>109</v>
      </c>
      <c r="U6" s="583" t="s">
        <v>89</v>
      </c>
    </row>
    <row r="7" spans="1:21" ht="15" customHeight="1" x14ac:dyDescent="0.25">
      <c r="A7" s="587"/>
      <c r="B7" s="587"/>
      <c r="C7" s="590"/>
      <c r="D7" s="590"/>
      <c r="E7" s="590"/>
      <c r="F7" s="590"/>
      <c r="G7" s="592" t="s">
        <v>104</v>
      </c>
      <c r="H7" s="593"/>
      <c r="I7" s="592" t="s">
        <v>105</v>
      </c>
      <c r="J7" s="593"/>
      <c r="K7" s="592" t="s">
        <v>106</v>
      </c>
      <c r="L7" s="593"/>
      <c r="M7" s="592" t="s">
        <v>107</v>
      </c>
      <c r="N7" s="593"/>
      <c r="O7" s="596"/>
      <c r="P7" s="597"/>
      <c r="Q7" s="587"/>
      <c r="R7" s="587"/>
      <c r="S7" s="587"/>
      <c r="T7" s="587"/>
      <c r="U7" s="584"/>
    </row>
    <row r="8" spans="1:21" ht="25.5" x14ac:dyDescent="0.25">
      <c r="A8" s="588"/>
      <c r="B8" s="588"/>
      <c r="C8" s="591"/>
      <c r="D8" s="591"/>
      <c r="E8" s="591"/>
      <c r="F8" s="591"/>
      <c r="G8" s="442" t="s">
        <v>108</v>
      </c>
      <c r="H8" s="442" t="s">
        <v>12</v>
      </c>
      <c r="I8" s="442" t="s">
        <v>108</v>
      </c>
      <c r="J8" s="442" t="s">
        <v>12</v>
      </c>
      <c r="K8" s="442" t="s">
        <v>108</v>
      </c>
      <c r="L8" s="442" t="s">
        <v>12</v>
      </c>
      <c r="M8" s="442" t="s">
        <v>108</v>
      </c>
      <c r="N8" s="442" t="s">
        <v>12</v>
      </c>
      <c r="O8" s="442" t="s">
        <v>108</v>
      </c>
      <c r="P8" s="442" t="s">
        <v>12</v>
      </c>
      <c r="Q8" s="588"/>
      <c r="R8" s="588"/>
      <c r="S8" s="588"/>
      <c r="T8" s="588"/>
      <c r="U8" s="585"/>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626" t="s">
        <v>1402</v>
      </c>
      <c r="B10" s="626"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627"/>
      <c r="B11" s="627"/>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627"/>
      <c r="B12" s="627"/>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627"/>
      <c r="B13" s="627"/>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627"/>
      <c r="B14" s="627"/>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628"/>
      <c r="B15" s="628"/>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626" t="s">
        <v>1401</v>
      </c>
      <c r="B16" s="626"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627"/>
      <c r="B17" s="627"/>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627"/>
      <c r="B18" s="627"/>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627"/>
      <c r="B19" s="627"/>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627"/>
      <c r="B20" s="627"/>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627"/>
      <c r="B21" s="627"/>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627"/>
      <c r="B22" s="627"/>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627"/>
      <c r="B23" s="627"/>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627"/>
      <c r="B24" s="627"/>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625" t="s">
        <v>1477</v>
      </c>
      <c r="B25" s="625"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625"/>
      <c r="B26" s="625"/>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625"/>
      <c r="B27" s="625"/>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625"/>
      <c r="B28" s="625"/>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625"/>
      <c r="B29" s="625"/>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625"/>
      <c r="B30" s="625"/>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625"/>
      <c r="B31" s="625"/>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625"/>
      <c r="B32" s="625"/>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625"/>
      <c r="B33" s="625"/>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625"/>
      <c r="B34" s="625"/>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625"/>
      <c r="B35" s="625"/>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workbookViewId="0">
      <selection activeCell="C10" sqref="C10"/>
    </sheetView>
  </sheetViews>
  <sheetFormatPr baseColWidth="10" defaultColWidth="11.5703125" defaultRowHeight="15" x14ac:dyDescent="0.25"/>
  <cols>
    <col min="1" max="1" width="2.85546875" style="86" customWidth="1"/>
    <col min="2" max="2" width="35" style="86" customWidth="1"/>
    <col min="3" max="3" width="23.8554687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1.42578125" style="196" customWidth="1"/>
    <col min="10" max="10" width="15.85546875" style="86" bestFit="1" customWidth="1"/>
    <col min="11" max="16384" width="11.5703125" style="86"/>
  </cols>
  <sheetData>
    <row r="2" spans="2:9" ht="16.5" thickBot="1" x14ac:dyDescent="0.3">
      <c r="H2" s="575" t="s">
        <v>1369</v>
      </c>
      <c r="I2" s="575"/>
    </row>
    <row r="3" spans="2:9" ht="19.5" thickBot="1" x14ac:dyDescent="0.3">
      <c r="B3" s="81" t="s">
        <v>21</v>
      </c>
      <c r="C3" s="81" t="s">
        <v>391</v>
      </c>
      <c r="H3" s="424" t="s">
        <v>390</v>
      </c>
      <c r="I3" s="425" t="s">
        <v>391</v>
      </c>
    </row>
    <row r="4" spans="2:9" ht="18.75" x14ac:dyDescent="0.25">
      <c r="B4" s="82" t="s">
        <v>122</v>
      </c>
      <c r="C4" s="201">
        <f>'1. TALLERES SEMINARIOS'!D5</f>
        <v>0</v>
      </c>
      <c r="H4" s="417" t="s">
        <v>1357</v>
      </c>
      <c r="I4" s="420">
        <f>'1. Desarrollo e Innov. Curricu.'!P28</f>
        <v>0</v>
      </c>
    </row>
    <row r="5" spans="2:9" ht="18.75" x14ac:dyDescent="0.25">
      <c r="B5" s="82" t="s">
        <v>415</v>
      </c>
      <c r="C5" s="201">
        <f>'2. CONTRATACION DE PERSONAL'!D5</f>
        <v>8788143.9199999999</v>
      </c>
      <c r="H5" s="418" t="s">
        <v>1359</v>
      </c>
      <c r="I5" s="421">
        <f>'2. Investigación Científica'!P47</f>
        <v>0</v>
      </c>
    </row>
    <row r="6" spans="2:9" ht="18.75" x14ac:dyDescent="0.25">
      <c r="B6" s="82" t="s">
        <v>126</v>
      </c>
      <c r="C6" s="201">
        <f>'3. EQUIPO DE OFICINA'!D5</f>
        <v>102000</v>
      </c>
      <c r="H6" s="418" t="s">
        <v>471</v>
      </c>
      <c r="I6" s="421">
        <f>'3. Vinculación Univ. Sociedad'!P74</f>
        <v>0</v>
      </c>
    </row>
    <row r="7" spans="2:9" ht="19.5" thickBot="1" x14ac:dyDescent="0.3">
      <c r="B7" s="82" t="s">
        <v>416</v>
      </c>
      <c r="C7" s="201">
        <f>'4. EQUIPO TECNOLÓGICOS'!D5</f>
        <v>259000</v>
      </c>
      <c r="E7" s="428" t="s">
        <v>119</v>
      </c>
      <c r="F7" s="437" t="s">
        <v>1483</v>
      </c>
      <c r="H7" s="418" t="s">
        <v>1358</v>
      </c>
      <c r="I7" s="421">
        <f>'4. Docencia y Profesorado Univ.'!P21</f>
        <v>0</v>
      </c>
    </row>
    <row r="8" spans="2:9" ht="18.75" x14ac:dyDescent="0.25">
      <c r="B8" s="82" t="s">
        <v>127</v>
      </c>
      <c r="C8" s="201">
        <f>'5. ACTIVIDADES ESPECIALES'!D5</f>
        <v>3291283.8729999997</v>
      </c>
      <c r="E8" s="433" t="s">
        <v>1485</v>
      </c>
      <c r="F8" s="434">
        <f>Presupuesto!D566</f>
        <v>694457079.39300013</v>
      </c>
      <c r="H8" s="418" t="s">
        <v>1360</v>
      </c>
      <c r="I8" s="421">
        <f>'5. Estudiantes y Graduados'!P43</f>
        <v>0</v>
      </c>
    </row>
    <row r="9" spans="2:9" ht="19.5" thickBot="1" x14ac:dyDescent="0.3">
      <c r="B9" s="92" t="s">
        <v>386</v>
      </c>
      <c r="C9" s="83">
        <f>'6. Becas'!D5</f>
        <v>0</v>
      </c>
      <c r="E9" s="435" t="s">
        <v>1510</v>
      </c>
      <c r="F9" s="436">
        <f>Presupuesto!E566</f>
        <v>507917993.92000002</v>
      </c>
      <c r="H9" s="418" t="s">
        <v>472</v>
      </c>
      <c r="I9" s="421">
        <f>'6. Gestión del Conocimiento'!P27</f>
        <v>0</v>
      </c>
    </row>
    <row r="10" spans="2:9" ht="19.5" thickBot="1" x14ac:dyDescent="0.3">
      <c r="B10" s="92" t="s">
        <v>387</v>
      </c>
      <c r="C10" s="83">
        <f>'7. Infraestructura'!D5</f>
        <v>1189934645.52</v>
      </c>
      <c r="E10" s="438" t="s">
        <v>1484</v>
      </c>
      <c r="F10" s="439">
        <f>Presupuesto!F566</f>
        <v>1202375073.3130002</v>
      </c>
      <c r="G10" s="111"/>
      <c r="H10" s="418" t="s">
        <v>1361</v>
      </c>
      <c r="I10" s="422">
        <f>'7. Lo Esencial de la Reforma U.'!P34</f>
        <v>0</v>
      </c>
    </row>
    <row r="11" spans="2:9" ht="18.75" x14ac:dyDescent="0.25">
      <c r="B11" s="82" t="s">
        <v>418</v>
      </c>
      <c r="C11" s="83">
        <f>'8. Venta de Servicios'!D5</f>
        <v>0</v>
      </c>
      <c r="E11" s="440" t="s">
        <v>405</v>
      </c>
      <c r="F11" s="441">
        <f>Presupuesto!AR566</f>
        <v>1202375073.313</v>
      </c>
      <c r="G11" s="111"/>
      <c r="H11" s="418" t="s">
        <v>1478</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1202375073.313</v>
      </c>
      <c r="F13" s="111"/>
      <c r="G13" s="111"/>
      <c r="H13" s="419" t="s">
        <v>1454</v>
      </c>
      <c r="I13" s="423">
        <f>'10. Posgrado'!P43</f>
        <v>0</v>
      </c>
    </row>
    <row r="14" spans="2:9" ht="23.25" x14ac:dyDescent="0.25">
      <c r="B14" s="84"/>
      <c r="C14" s="85"/>
      <c r="F14" s="111"/>
      <c r="G14" s="111"/>
      <c r="H14" s="426" t="s">
        <v>125</v>
      </c>
      <c r="I14" s="427">
        <f>SUM(I4:I13)</f>
        <v>0</v>
      </c>
    </row>
    <row r="15" spans="2:9" ht="15.75" x14ac:dyDescent="0.25">
      <c r="F15" s="111"/>
      <c r="G15" s="111"/>
      <c r="H15" s="576"/>
      <c r="I15" s="576"/>
    </row>
    <row r="16" spans="2:9" ht="16.5" thickBot="1" x14ac:dyDescent="0.3">
      <c r="F16" s="111"/>
      <c r="G16" s="111"/>
      <c r="H16" s="577" t="s">
        <v>1371</v>
      </c>
      <c r="I16" s="577"/>
    </row>
    <row r="17" spans="2:15" ht="15.75" thickBot="1" x14ac:dyDescent="0.3">
      <c r="F17" s="111"/>
      <c r="G17" s="111"/>
      <c r="H17" s="428" t="s">
        <v>390</v>
      </c>
      <c r="I17" s="429" t="s">
        <v>391</v>
      </c>
      <c r="J17" s="196"/>
    </row>
    <row r="18" spans="2:15" x14ac:dyDescent="0.25">
      <c r="H18" s="480" t="s">
        <v>1364</v>
      </c>
      <c r="I18" s="481">
        <f>'11. Gestion Administrativa'!P40</f>
        <v>1202375073.3099999</v>
      </c>
      <c r="J18" s="196"/>
    </row>
    <row r="19" spans="2:15" x14ac:dyDescent="0.25">
      <c r="H19" s="482" t="s">
        <v>1365</v>
      </c>
      <c r="I19" s="483">
        <f>'12. Gestión del Talento Humano'!P21</f>
        <v>0</v>
      </c>
      <c r="J19" s="196"/>
    </row>
    <row r="20" spans="2:15" x14ac:dyDescent="0.25">
      <c r="B20" s="474" t="s">
        <v>1505</v>
      </c>
      <c r="C20" s="475">
        <v>21.981300000000001</v>
      </c>
      <c r="D20" s="474" t="s">
        <v>1508</v>
      </c>
      <c r="E20" s="476"/>
      <c r="H20" s="482" t="s">
        <v>1366</v>
      </c>
      <c r="I20" s="483">
        <f>'13. Gestión Académica'!P21</f>
        <v>0</v>
      </c>
      <c r="J20" s="196"/>
    </row>
    <row r="21" spans="2:15" x14ac:dyDescent="0.25">
      <c r="H21" s="482" t="s">
        <v>1367</v>
      </c>
      <c r="I21" s="483">
        <f>'14. Internacional... de la E.S.'!P36</f>
        <v>0</v>
      </c>
      <c r="J21" s="196"/>
    </row>
    <row r="22" spans="2:15" x14ac:dyDescent="0.25">
      <c r="H22" s="484" t="s">
        <v>1368</v>
      </c>
      <c r="I22" s="485">
        <f>'15. Gobernabilidad y Proceso...'!P29</f>
        <v>0</v>
      </c>
      <c r="J22" s="196"/>
    </row>
    <row r="23" spans="2:15" x14ac:dyDescent="0.25">
      <c r="H23" s="486" t="s">
        <v>1479</v>
      </c>
      <c r="I23" s="487">
        <f>'16. Desa. del Sistema Educ.Sup.'!P70</f>
        <v>0</v>
      </c>
      <c r="J23" s="196"/>
    </row>
    <row r="24" spans="2:15" s="466" customFormat="1" ht="15.75" thickBot="1" x14ac:dyDescent="0.3">
      <c r="H24" s="488" t="s">
        <v>1517</v>
      </c>
      <c r="I24" s="489">
        <f>'17. Gestión TIC'!P74</f>
        <v>0</v>
      </c>
      <c r="J24" s="196"/>
    </row>
    <row r="25" spans="2:15" ht="15.75" thickBot="1" x14ac:dyDescent="0.3">
      <c r="H25" s="478" t="s">
        <v>125</v>
      </c>
      <c r="I25" s="479">
        <f>SUM(I18:I23)</f>
        <v>1202375073.3099999</v>
      </c>
    </row>
    <row r="26" spans="2:15" ht="15.75" thickBot="1" x14ac:dyDescent="0.3"/>
    <row r="27" spans="2:15" ht="15.75" thickBot="1" x14ac:dyDescent="0.3">
      <c r="H27" s="430" t="s">
        <v>1370</v>
      </c>
      <c r="I27" s="431">
        <f>I14+I25</f>
        <v>1202375073.3099999</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22</v>
      </c>
      <c r="D54" s="238">
        <f>SUMIF('2. CONTRATACION DE PERSONAL'!$C:$C,'Cuadro Resumen'!$B$40:$B$56,'2. CONTRATACION DE PERSONAL'!$G:$G)</f>
        <v>6533266.0800000001</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6</v>
      </c>
      <c r="D56" s="238">
        <f>SUMIF('2. CONTRATACION DE PERSONAL'!$C:$C,'Cuadro Resumen'!$B$40:$B$56,'2. CONTRATACION DE PERSONAL'!$G:$G)</f>
        <v>1008000</v>
      </c>
    </row>
    <row r="57" spans="2:4" ht="23.25" x14ac:dyDescent="0.25">
      <c r="B57" s="84" t="s">
        <v>125</v>
      </c>
      <c r="C57" s="168">
        <f>SUBTOTAL(109,C40:C56)</f>
        <v>28</v>
      </c>
      <c r="D57" s="238">
        <f>SUM(D40:D56)</f>
        <v>7541266.0800000001</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12</v>
      </c>
      <c r="D75" s="239">
        <f>SUMIF('3. EQUIPO DE OFICINA'!$C:$C,'Cuadro Resumen'!$B$69:$B$78,'3. EQUIPO DE OFICINA'!$F:$F)</f>
        <v>102000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12</v>
      </c>
      <c r="D80" s="240">
        <f>SUM(D69:D79)</f>
        <v>102000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0</v>
      </c>
      <c r="D86" s="83">
        <f>SUMIF('4. EQUIPO TECNOLÓGICOS'!$C:$C,'Cuadro Resumen'!$B$86:$B$102,'4. EQUIPO TECNOLÓGICOS'!F:F)</f>
        <v>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10</v>
      </c>
      <c r="D89" s="83">
        <f>SUMIF('4. EQUIPO TECNOLÓGICOS'!$C:$C,'Cuadro Resumen'!$B$86:$B$102,'4. EQUIPO TECNOLÓGICOS'!F:F)</f>
        <v>150000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1482</v>
      </c>
      <c r="C99" s="83">
        <f>SUMIF('4. EQUIPO TECNOLÓGICOS'!C:C,'Cuadro Resumen'!$B$86:$B$102,'4. EQUIPO TECNOLÓGICOS'!D:D)</f>
        <v>10</v>
      </c>
      <c r="D99" s="83">
        <f>SUMIF('4. EQUIPO TECNOLÓGICOS'!$C:$C,'Cuadro Resumen'!$B$86:$B$102,'4. EQUIPO TECNOLÓGICOS'!F:F)</f>
        <v>15000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15</v>
      </c>
      <c r="D101" s="83">
        <f>SUMIF('4. EQUIPO TECNOLÓGICOS'!$C:$C,'Cuadro Resumen'!$B$86:$B$102,'4. EQUIPO TECNOLÓGICOS'!F:F)</f>
        <v>7500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36</v>
      </c>
      <c r="D103" s="85">
        <f>SUM(D86:D102)</f>
        <v>187500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78" t="s">
        <v>1498</v>
      </c>
      <c r="C198" s="578"/>
      <c r="D198" s="578"/>
      <c r="E198" s="578"/>
      <c r="F198" s="578"/>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579" t="s">
        <v>1505</v>
      </c>
      <c r="C207" s="579"/>
      <c r="D207" s="579"/>
      <c r="E207" s="477">
        <f>C20</f>
        <v>21.981300000000001</v>
      </c>
      <c r="F207" s="477"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78" t="s">
        <v>1498</v>
      </c>
      <c r="C210" s="578"/>
      <c r="D210" s="578"/>
      <c r="E210" s="578"/>
      <c r="F210" s="578"/>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24" t="s">
        <v>1407</v>
      </c>
      <c r="B3" s="624"/>
      <c r="C3" s="624"/>
      <c r="D3" s="624"/>
      <c r="E3" s="624"/>
      <c r="F3" s="624"/>
      <c r="G3" s="624"/>
      <c r="H3" s="624"/>
      <c r="I3" s="624"/>
      <c r="J3" s="624"/>
      <c r="K3" s="624"/>
      <c r="L3" s="624"/>
      <c r="M3" s="624"/>
      <c r="N3" s="624"/>
      <c r="O3" s="624"/>
      <c r="P3" s="624"/>
      <c r="Q3" s="624"/>
      <c r="R3" s="624"/>
      <c r="S3" s="624"/>
      <c r="T3" s="624"/>
      <c r="U3" s="624"/>
    </row>
    <row r="4" spans="1:21" ht="1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ht="25.5"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26" t="s">
        <v>1407</v>
      </c>
      <c r="B8" s="626"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627"/>
      <c r="B9" s="627"/>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627"/>
      <c r="B10" s="627"/>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627"/>
      <c r="B11" s="627"/>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627"/>
      <c r="B12" s="627"/>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627"/>
      <c r="B13" s="627"/>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627"/>
      <c r="B14" s="627"/>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627"/>
      <c r="B15" s="627"/>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627"/>
      <c r="B16" s="627"/>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627"/>
      <c r="B17" s="627"/>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627"/>
      <c r="B18" s="627"/>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627"/>
      <c r="B19" s="627"/>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628"/>
      <c r="B20" s="628"/>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24" t="s">
        <v>1451</v>
      </c>
      <c r="B3" s="624"/>
      <c r="C3" s="624"/>
      <c r="D3" s="624"/>
      <c r="E3" s="624"/>
      <c r="F3" s="624"/>
      <c r="G3" s="624"/>
      <c r="H3" s="624"/>
      <c r="I3" s="624"/>
      <c r="J3" s="624"/>
      <c r="K3" s="624"/>
      <c r="L3" s="624"/>
      <c r="M3" s="624"/>
      <c r="N3" s="624"/>
      <c r="O3" s="624"/>
      <c r="P3" s="624"/>
      <c r="Q3" s="624"/>
      <c r="R3" s="624"/>
      <c r="S3" s="624"/>
      <c r="T3" s="624"/>
      <c r="U3" s="624"/>
    </row>
    <row r="4" spans="1:21" ht="1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ht="25.5"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26" t="s">
        <v>1445</v>
      </c>
      <c r="B8" s="625"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627"/>
      <c r="B9" s="625"/>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627"/>
      <c r="B10" s="625"/>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627"/>
      <c r="B11" s="625"/>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627"/>
      <c r="B12" s="625"/>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627"/>
      <c r="B13" s="625"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627"/>
      <c r="B14" s="625"/>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627"/>
      <c r="B15" s="625"/>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627"/>
      <c r="B16" s="625"/>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627"/>
      <c r="B17" s="625"/>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627"/>
      <c r="B18" s="625"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627"/>
      <c r="B19" s="625"/>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627"/>
      <c r="B20" s="625"/>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627"/>
      <c r="B21" s="625"/>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627"/>
      <c r="B22" s="625"/>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627"/>
      <c r="B23" s="626"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627"/>
      <c r="B24" s="627"/>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627"/>
      <c r="B25" s="627"/>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627"/>
      <c r="B26" s="627"/>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627"/>
      <c r="B27" s="628"/>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627"/>
      <c r="B28" s="626"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627"/>
      <c r="B29" s="627"/>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627"/>
      <c r="B30" s="627"/>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627"/>
      <c r="B31" s="627"/>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627"/>
      <c r="B32" s="628"/>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627"/>
      <c r="B33" s="625"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627"/>
      <c r="B34" s="625"/>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627"/>
      <c r="B35" s="625"/>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627"/>
      <c r="B36" s="625"/>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627"/>
      <c r="B37" s="625"/>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627"/>
      <c r="B38" s="625"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627"/>
      <c r="B39" s="625"/>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627"/>
      <c r="B40" s="625"/>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627"/>
      <c r="B41" s="625"/>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627"/>
      <c r="B42" s="625"/>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zoomScaleNormal="100" workbookViewId="0">
      <pane ySplit="7" topLeftCell="A8" activePane="bottomLeft" state="frozen"/>
      <selection activeCell="Q6" sqref="Q6"/>
      <selection pane="bottomLeft" activeCell="H31" sqref="H31"/>
    </sheetView>
  </sheetViews>
  <sheetFormatPr baseColWidth="10" defaultColWidth="12.5703125" defaultRowHeight="15" x14ac:dyDescent="0.25"/>
  <cols>
    <col min="1" max="2" width="21.7109375" customWidth="1"/>
    <col min="3" max="3" width="27.42578125" customWidth="1"/>
    <col min="4" max="4" width="26.42578125" customWidth="1"/>
    <col min="5" max="6" width="27.42578125" customWidth="1"/>
    <col min="7" max="7" width="15.28515625" customWidth="1"/>
    <col min="8" max="8" width="20.42578125" bestFit="1" customWidth="1"/>
    <col min="9" max="9" width="15.28515625" customWidth="1"/>
    <col min="10" max="10" width="16.28515625" customWidth="1"/>
    <col min="11" max="11" width="15.28515625" customWidth="1"/>
    <col min="12" max="12" width="16.5703125" bestFit="1" customWidth="1"/>
    <col min="13" max="13" width="15.28515625" customWidth="1"/>
    <col min="14" max="14" width="16.5703125" bestFit="1" customWidth="1"/>
    <col min="15" max="15" width="15.28515625" customWidth="1"/>
    <col min="16" max="16" width="19.85546875" customWidth="1"/>
    <col min="17" max="17" width="14.28515625" hidden="1" customWidth="1"/>
    <col min="18" max="18" width="17.5703125" customWidth="1"/>
    <col min="19" max="19" width="16" customWidth="1"/>
    <col min="20" max="20" width="14.28515625" customWidth="1"/>
    <col min="21" max="21" width="15.7109375" customWidth="1"/>
    <col min="23" max="23" width="25.140625" customWidth="1"/>
    <col min="24" max="24" width="20.5703125" customWidth="1"/>
    <col min="25" max="26" width="13.5703125" bestFit="1" customWidth="1"/>
  </cols>
  <sheetData>
    <row r="1" spans="1:26" s="277" customFormat="1" ht="18.75" x14ac:dyDescent="0.3">
      <c r="G1" s="280" t="s">
        <v>1409</v>
      </c>
      <c r="L1" s="280"/>
      <c r="M1" s="280"/>
      <c r="N1" s="280"/>
      <c r="O1" s="280"/>
      <c r="P1" s="280"/>
      <c r="Q1" s="280"/>
      <c r="R1" s="280"/>
      <c r="S1" s="280"/>
      <c r="T1" s="280"/>
      <c r="U1" s="280"/>
    </row>
    <row r="2" spans="1:26" s="277" customFormat="1" ht="18.75" x14ac:dyDescent="0.3">
      <c r="A2" s="322" t="s">
        <v>1352</v>
      </c>
      <c r="G2" s="280"/>
      <c r="L2" s="280"/>
      <c r="M2" s="280"/>
      <c r="N2" s="280"/>
      <c r="O2" s="280"/>
      <c r="P2" s="280"/>
      <c r="Q2" s="280"/>
      <c r="R2" s="280"/>
      <c r="S2" s="280"/>
      <c r="T2" s="280"/>
      <c r="U2" s="280"/>
    </row>
    <row r="3" spans="1:26" s="277" customFormat="1" ht="27.75" customHeight="1" x14ac:dyDescent="0.2">
      <c r="A3" s="632" t="s">
        <v>1411</v>
      </c>
      <c r="B3" s="632"/>
      <c r="C3" s="632"/>
      <c r="D3" s="632"/>
      <c r="E3" s="632"/>
      <c r="F3" s="632"/>
      <c r="G3" s="632"/>
      <c r="H3" s="632"/>
      <c r="I3" s="632"/>
      <c r="J3" s="632"/>
      <c r="K3" s="632"/>
      <c r="L3" s="632"/>
      <c r="M3" s="632"/>
      <c r="N3" s="632"/>
      <c r="O3" s="632"/>
      <c r="P3" s="632"/>
      <c r="Q3" s="632"/>
      <c r="R3" s="632"/>
      <c r="S3" s="632"/>
      <c r="T3" s="632"/>
      <c r="U3" s="632"/>
    </row>
    <row r="4" spans="1:26" s="321" customFormat="1" x14ac:dyDescent="0.25">
      <c r="A4" s="633" t="s">
        <v>1417</v>
      </c>
      <c r="B4" s="633"/>
      <c r="C4" s="633"/>
      <c r="D4" s="633"/>
      <c r="E4" s="633"/>
      <c r="F4" s="633"/>
      <c r="G4" s="633"/>
      <c r="H4" s="633"/>
      <c r="I4" s="633"/>
      <c r="J4" s="633"/>
      <c r="K4" s="633"/>
      <c r="L4" s="633"/>
      <c r="M4" s="633"/>
      <c r="N4" s="633"/>
      <c r="O4" s="633"/>
      <c r="P4" s="633"/>
      <c r="Q4" s="633"/>
      <c r="R4" s="633"/>
      <c r="S4" s="633"/>
      <c r="T4" s="633"/>
      <c r="U4" s="633"/>
    </row>
    <row r="5" spans="1:26" s="66" customFormat="1" ht="23.25" customHeight="1" x14ac:dyDescent="0.25">
      <c r="A5" s="587" t="s">
        <v>97</v>
      </c>
      <c r="B5" s="586" t="s">
        <v>111</v>
      </c>
      <c r="C5" s="589" t="s">
        <v>86</v>
      </c>
      <c r="D5" s="589" t="s">
        <v>87</v>
      </c>
      <c r="E5" s="589" t="s">
        <v>392</v>
      </c>
      <c r="F5" s="589" t="s">
        <v>88</v>
      </c>
      <c r="G5" s="592" t="s">
        <v>100</v>
      </c>
      <c r="H5" s="598"/>
      <c r="I5" s="598"/>
      <c r="J5" s="598"/>
      <c r="K5" s="598"/>
      <c r="L5" s="598"/>
      <c r="M5" s="598"/>
      <c r="N5" s="593"/>
      <c r="O5" s="594" t="s">
        <v>101</v>
      </c>
      <c r="P5" s="595"/>
      <c r="Q5" s="586" t="s">
        <v>102</v>
      </c>
      <c r="R5" s="586" t="s">
        <v>103</v>
      </c>
      <c r="S5" s="586" t="s">
        <v>110</v>
      </c>
      <c r="T5" s="586" t="s">
        <v>109</v>
      </c>
      <c r="U5" s="583" t="s">
        <v>89</v>
      </c>
    </row>
    <row r="6" spans="1:26" s="66" customFormat="1" ht="15" customHeight="1" x14ac:dyDescent="0.25">
      <c r="A6" s="587"/>
      <c r="B6" s="587"/>
      <c r="C6" s="590"/>
      <c r="D6" s="590"/>
      <c r="E6" s="590"/>
      <c r="F6" s="590"/>
      <c r="G6" s="592" t="s">
        <v>104</v>
      </c>
      <c r="H6" s="593"/>
      <c r="I6" s="592" t="s">
        <v>105</v>
      </c>
      <c r="J6" s="593"/>
      <c r="K6" s="592" t="s">
        <v>106</v>
      </c>
      <c r="L6" s="593"/>
      <c r="M6" s="592" t="s">
        <v>107</v>
      </c>
      <c r="N6" s="593"/>
      <c r="O6" s="596"/>
      <c r="P6" s="597"/>
      <c r="Q6" s="587"/>
      <c r="R6" s="587"/>
      <c r="S6" s="587"/>
      <c r="T6" s="587"/>
      <c r="U6" s="584"/>
    </row>
    <row r="7" spans="1:26" s="67" customFormat="1" ht="24" customHeight="1" x14ac:dyDescent="0.25">
      <c r="A7" s="588"/>
      <c r="B7" s="588"/>
      <c r="C7" s="591"/>
      <c r="D7" s="591"/>
      <c r="E7" s="591"/>
      <c r="F7" s="591"/>
      <c r="G7" s="442" t="s">
        <v>108</v>
      </c>
      <c r="H7" s="442" t="s">
        <v>12</v>
      </c>
      <c r="I7" s="442" t="s">
        <v>108</v>
      </c>
      <c r="J7" s="442" t="s">
        <v>12</v>
      </c>
      <c r="K7" s="442" t="s">
        <v>108</v>
      </c>
      <c r="L7" s="442" t="s">
        <v>12</v>
      </c>
      <c r="M7" s="442" t="s">
        <v>108</v>
      </c>
      <c r="N7" s="442" t="s">
        <v>12</v>
      </c>
      <c r="O7" s="442" t="s">
        <v>108</v>
      </c>
      <c r="P7" s="442" t="s">
        <v>12</v>
      </c>
      <c r="Q7" s="588"/>
      <c r="R7" s="588"/>
      <c r="S7" s="588"/>
      <c r="T7" s="588"/>
      <c r="U7" s="585"/>
    </row>
    <row r="8" spans="1:26" s="261" customFormat="1" ht="15.75" x14ac:dyDescent="0.25">
      <c r="A8" s="501"/>
      <c r="B8" s="444"/>
      <c r="C8" s="445"/>
      <c r="D8" s="445"/>
      <c r="E8" s="446"/>
      <c r="F8" s="445"/>
      <c r="G8" s="447"/>
      <c r="H8" s="447"/>
      <c r="I8" s="447"/>
      <c r="J8" s="447"/>
      <c r="K8" s="447"/>
      <c r="L8" s="447"/>
      <c r="M8" s="447"/>
      <c r="N8" s="447"/>
      <c r="O8" s="447"/>
      <c r="P8" s="447"/>
      <c r="Q8" s="448"/>
      <c r="R8" s="448"/>
      <c r="S8" s="448"/>
      <c r="T8" s="448"/>
      <c r="U8" s="449"/>
    </row>
    <row r="9" spans="1:26" ht="15.75" hidden="1" x14ac:dyDescent="0.25">
      <c r="A9" s="611" t="s">
        <v>1412</v>
      </c>
      <c r="B9" s="608" t="s">
        <v>1413</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6" ht="15.75" hidden="1" x14ac:dyDescent="0.25">
      <c r="A10" s="611"/>
      <c r="B10" s="609"/>
      <c r="C10" s="278"/>
      <c r="D10" s="278"/>
      <c r="E10" s="278"/>
      <c r="F10" s="278"/>
      <c r="G10" s="364"/>
      <c r="H10" s="365"/>
      <c r="I10" s="278"/>
      <c r="J10" s="365"/>
      <c r="K10" s="278"/>
      <c r="L10" s="365"/>
      <c r="M10" s="278"/>
      <c r="N10" s="365"/>
      <c r="O10" s="402">
        <f t="shared" ref="O10:O39" si="1">G10+I10+K10+M10</f>
        <v>0</v>
      </c>
      <c r="P10" s="403">
        <f t="shared" ref="P10:P39" si="2">H10+J10+L10+N10</f>
        <v>0</v>
      </c>
      <c r="Q10" s="278"/>
      <c r="R10" s="278"/>
      <c r="S10" s="278"/>
      <c r="T10" s="278"/>
      <c r="U10" s="278"/>
    </row>
    <row r="11" spans="1:26" s="367" customFormat="1" ht="15.75" hidden="1" x14ac:dyDescent="0.25">
      <c r="A11" s="611"/>
      <c r="B11" s="609"/>
      <c r="C11" s="278"/>
      <c r="D11" s="278"/>
      <c r="E11" s="278"/>
      <c r="F11" s="278"/>
      <c r="G11" s="364"/>
      <c r="H11" s="365"/>
      <c r="I11" s="278"/>
      <c r="J11" s="365"/>
      <c r="K11" s="278"/>
      <c r="L11" s="365"/>
      <c r="M11" s="278"/>
      <c r="N11" s="365"/>
      <c r="O11" s="402">
        <f t="shared" si="1"/>
        <v>0</v>
      </c>
      <c r="P11" s="403">
        <f t="shared" si="2"/>
        <v>0</v>
      </c>
      <c r="Q11" s="278"/>
      <c r="R11" s="278"/>
      <c r="S11" s="278"/>
      <c r="T11" s="278"/>
      <c r="U11" s="278"/>
    </row>
    <row r="12" spans="1:26" ht="15.75" hidden="1" x14ac:dyDescent="0.25">
      <c r="A12" s="611"/>
      <c r="B12" s="609"/>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6" ht="15.75" hidden="1" x14ac:dyDescent="0.25">
      <c r="A13" s="611"/>
      <c r="B13" s="609"/>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6" ht="15.75" hidden="1" x14ac:dyDescent="0.25">
      <c r="A14" s="611"/>
      <c r="B14" s="610"/>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6" ht="147" customHeight="1" x14ac:dyDescent="0.25">
      <c r="A15" s="611"/>
      <c r="B15" s="608" t="s">
        <v>1414</v>
      </c>
      <c r="C15" s="278" t="s">
        <v>1540</v>
      </c>
      <c r="D15" s="278" t="s">
        <v>1541</v>
      </c>
      <c r="E15" s="278" t="s">
        <v>1542</v>
      </c>
      <c r="F15" s="278" t="s">
        <v>1545</v>
      </c>
      <c r="G15" s="523">
        <f>((H15-123885254.26)/P15)</f>
        <v>0.19353412404009135</v>
      </c>
      <c r="H15" s="365">
        <f>68485254.26+33500000+106000000+15000000+8100000+9100000+9100000+4000000+3000000+3187500+5904900+2500000</f>
        <v>267877654.25999999</v>
      </c>
      <c r="I15" s="523">
        <f>(J15-7000000)/P15</f>
        <v>0.18015913497714248</v>
      </c>
      <c r="J15" s="365">
        <f>27000000+64500000+9000000+5400000+6900000+6900000+4000000+3000000+3187500+11153700</f>
        <v>141041200</v>
      </c>
      <c r="K15" s="523">
        <f>(L15-4000000)/P15</f>
        <v>0.17587495039255474</v>
      </c>
      <c r="L15" s="365">
        <f>27000000+64500000+9000000+5400000+6900000+6900000+4000000+11153700</f>
        <v>134853700</v>
      </c>
      <c r="M15" s="523">
        <f>(N15-52500000)/P15</f>
        <v>0.1985751575926443</v>
      </c>
      <c r="N15" s="365">
        <f>1489307.41+27500000+64500000+9000000+5400000+7100000+7100000+56000000+11000000+11153700</f>
        <v>200243007.41</v>
      </c>
      <c r="O15" s="362">
        <f t="shared" si="1"/>
        <v>0.74814336700243289</v>
      </c>
      <c r="P15" s="403">
        <f t="shared" si="2"/>
        <v>744015561.66999996</v>
      </c>
      <c r="Q15" s="278"/>
      <c r="R15" s="278" t="s">
        <v>1543</v>
      </c>
      <c r="S15" s="278" t="s">
        <v>1557</v>
      </c>
      <c r="T15" s="278" t="s">
        <v>1554</v>
      </c>
      <c r="U15" s="278" t="s">
        <v>1544</v>
      </c>
      <c r="W15" s="515">
        <f>68485254.26+39800000+6000000+2600000+4000000+3000000</f>
        <v>123885254.26000001</v>
      </c>
      <c r="X15" s="515">
        <f>4000000+3000000</f>
        <v>7000000</v>
      </c>
      <c r="Y15" s="515">
        <f>4000000</f>
        <v>4000000</v>
      </c>
      <c r="Z15" s="515">
        <f>45000000+7500000</f>
        <v>52500000</v>
      </c>
    </row>
    <row r="16" spans="1:26" s="367" customFormat="1" ht="140.25" customHeight="1" x14ac:dyDescent="0.25">
      <c r="A16" s="611"/>
      <c r="B16" s="609"/>
      <c r="C16" s="278" t="s">
        <v>1548</v>
      </c>
      <c r="D16" s="278" t="s">
        <v>1541</v>
      </c>
      <c r="E16" s="278" t="s">
        <v>1549</v>
      </c>
      <c r="F16" s="278" t="s">
        <v>1550</v>
      </c>
      <c r="G16" s="523">
        <f>(H16-9870569.72)/P16</f>
        <v>0.22046190600496415</v>
      </c>
      <c r="H16" s="365">
        <f>74348514.13+7620569.72+2250000+3600000</f>
        <v>87819083.849999994</v>
      </c>
      <c r="I16" s="523">
        <f>(J16-750000)/P16</f>
        <v>7.6364142775148915E-3</v>
      </c>
      <c r="J16" s="365">
        <f>750000+2700000</f>
        <v>3450000</v>
      </c>
      <c r="K16" s="523">
        <f>(L16-78600000)/P16</f>
        <v>0.20901148707716685</v>
      </c>
      <c r="L16" s="365">
        <f>5200000+4600000+2700000+140000000</f>
        <v>152500000</v>
      </c>
      <c r="M16" s="523">
        <f>(N16/P16)</f>
        <v>0.31054751395227226</v>
      </c>
      <c r="N16" s="365">
        <f>5100000+4200000+3000000+97500000</f>
        <v>109800000</v>
      </c>
      <c r="O16" s="362">
        <f t="shared" si="1"/>
        <v>0.7476573213119182</v>
      </c>
      <c r="P16" s="403">
        <f t="shared" si="2"/>
        <v>353569083.85000002</v>
      </c>
      <c r="Q16" s="278"/>
      <c r="R16" s="278" t="s">
        <v>1553</v>
      </c>
      <c r="S16" s="278" t="s">
        <v>1556</v>
      </c>
      <c r="T16" s="278" t="s">
        <v>1555</v>
      </c>
      <c r="U16" s="278" t="s">
        <v>1544</v>
      </c>
      <c r="W16" s="515">
        <f>7620569.72+2250000</f>
        <v>9870569.7199999988</v>
      </c>
      <c r="X16" s="515">
        <f>750000</f>
        <v>750000</v>
      </c>
      <c r="Y16" s="515">
        <f>1800000+1800000+75000000</f>
        <v>78600000</v>
      </c>
      <c r="Z16" s="515"/>
    </row>
    <row r="17" spans="1:24" s="367" customFormat="1" ht="126" x14ac:dyDescent="0.25">
      <c r="A17" s="611"/>
      <c r="B17" s="609"/>
      <c r="C17" s="278" t="s">
        <v>1581</v>
      </c>
      <c r="D17" s="278" t="s">
        <v>1541</v>
      </c>
      <c r="E17" s="278" t="s">
        <v>1586</v>
      </c>
      <c r="F17" s="278" t="s">
        <v>1591</v>
      </c>
      <c r="G17" s="523">
        <f>H17/P17</f>
        <v>0.19333333333333333</v>
      </c>
      <c r="H17" s="365">
        <v>2900000</v>
      </c>
      <c r="I17" s="523">
        <f>J17/P17</f>
        <v>0.33916666666666667</v>
      </c>
      <c r="J17" s="365">
        <f>2537500+2550000</f>
        <v>5087500</v>
      </c>
      <c r="K17" s="523">
        <f>L17/P17</f>
        <v>0.31874999999999998</v>
      </c>
      <c r="L17" s="365">
        <f>2231250+2550000</f>
        <v>4781250</v>
      </c>
      <c r="M17" s="523">
        <f>N17/P17</f>
        <v>0.14874999999999999</v>
      </c>
      <c r="N17" s="365">
        <f>2231250</f>
        <v>2231250</v>
      </c>
      <c r="O17" s="362">
        <f t="shared" si="1"/>
        <v>1</v>
      </c>
      <c r="P17" s="403">
        <f t="shared" si="2"/>
        <v>15000000</v>
      </c>
      <c r="Q17" s="278"/>
      <c r="R17" s="278" t="s">
        <v>1595</v>
      </c>
      <c r="S17" s="278" t="s">
        <v>1556</v>
      </c>
      <c r="T17" s="278" t="s">
        <v>1605</v>
      </c>
      <c r="U17" s="278" t="s">
        <v>1544</v>
      </c>
      <c r="W17" s="515">
        <v>1200000</v>
      </c>
      <c r="X17" s="515">
        <v>1050000</v>
      </c>
    </row>
    <row r="18" spans="1:24" s="367" customFormat="1" ht="126" x14ac:dyDescent="0.25">
      <c r="A18" s="611"/>
      <c r="B18" s="609"/>
      <c r="C18" s="278" t="s">
        <v>1582</v>
      </c>
      <c r="D18" s="278" t="s">
        <v>1541</v>
      </c>
      <c r="E18" s="278" t="s">
        <v>1587</v>
      </c>
      <c r="F18" s="278" t="s">
        <v>1592</v>
      </c>
      <c r="G18" s="523">
        <f>H18/P18</f>
        <v>0.18012422360248448</v>
      </c>
      <c r="H18" s="365">
        <v>10150000</v>
      </c>
      <c r="I18" s="523">
        <f>(J18-4050000)/P18</f>
        <v>0.30212954747116239</v>
      </c>
      <c r="J18" s="365">
        <f>8925000+12150000</f>
        <v>21075000</v>
      </c>
      <c r="K18" s="523">
        <f>L18/P18</f>
        <v>0.30212954747116239</v>
      </c>
      <c r="L18" s="365">
        <f>8925000+8100000</f>
        <v>17025000</v>
      </c>
      <c r="M18" s="523">
        <f>N18/P18</f>
        <v>0.14374445430346053</v>
      </c>
      <c r="N18" s="365">
        <v>8100000</v>
      </c>
      <c r="O18" s="362">
        <f t="shared" si="1"/>
        <v>0.92812777284826975</v>
      </c>
      <c r="P18" s="403">
        <f t="shared" si="2"/>
        <v>56350000</v>
      </c>
      <c r="Q18" s="278"/>
      <c r="R18" s="278" t="s">
        <v>1596</v>
      </c>
      <c r="S18" s="278" t="s">
        <v>1556</v>
      </c>
      <c r="T18" s="278" t="s">
        <v>1604</v>
      </c>
      <c r="U18" s="278" t="s">
        <v>1544</v>
      </c>
      <c r="X18" s="515">
        <v>4050000</v>
      </c>
    </row>
    <row r="19" spans="1:24" ht="126" x14ac:dyDescent="0.25">
      <c r="A19" s="611"/>
      <c r="B19" s="609"/>
      <c r="C19" s="278" t="s">
        <v>1583</v>
      </c>
      <c r="D19" s="278" t="s">
        <v>1541</v>
      </c>
      <c r="E19" s="278" t="s">
        <v>1588</v>
      </c>
      <c r="F19" s="278" t="s">
        <v>1593</v>
      </c>
      <c r="G19" s="364"/>
      <c r="H19" s="365">
        <v>0</v>
      </c>
      <c r="I19" s="523">
        <f>J19/P19</f>
        <v>0.36249999999999999</v>
      </c>
      <c r="J19" s="365">
        <v>2537500</v>
      </c>
      <c r="K19" s="523">
        <f>L19/P19</f>
        <v>0.31874999999999998</v>
      </c>
      <c r="L19" s="365">
        <v>2231250</v>
      </c>
      <c r="M19" s="523">
        <f>N19/P19</f>
        <v>0.31874999999999998</v>
      </c>
      <c r="N19" s="365">
        <v>2231250</v>
      </c>
      <c r="O19" s="523">
        <f t="shared" si="1"/>
        <v>0.99999999999999989</v>
      </c>
      <c r="P19" s="403">
        <f t="shared" si="2"/>
        <v>7000000</v>
      </c>
      <c r="Q19" s="278"/>
      <c r="R19" s="278" t="s">
        <v>1597</v>
      </c>
      <c r="S19" s="278" t="s">
        <v>1556</v>
      </c>
      <c r="T19" s="278" t="s">
        <v>1603</v>
      </c>
      <c r="U19" s="278" t="s">
        <v>1544</v>
      </c>
    </row>
    <row r="20" spans="1:24" s="465" customFormat="1" ht="126" x14ac:dyDescent="0.25">
      <c r="A20" s="611"/>
      <c r="B20" s="609"/>
      <c r="C20" s="278" t="s">
        <v>1584</v>
      </c>
      <c r="D20" s="278" t="s">
        <v>1541</v>
      </c>
      <c r="E20" s="278" t="s">
        <v>1589</v>
      </c>
      <c r="F20" s="278" t="s">
        <v>1598</v>
      </c>
      <c r="G20" s="364"/>
      <c r="H20" s="365"/>
      <c r="I20" s="523">
        <f>J20/P20</f>
        <v>0.36249999999999999</v>
      </c>
      <c r="J20" s="365">
        <v>2537500</v>
      </c>
      <c r="K20" s="523">
        <f t="shared" ref="K20:K21" si="3">L20/P20</f>
        <v>0.31874999999999998</v>
      </c>
      <c r="L20" s="365">
        <v>2231250</v>
      </c>
      <c r="M20" s="523">
        <f t="shared" ref="M20:M21" si="4">N20/P20</f>
        <v>0.31874999999999998</v>
      </c>
      <c r="N20" s="365">
        <v>2231250</v>
      </c>
      <c r="O20" s="523">
        <f t="shared" si="1"/>
        <v>0.99999999999999989</v>
      </c>
      <c r="P20" s="403">
        <f t="shared" si="2"/>
        <v>7000000</v>
      </c>
      <c r="Q20" s="278"/>
      <c r="R20" s="278" t="s">
        <v>1599</v>
      </c>
      <c r="S20" s="278" t="s">
        <v>1556</v>
      </c>
      <c r="T20" s="278" t="s">
        <v>1602</v>
      </c>
      <c r="U20" s="278" t="s">
        <v>1544</v>
      </c>
    </row>
    <row r="21" spans="1:24" ht="126" x14ac:dyDescent="0.25">
      <c r="A21" s="611"/>
      <c r="B21" s="610"/>
      <c r="C21" s="278" t="s">
        <v>1585</v>
      </c>
      <c r="D21" s="278" t="s">
        <v>1541</v>
      </c>
      <c r="E21" s="278" t="s">
        <v>1590</v>
      </c>
      <c r="F21" s="278" t="s">
        <v>1594</v>
      </c>
      <c r="G21" s="364"/>
      <c r="H21" s="365"/>
      <c r="I21" s="523">
        <f>J21/P21</f>
        <v>0.36249999999999999</v>
      </c>
      <c r="J21" s="365">
        <v>2537500</v>
      </c>
      <c r="K21" s="523">
        <f t="shared" si="3"/>
        <v>0.31874999999999998</v>
      </c>
      <c r="L21" s="365">
        <v>2231250</v>
      </c>
      <c r="M21" s="523">
        <f t="shared" si="4"/>
        <v>0.31874999999999998</v>
      </c>
      <c r="N21" s="365">
        <v>2231250</v>
      </c>
      <c r="O21" s="523">
        <f t="shared" si="1"/>
        <v>0.99999999999999989</v>
      </c>
      <c r="P21" s="403">
        <f t="shared" si="2"/>
        <v>7000000</v>
      </c>
      <c r="Q21" s="278"/>
      <c r="R21" s="278" t="s">
        <v>1600</v>
      </c>
      <c r="S21" s="278" t="s">
        <v>1556</v>
      </c>
      <c r="T21" s="278" t="s">
        <v>1601</v>
      </c>
      <c r="U21" s="278" t="s">
        <v>1544</v>
      </c>
    </row>
    <row r="22" spans="1:24" s="367" customFormat="1" ht="15.75" hidden="1" x14ac:dyDescent="0.25">
      <c r="A22" s="611"/>
      <c r="B22" s="608" t="s">
        <v>1415</v>
      </c>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4" s="367" customFormat="1" ht="15.75" hidden="1" x14ac:dyDescent="0.25">
      <c r="A23" s="611"/>
      <c r="B23" s="609"/>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4" s="367" customFormat="1" ht="15.75" hidden="1" x14ac:dyDescent="0.25">
      <c r="A24" s="611"/>
      <c r="B24" s="609"/>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4" s="367" customFormat="1" ht="15.75" hidden="1" x14ac:dyDescent="0.25">
      <c r="A25" s="611"/>
      <c r="B25" s="609"/>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4" s="367" customFormat="1" ht="15.75" hidden="1" x14ac:dyDescent="0.25">
      <c r="A26" s="611"/>
      <c r="B26" s="609"/>
      <c r="C26" s="278"/>
      <c r="D26" s="278"/>
      <c r="E26" s="278"/>
      <c r="F26" s="278"/>
      <c r="G26" s="364"/>
      <c r="H26" s="365"/>
      <c r="I26" s="278"/>
      <c r="J26" s="365"/>
      <c r="K26" s="278"/>
      <c r="L26" s="365"/>
      <c r="M26" s="278"/>
      <c r="N26" s="365"/>
      <c r="O26" s="402">
        <f t="shared" si="1"/>
        <v>0</v>
      </c>
      <c r="P26" s="403">
        <f t="shared" si="2"/>
        <v>0</v>
      </c>
      <c r="Q26" s="278"/>
      <c r="R26" s="278"/>
      <c r="S26" s="278"/>
      <c r="T26" s="278"/>
      <c r="U26" s="278"/>
    </row>
    <row r="27" spans="1:24" ht="15.75" hidden="1" x14ac:dyDescent="0.25">
      <c r="A27" s="611"/>
      <c r="B27" s="610"/>
      <c r="C27" s="278"/>
      <c r="D27" s="278"/>
      <c r="E27" s="278"/>
      <c r="F27" s="278"/>
      <c r="G27" s="278"/>
      <c r="H27" s="365"/>
      <c r="I27" s="278"/>
      <c r="J27" s="365"/>
      <c r="K27" s="278"/>
      <c r="L27" s="365"/>
      <c r="M27" s="278"/>
      <c r="N27" s="365"/>
      <c r="O27" s="402">
        <f t="shared" si="1"/>
        <v>0</v>
      </c>
      <c r="P27" s="403">
        <f t="shared" si="2"/>
        <v>0</v>
      </c>
      <c r="Q27" s="278"/>
      <c r="R27" s="278"/>
      <c r="S27" s="278"/>
      <c r="T27" s="278"/>
      <c r="U27" s="278"/>
    </row>
    <row r="28" spans="1:24" ht="63" x14ac:dyDescent="0.25">
      <c r="A28" s="608" t="s">
        <v>1416</v>
      </c>
      <c r="B28" s="608" t="s">
        <v>1418</v>
      </c>
      <c r="C28" s="278" t="s">
        <v>1606</v>
      </c>
      <c r="D28" s="278" t="s">
        <v>1607</v>
      </c>
      <c r="E28" s="278" t="s">
        <v>1608</v>
      </c>
      <c r="F28" s="278" t="s">
        <v>1609</v>
      </c>
      <c r="G28" s="523">
        <f>H28/P28</f>
        <v>0.6653816778605357</v>
      </c>
      <c r="H28" s="365">
        <v>5847470</v>
      </c>
      <c r="I28" s="523">
        <f>J28/P28</f>
        <v>0.23694843871470472</v>
      </c>
      <c r="J28" s="365">
        <v>2082337</v>
      </c>
      <c r="K28" s="523">
        <f>L28/P28</f>
        <v>4.7791661128902756E-2</v>
      </c>
      <c r="L28" s="365">
        <v>420000</v>
      </c>
      <c r="M28" s="523">
        <f>N28/P28</f>
        <v>4.9878222295856783E-2</v>
      </c>
      <c r="N28" s="365">
        <v>438337</v>
      </c>
      <c r="O28" s="523">
        <f t="shared" si="1"/>
        <v>1</v>
      </c>
      <c r="P28" s="403">
        <f t="shared" si="2"/>
        <v>8788144</v>
      </c>
      <c r="Q28" s="278"/>
      <c r="R28" s="629" t="s">
        <v>1618</v>
      </c>
      <c r="S28" s="629" t="s">
        <v>1619</v>
      </c>
      <c r="T28" s="629" t="s">
        <v>1620</v>
      </c>
      <c r="U28" s="629" t="s">
        <v>1544</v>
      </c>
    </row>
    <row r="29" spans="1:24" s="367" customFormat="1" ht="55.5" customHeight="1" x14ac:dyDescent="0.25">
      <c r="A29" s="609"/>
      <c r="B29" s="609"/>
      <c r="C29" s="278" t="s">
        <v>1610</v>
      </c>
      <c r="D29" s="278" t="s">
        <v>1611</v>
      </c>
      <c r="E29" s="278" t="s">
        <v>1612</v>
      </c>
      <c r="F29" s="278" t="s">
        <v>1613</v>
      </c>
      <c r="G29" s="523">
        <f>H29/P29</f>
        <v>0.54559505409582687</v>
      </c>
      <c r="H29" s="365">
        <v>176500</v>
      </c>
      <c r="I29" s="523">
        <f>J29/P29</f>
        <v>0.45440494590417313</v>
      </c>
      <c r="J29" s="365">
        <v>147000</v>
      </c>
      <c r="K29" s="523">
        <f>L29/P29</f>
        <v>0</v>
      </c>
      <c r="L29" s="365">
        <v>0</v>
      </c>
      <c r="M29" s="523">
        <f>N29/P29</f>
        <v>0</v>
      </c>
      <c r="N29" s="365">
        <v>0</v>
      </c>
      <c r="O29" s="523">
        <f t="shared" si="1"/>
        <v>1</v>
      </c>
      <c r="P29" s="403">
        <f t="shared" si="2"/>
        <v>323500</v>
      </c>
      <c r="Q29" s="278"/>
      <c r="R29" s="630"/>
      <c r="S29" s="630"/>
      <c r="T29" s="630"/>
      <c r="U29" s="630"/>
    </row>
    <row r="30" spans="1:24" s="367" customFormat="1" ht="55.5" customHeight="1" x14ac:dyDescent="0.25">
      <c r="A30" s="609"/>
      <c r="B30" s="609"/>
      <c r="C30" s="278" t="s">
        <v>1614</v>
      </c>
      <c r="D30" s="278" t="s">
        <v>1615</v>
      </c>
      <c r="E30" s="278" t="s">
        <v>1616</v>
      </c>
      <c r="F30" s="278" t="s">
        <v>1617</v>
      </c>
      <c r="G30" s="523">
        <f>H30/P30</f>
        <v>0.28906016452333183</v>
      </c>
      <c r="H30" s="365">
        <v>962218.79</v>
      </c>
      <c r="I30" s="523">
        <f>J30/P30</f>
        <v>0.33274104594218779</v>
      </c>
      <c r="J30" s="365">
        <v>1107623</v>
      </c>
      <c r="K30" s="523">
        <f>L30/P30</f>
        <v>0.19511360333799271</v>
      </c>
      <c r="L30" s="365">
        <v>649491</v>
      </c>
      <c r="M30" s="523">
        <f>N30/P30</f>
        <v>0.1830851861964877</v>
      </c>
      <c r="N30" s="365">
        <v>609451</v>
      </c>
      <c r="O30" s="523">
        <f t="shared" si="1"/>
        <v>1</v>
      </c>
      <c r="P30" s="403">
        <f t="shared" si="2"/>
        <v>3328783.79</v>
      </c>
      <c r="Q30" s="278"/>
      <c r="R30" s="631"/>
      <c r="S30" s="631"/>
      <c r="T30" s="631"/>
      <c r="U30" s="631"/>
    </row>
    <row r="31" spans="1:24" s="367" customFormat="1" ht="55.5" customHeight="1" x14ac:dyDescent="0.25">
      <c r="A31" s="609"/>
      <c r="B31" s="609"/>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4" s="367" customFormat="1" ht="55.5" customHeight="1" x14ac:dyDescent="0.25">
      <c r="A32" s="609"/>
      <c r="B32" s="609"/>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s="367" customFormat="1" ht="55.5" customHeight="1" x14ac:dyDescent="0.25">
      <c r="A33" s="609"/>
      <c r="B33" s="610"/>
      <c r="C33" s="278"/>
      <c r="D33" s="278"/>
      <c r="E33" s="278"/>
      <c r="F33" s="278"/>
      <c r="G33" s="364"/>
      <c r="H33" s="365"/>
      <c r="I33" s="278"/>
      <c r="J33" s="365"/>
      <c r="K33" s="278"/>
      <c r="L33" s="365"/>
      <c r="M33" s="278"/>
      <c r="N33" s="365"/>
      <c r="O33" s="402">
        <f t="shared" si="1"/>
        <v>0</v>
      </c>
      <c r="P33" s="403">
        <f t="shared" si="2"/>
        <v>0</v>
      </c>
      <c r="Q33" s="278"/>
      <c r="R33" s="278"/>
      <c r="S33" s="278"/>
      <c r="T33" s="278"/>
      <c r="U33" s="278"/>
    </row>
    <row r="34" spans="1:21" ht="15.75" hidden="1" x14ac:dyDescent="0.25">
      <c r="A34" s="609"/>
      <c r="B34" s="608" t="s">
        <v>1419</v>
      </c>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hidden="1" x14ac:dyDescent="0.25">
      <c r="A35" s="609"/>
      <c r="B35" s="609"/>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hidden="1" x14ac:dyDescent="0.25">
      <c r="A36" s="609"/>
      <c r="B36" s="609"/>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s="367" customFormat="1" ht="15.75" hidden="1" x14ac:dyDescent="0.25">
      <c r="A37" s="609"/>
      <c r="B37" s="609"/>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hidden="1" x14ac:dyDescent="0.25">
      <c r="A38" s="609"/>
      <c r="B38" s="609"/>
      <c r="C38" s="278"/>
      <c r="D38" s="278"/>
      <c r="E38" s="278"/>
      <c r="F38" s="278"/>
      <c r="G38" s="278"/>
      <c r="H38" s="365"/>
      <c r="I38" s="278"/>
      <c r="J38" s="365"/>
      <c r="K38" s="278"/>
      <c r="L38" s="365"/>
      <c r="M38" s="278"/>
      <c r="N38" s="365"/>
      <c r="O38" s="402">
        <f t="shared" si="1"/>
        <v>0</v>
      </c>
      <c r="P38" s="403">
        <f t="shared" si="2"/>
        <v>0</v>
      </c>
      <c r="Q38" s="278"/>
      <c r="R38" s="278"/>
      <c r="S38" s="278"/>
      <c r="T38" s="278"/>
      <c r="U38" s="278"/>
    </row>
    <row r="39" spans="1:21" ht="15.75" hidden="1" x14ac:dyDescent="0.25">
      <c r="A39" s="610"/>
      <c r="B39" s="610"/>
      <c r="C39" s="278"/>
      <c r="D39" s="278"/>
      <c r="E39" s="278"/>
      <c r="F39" s="278"/>
      <c r="G39" s="278"/>
      <c r="H39" s="365"/>
      <c r="I39" s="278"/>
      <c r="J39" s="365"/>
      <c r="K39" s="278"/>
      <c r="L39" s="365"/>
      <c r="M39" s="278"/>
      <c r="N39" s="365"/>
      <c r="O39" s="402">
        <f t="shared" si="1"/>
        <v>0</v>
      </c>
      <c r="P39" s="403">
        <f t="shared" si="2"/>
        <v>0</v>
      </c>
      <c r="Q39" s="278"/>
      <c r="R39" s="278"/>
      <c r="S39" s="278"/>
      <c r="T39" s="278"/>
      <c r="U39" s="361"/>
    </row>
    <row r="40" spans="1:21" ht="15.75" x14ac:dyDescent="0.25">
      <c r="A40" s="299"/>
      <c r="B40" s="300"/>
      <c r="C40" s="299" t="s">
        <v>1410</v>
      </c>
      <c r="D40" s="300"/>
      <c r="E40" s="300"/>
      <c r="F40" s="301"/>
      <c r="G40" s="524"/>
      <c r="H40" s="233">
        <f t="shared" ref="H40:P40" si="5">SUM(H9:H39)</f>
        <v>375732926.90000004</v>
      </c>
      <c r="I40" s="524"/>
      <c r="J40" s="233">
        <f t="shared" si="5"/>
        <v>181603160</v>
      </c>
      <c r="K40" s="524"/>
      <c r="L40" s="233">
        <f t="shared" si="5"/>
        <v>316923191</v>
      </c>
      <c r="M40" s="524"/>
      <c r="N40" s="233">
        <f t="shared" si="5"/>
        <v>328115795.40999997</v>
      </c>
      <c r="O40" s="526"/>
      <c r="P40" s="233">
        <f t="shared" si="5"/>
        <v>1202375073.3099999</v>
      </c>
      <c r="Q40" s="265"/>
      <c r="R40" s="265"/>
      <c r="S40" s="265"/>
      <c r="T40" s="265"/>
      <c r="U40" s="279"/>
    </row>
    <row r="42" spans="1:21" x14ac:dyDescent="0.25">
      <c r="H42" s="396">
        <f>SUM(H28:H30)</f>
        <v>6986188.79</v>
      </c>
      <c r="I42" s="525"/>
      <c r="J42" s="396">
        <f>SUM(J28:J30)</f>
        <v>3336960</v>
      </c>
    </row>
    <row r="60" s="261" customFormat="1" ht="12" x14ac:dyDescent="0.25"/>
    <row r="61" s="261" customFormat="1" ht="12" x14ac:dyDescent="0.25"/>
    <row r="74" s="261" customFormat="1" ht="12" x14ac:dyDescent="0.25"/>
    <row r="75" s="261" customFormat="1" ht="12" x14ac:dyDescent="0.25"/>
  </sheetData>
  <mergeCells count="30">
    <mergeCell ref="R28:R30"/>
    <mergeCell ref="S28:S30"/>
    <mergeCell ref="T28:T30"/>
    <mergeCell ref="U28:U30"/>
    <mergeCell ref="A3:U3"/>
    <mergeCell ref="B9:B14"/>
    <mergeCell ref="B15:B21"/>
    <mergeCell ref="B22:B27"/>
    <mergeCell ref="D5:D7"/>
    <mergeCell ref="A4:U4"/>
    <mergeCell ref="E5:E7"/>
    <mergeCell ref="I6:J6"/>
    <mergeCell ref="K6:L6"/>
    <mergeCell ref="M6:N6"/>
    <mergeCell ref="F5:F7"/>
    <mergeCell ref="G5:N5"/>
    <mergeCell ref="B34:B39"/>
    <mergeCell ref="B28:B33"/>
    <mergeCell ref="A5:A7"/>
    <mergeCell ref="B5:B7"/>
    <mergeCell ref="C5:C7"/>
    <mergeCell ref="A9:A27"/>
    <mergeCell ref="A28:A39"/>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0866141732283472" right="0.70866141732283472" top="0.74803149606299213" bottom="0.74803149606299213" header="0.31496062992125984" footer="0.31496062992125984"/>
  <pageSetup paperSize="3" scale="52" orientation="landscape" r:id="rId1"/>
  <colBreaks count="1" manualBreakCount="1">
    <brk id="2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ht="25.5"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11" t="s">
        <v>1421</v>
      </c>
      <c r="B8" s="608"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611"/>
      <c r="B9" s="609"/>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611"/>
      <c r="B10" s="609"/>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611"/>
      <c r="B11" s="609"/>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611"/>
      <c r="B12" s="609"/>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611"/>
      <c r="B13" s="609"/>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611"/>
      <c r="B14" s="609"/>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611"/>
      <c r="B15" s="609"/>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611"/>
      <c r="B16" s="609"/>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611"/>
      <c r="B17" s="609"/>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611"/>
      <c r="B18" s="609"/>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611"/>
      <c r="B19" s="609"/>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611"/>
      <c r="B20" s="610"/>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34" t="s">
        <v>1353</v>
      </c>
      <c r="B4" s="634"/>
      <c r="C4" s="634"/>
      <c r="D4" s="634"/>
      <c r="E4" s="634"/>
      <c r="F4" s="634"/>
      <c r="G4" s="634"/>
      <c r="H4" s="634"/>
      <c r="I4" s="634"/>
      <c r="J4" s="634"/>
      <c r="K4" s="634"/>
      <c r="L4" s="634"/>
      <c r="M4" s="634"/>
      <c r="N4" s="634"/>
      <c r="O4" s="634"/>
      <c r="P4" s="634"/>
      <c r="Q4" s="634"/>
      <c r="R4" s="634"/>
      <c r="S4" s="634"/>
      <c r="T4" s="634"/>
      <c r="U4" s="634"/>
    </row>
    <row r="5" spans="1:21" ht="14.45" customHeight="1" x14ac:dyDescent="0.25">
      <c r="A5" s="587" t="s">
        <v>97</v>
      </c>
      <c r="B5" s="586" t="s">
        <v>111</v>
      </c>
      <c r="C5" s="589" t="s">
        <v>86</v>
      </c>
      <c r="D5" s="589" t="s">
        <v>87</v>
      </c>
      <c r="E5" s="589" t="s">
        <v>392</v>
      </c>
      <c r="F5" s="589" t="s">
        <v>88</v>
      </c>
      <c r="G5" s="592" t="s">
        <v>100</v>
      </c>
      <c r="H5" s="598"/>
      <c r="I5" s="598"/>
      <c r="J5" s="598"/>
      <c r="K5" s="598"/>
      <c r="L5" s="598"/>
      <c r="M5" s="598"/>
      <c r="N5" s="593"/>
      <c r="O5" s="594" t="s">
        <v>101</v>
      </c>
      <c r="P5" s="595"/>
      <c r="Q5" s="586" t="s">
        <v>102</v>
      </c>
      <c r="R5" s="586" t="s">
        <v>103</v>
      </c>
      <c r="S5" s="586" t="s">
        <v>110</v>
      </c>
      <c r="T5" s="586" t="s">
        <v>109</v>
      </c>
      <c r="U5" s="583" t="s">
        <v>89</v>
      </c>
    </row>
    <row r="6" spans="1:21" ht="14.45" customHeight="1" x14ac:dyDescent="0.25">
      <c r="A6" s="587"/>
      <c r="B6" s="587"/>
      <c r="C6" s="590"/>
      <c r="D6" s="590"/>
      <c r="E6" s="590"/>
      <c r="F6" s="590"/>
      <c r="G6" s="592" t="s">
        <v>104</v>
      </c>
      <c r="H6" s="593"/>
      <c r="I6" s="592" t="s">
        <v>105</v>
      </c>
      <c r="J6" s="593"/>
      <c r="K6" s="592" t="s">
        <v>106</v>
      </c>
      <c r="L6" s="593"/>
      <c r="M6" s="592" t="s">
        <v>107</v>
      </c>
      <c r="N6" s="593"/>
      <c r="O6" s="596"/>
      <c r="P6" s="597"/>
      <c r="Q6" s="587"/>
      <c r="R6" s="587"/>
      <c r="S6" s="587"/>
      <c r="T6" s="587"/>
      <c r="U6" s="584"/>
    </row>
    <row r="7" spans="1:21" ht="25.5" x14ac:dyDescent="0.25">
      <c r="A7" s="588"/>
      <c r="B7" s="588"/>
      <c r="C7" s="591"/>
      <c r="D7" s="591"/>
      <c r="E7" s="591"/>
      <c r="F7" s="591"/>
      <c r="G7" s="442" t="s">
        <v>108</v>
      </c>
      <c r="H7" s="442" t="s">
        <v>12</v>
      </c>
      <c r="I7" s="442" t="s">
        <v>108</v>
      </c>
      <c r="J7" s="442" t="s">
        <v>12</v>
      </c>
      <c r="K7" s="442" t="s">
        <v>108</v>
      </c>
      <c r="L7" s="442" t="s">
        <v>12</v>
      </c>
      <c r="M7" s="442" t="s">
        <v>108</v>
      </c>
      <c r="N7" s="442" t="s">
        <v>12</v>
      </c>
      <c r="O7" s="442" t="s">
        <v>108</v>
      </c>
      <c r="P7" s="442" t="s">
        <v>12</v>
      </c>
      <c r="Q7" s="588"/>
      <c r="R7" s="588"/>
      <c r="S7" s="588"/>
      <c r="T7" s="588"/>
      <c r="U7" s="585"/>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35" t="s">
        <v>1424</v>
      </c>
      <c r="B9" s="599"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636"/>
      <c r="B10" s="600"/>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636"/>
      <c r="B11" s="600"/>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636"/>
      <c r="B12" s="600"/>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636"/>
      <c r="B13" s="600"/>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636"/>
      <c r="B14" s="600"/>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636"/>
      <c r="B15" s="600"/>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636"/>
      <c r="B16" s="600"/>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636"/>
      <c r="B17" s="600"/>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636"/>
      <c r="B18" s="600"/>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636"/>
      <c r="B19" s="600"/>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637"/>
      <c r="B20" s="601"/>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42" t="s">
        <v>1345</v>
      </c>
      <c r="B1" s="642"/>
      <c r="C1" s="642"/>
      <c r="D1" s="642"/>
      <c r="E1" s="642"/>
      <c r="F1" s="642"/>
      <c r="G1" s="642"/>
      <c r="H1" s="642"/>
      <c r="I1" s="642"/>
      <c r="J1" s="642"/>
      <c r="K1" s="642"/>
      <c r="L1" s="642"/>
      <c r="M1" s="642"/>
      <c r="N1" s="642"/>
      <c r="O1" s="642"/>
      <c r="P1" s="642"/>
      <c r="Q1" s="642"/>
      <c r="R1" s="642"/>
      <c r="S1" s="642"/>
      <c r="T1" s="642"/>
      <c r="U1" s="642"/>
    </row>
    <row r="2" spans="1:21" x14ac:dyDescent="0.25">
      <c r="A2" s="643" t="s">
        <v>1426</v>
      </c>
      <c r="B2" s="643"/>
      <c r="C2" s="643"/>
      <c r="D2" s="643"/>
      <c r="E2" s="643"/>
      <c r="F2" s="643"/>
      <c r="G2" s="643"/>
      <c r="H2" s="643"/>
      <c r="I2" s="643"/>
      <c r="J2" s="643"/>
      <c r="K2" s="643"/>
      <c r="L2" s="643"/>
      <c r="M2" s="643"/>
      <c r="N2" s="643"/>
      <c r="O2" s="643"/>
      <c r="P2" s="643"/>
      <c r="Q2" s="643"/>
      <c r="R2" s="643"/>
      <c r="S2" s="643"/>
      <c r="T2" s="643"/>
      <c r="U2" s="643"/>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87" t="s">
        <v>97</v>
      </c>
      <c r="B4" s="586" t="s">
        <v>111</v>
      </c>
      <c r="C4" s="589" t="s">
        <v>86</v>
      </c>
      <c r="D4" s="589" t="s">
        <v>87</v>
      </c>
      <c r="E4" s="589" t="s">
        <v>392</v>
      </c>
      <c r="F4" s="589" t="s">
        <v>88</v>
      </c>
      <c r="G4" s="592" t="s">
        <v>100</v>
      </c>
      <c r="H4" s="598"/>
      <c r="I4" s="598"/>
      <c r="J4" s="598"/>
      <c r="K4" s="598"/>
      <c r="L4" s="598"/>
      <c r="M4" s="598"/>
      <c r="N4" s="593"/>
      <c r="O4" s="594" t="s">
        <v>101</v>
      </c>
      <c r="P4" s="595"/>
      <c r="Q4" s="586" t="s">
        <v>102</v>
      </c>
      <c r="R4" s="586" t="s">
        <v>103</v>
      </c>
      <c r="S4" s="586" t="s">
        <v>110</v>
      </c>
      <c r="T4" s="586" t="s">
        <v>109</v>
      </c>
      <c r="U4" s="583" t="s">
        <v>89</v>
      </c>
    </row>
    <row r="5" spans="1:21" ht="15" customHeight="1" x14ac:dyDescent="0.25">
      <c r="A5" s="587"/>
      <c r="B5" s="587"/>
      <c r="C5" s="590"/>
      <c r="D5" s="590"/>
      <c r="E5" s="590"/>
      <c r="F5" s="590"/>
      <c r="G5" s="592" t="s">
        <v>104</v>
      </c>
      <c r="H5" s="593"/>
      <c r="I5" s="592" t="s">
        <v>105</v>
      </c>
      <c r="J5" s="593"/>
      <c r="K5" s="592" t="s">
        <v>106</v>
      </c>
      <c r="L5" s="593"/>
      <c r="M5" s="592" t="s">
        <v>107</v>
      </c>
      <c r="N5" s="593"/>
      <c r="O5" s="596"/>
      <c r="P5" s="597"/>
      <c r="Q5" s="587"/>
      <c r="R5" s="587"/>
      <c r="S5" s="587"/>
      <c r="T5" s="587"/>
      <c r="U5" s="584"/>
    </row>
    <row r="6" spans="1:21" ht="25.5" x14ac:dyDescent="0.25">
      <c r="A6" s="588"/>
      <c r="B6" s="588"/>
      <c r="C6" s="591"/>
      <c r="D6" s="591"/>
      <c r="E6" s="591"/>
      <c r="F6" s="591"/>
      <c r="G6" s="442" t="s">
        <v>108</v>
      </c>
      <c r="H6" s="442" t="s">
        <v>12</v>
      </c>
      <c r="I6" s="442" t="s">
        <v>108</v>
      </c>
      <c r="J6" s="442" t="s">
        <v>12</v>
      </c>
      <c r="K6" s="442" t="s">
        <v>108</v>
      </c>
      <c r="L6" s="442" t="s">
        <v>12</v>
      </c>
      <c r="M6" s="442" t="s">
        <v>108</v>
      </c>
      <c r="N6" s="442" t="s">
        <v>12</v>
      </c>
      <c r="O6" s="442" t="s">
        <v>108</v>
      </c>
      <c r="P6" s="442" t="s">
        <v>12</v>
      </c>
      <c r="Q6" s="588"/>
      <c r="R6" s="588"/>
      <c r="S6" s="588"/>
      <c r="T6" s="588"/>
      <c r="U6" s="585"/>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02" t="s">
        <v>1521</v>
      </c>
      <c r="B8" s="644"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603"/>
      <c r="B9" s="644"/>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603"/>
      <c r="B10" s="644"/>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5" customFormat="1" ht="15.75" x14ac:dyDescent="0.25">
      <c r="A11" s="603"/>
      <c r="B11" s="644"/>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603"/>
      <c r="B12" s="644"/>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5" customFormat="1" ht="15.75" x14ac:dyDescent="0.25">
      <c r="A13" s="603"/>
      <c r="B13" s="644"/>
      <c r="C13" s="278"/>
      <c r="D13" s="278"/>
      <c r="E13" s="310"/>
      <c r="F13" s="278"/>
      <c r="G13" s="364"/>
      <c r="H13" s="365"/>
      <c r="I13" s="278"/>
      <c r="J13" s="365"/>
      <c r="K13" s="278"/>
      <c r="L13" s="365"/>
      <c r="M13" s="278"/>
      <c r="N13" s="365"/>
      <c r="O13" s="402"/>
      <c r="P13" s="403"/>
      <c r="Q13" s="278"/>
      <c r="R13" s="278"/>
      <c r="S13" s="278"/>
      <c r="T13" s="278"/>
      <c r="U13" s="278"/>
    </row>
    <row r="14" spans="1:21" s="465" customFormat="1" ht="15.75" x14ac:dyDescent="0.25">
      <c r="A14" s="603"/>
      <c r="B14" s="644"/>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603"/>
      <c r="B15" s="644"/>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5" customFormat="1" ht="15.75" x14ac:dyDescent="0.25">
      <c r="A16" s="603"/>
      <c r="B16" s="644"/>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603"/>
      <c r="B17" s="644"/>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603"/>
      <c r="B18" s="644"/>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603"/>
      <c r="B19" s="638"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603"/>
      <c r="B20" s="638"/>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603"/>
      <c r="B21" s="638"/>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603"/>
      <c r="B22" s="638"/>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603"/>
      <c r="B23" s="638"/>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603"/>
      <c r="B24" s="638"/>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603"/>
      <c r="B25" s="638"/>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603"/>
      <c r="B26" s="638"/>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603"/>
      <c r="B27" s="638"/>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603"/>
      <c r="B28" s="638"/>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603"/>
      <c r="B29" s="638"/>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603"/>
      <c r="B30" s="638"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603"/>
      <c r="B31" s="638"/>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603"/>
      <c r="B32" s="638"/>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603"/>
      <c r="B33" s="638"/>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603"/>
      <c r="B34" s="638"/>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603"/>
      <c r="B35" s="638"/>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639" t="s">
        <v>1346</v>
      </c>
      <c r="B36" s="640"/>
      <c r="C36" s="640"/>
      <c r="D36" s="640"/>
      <c r="E36" s="640"/>
      <c r="F36" s="641"/>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45" t="s">
        <v>1356</v>
      </c>
      <c r="F1" s="645"/>
      <c r="G1" s="645"/>
      <c r="H1" s="645"/>
      <c r="I1" s="645"/>
      <c r="J1" s="645"/>
      <c r="K1" s="645"/>
      <c r="L1" s="645"/>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34" t="s">
        <v>1430</v>
      </c>
      <c r="B5" s="646"/>
      <c r="C5" s="646"/>
      <c r="D5" s="646"/>
      <c r="E5" s="646"/>
      <c r="F5" s="646"/>
      <c r="G5" s="646"/>
      <c r="H5" s="646"/>
      <c r="I5" s="646"/>
      <c r="J5" s="646"/>
      <c r="K5" s="646"/>
      <c r="L5" s="646"/>
      <c r="M5" s="646"/>
      <c r="N5" s="646"/>
      <c r="O5" s="646"/>
      <c r="P5" s="646"/>
      <c r="Q5" s="646"/>
      <c r="R5" s="646"/>
      <c r="S5" s="646"/>
      <c r="T5" s="646"/>
      <c r="U5" s="646"/>
    </row>
    <row r="6" spans="1:27" ht="15" customHeight="1" x14ac:dyDescent="0.25">
      <c r="A6" s="587" t="s">
        <v>97</v>
      </c>
      <c r="B6" s="586" t="s">
        <v>111</v>
      </c>
      <c r="C6" s="589" t="s">
        <v>86</v>
      </c>
      <c r="D6" s="589" t="s">
        <v>87</v>
      </c>
      <c r="E6" s="589" t="s">
        <v>392</v>
      </c>
      <c r="F6" s="589" t="s">
        <v>88</v>
      </c>
      <c r="G6" s="592" t="s">
        <v>100</v>
      </c>
      <c r="H6" s="598"/>
      <c r="I6" s="598"/>
      <c r="J6" s="598"/>
      <c r="K6" s="598"/>
      <c r="L6" s="598"/>
      <c r="M6" s="598"/>
      <c r="N6" s="593"/>
      <c r="O6" s="594" t="s">
        <v>101</v>
      </c>
      <c r="P6" s="595"/>
      <c r="Q6" s="586" t="s">
        <v>102</v>
      </c>
      <c r="R6" s="586" t="s">
        <v>103</v>
      </c>
      <c r="S6" s="586" t="s">
        <v>110</v>
      </c>
      <c r="T6" s="586" t="s">
        <v>109</v>
      </c>
      <c r="U6" s="583" t="s">
        <v>89</v>
      </c>
    </row>
    <row r="7" spans="1:27" ht="15" customHeight="1" x14ac:dyDescent="0.25">
      <c r="A7" s="587"/>
      <c r="B7" s="587"/>
      <c r="C7" s="590"/>
      <c r="D7" s="590"/>
      <c r="E7" s="590"/>
      <c r="F7" s="590"/>
      <c r="G7" s="592" t="s">
        <v>104</v>
      </c>
      <c r="H7" s="593"/>
      <c r="I7" s="592" t="s">
        <v>105</v>
      </c>
      <c r="J7" s="593"/>
      <c r="K7" s="592" t="s">
        <v>106</v>
      </c>
      <c r="L7" s="593"/>
      <c r="M7" s="592" t="s">
        <v>107</v>
      </c>
      <c r="N7" s="593"/>
      <c r="O7" s="596"/>
      <c r="P7" s="597"/>
      <c r="Q7" s="587"/>
      <c r="R7" s="587"/>
      <c r="S7" s="587"/>
      <c r="T7" s="587"/>
      <c r="U7" s="584"/>
    </row>
    <row r="8" spans="1:27" ht="25.5" x14ac:dyDescent="0.25">
      <c r="A8" s="588"/>
      <c r="B8" s="588"/>
      <c r="C8" s="591"/>
      <c r="D8" s="591"/>
      <c r="E8" s="591"/>
      <c r="F8" s="591"/>
      <c r="G8" s="442" t="s">
        <v>108</v>
      </c>
      <c r="H8" s="442" t="s">
        <v>12</v>
      </c>
      <c r="I8" s="442" t="s">
        <v>108</v>
      </c>
      <c r="J8" s="442" t="s">
        <v>12</v>
      </c>
      <c r="K8" s="442" t="s">
        <v>108</v>
      </c>
      <c r="L8" s="442" t="s">
        <v>12</v>
      </c>
      <c r="M8" s="442" t="s">
        <v>108</v>
      </c>
      <c r="N8" s="442" t="s">
        <v>12</v>
      </c>
      <c r="O8" s="442" t="s">
        <v>108</v>
      </c>
      <c r="P8" s="442" t="s">
        <v>12</v>
      </c>
      <c r="Q8" s="588"/>
      <c r="R8" s="588"/>
      <c r="S8" s="588"/>
      <c r="T8" s="588"/>
      <c r="U8" s="585"/>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47" t="s">
        <v>1432</v>
      </c>
      <c r="B10" s="647"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647"/>
      <c r="B11" s="647"/>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647"/>
      <c r="B12" s="647"/>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647"/>
      <c r="B13" s="647"/>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647"/>
      <c r="B14" s="647"/>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647"/>
      <c r="B15" s="647"/>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647"/>
      <c r="B16" s="647"/>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99" t="s">
        <v>1434</v>
      </c>
      <c r="B17" s="599"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600"/>
      <c r="B18" s="600"/>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600"/>
      <c r="B19" s="600"/>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600"/>
      <c r="B20" s="600"/>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600"/>
      <c r="B21" s="600"/>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601"/>
      <c r="B22" s="601"/>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647" t="s">
        <v>1435</v>
      </c>
      <c r="B23" s="599"/>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647"/>
      <c r="B24" s="600"/>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647"/>
      <c r="B25" s="600"/>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647"/>
      <c r="B26" s="600"/>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647"/>
      <c r="B27" s="600"/>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647"/>
      <c r="B28" s="601"/>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648" t="s">
        <v>1480</v>
      </c>
      <c r="F1" s="648"/>
      <c r="G1" s="648"/>
      <c r="H1" s="648"/>
      <c r="I1" s="648"/>
      <c r="J1" s="648"/>
      <c r="K1" s="648"/>
      <c r="L1" s="64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87" t="s">
        <v>97</v>
      </c>
      <c r="B6" s="586" t="s">
        <v>111</v>
      </c>
      <c r="C6" s="589" t="s">
        <v>86</v>
      </c>
      <c r="D6" s="589" t="s">
        <v>87</v>
      </c>
      <c r="E6" s="589" t="s">
        <v>392</v>
      </c>
      <c r="F6" s="589" t="s">
        <v>88</v>
      </c>
      <c r="G6" s="592" t="s">
        <v>100</v>
      </c>
      <c r="H6" s="598"/>
      <c r="I6" s="598"/>
      <c r="J6" s="598"/>
      <c r="K6" s="598"/>
      <c r="L6" s="598"/>
      <c r="M6" s="598"/>
      <c r="N6" s="593"/>
      <c r="O6" s="594" t="s">
        <v>101</v>
      </c>
      <c r="P6" s="595"/>
      <c r="Q6" s="586" t="s">
        <v>102</v>
      </c>
      <c r="R6" s="586" t="s">
        <v>103</v>
      </c>
      <c r="S6" s="586" t="s">
        <v>110</v>
      </c>
      <c r="T6" s="586" t="s">
        <v>109</v>
      </c>
      <c r="U6" s="583" t="s">
        <v>89</v>
      </c>
    </row>
    <row r="7" spans="1:42" ht="15" customHeight="1" x14ac:dyDescent="0.25">
      <c r="A7" s="587"/>
      <c r="B7" s="587"/>
      <c r="C7" s="590"/>
      <c r="D7" s="590"/>
      <c r="E7" s="590"/>
      <c r="F7" s="590"/>
      <c r="G7" s="592" t="s">
        <v>104</v>
      </c>
      <c r="H7" s="593"/>
      <c r="I7" s="592" t="s">
        <v>105</v>
      </c>
      <c r="J7" s="593"/>
      <c r="K7" s="592" t="s">
        <v>106</v>
      </c>
      <c r="L7" s="593"/>
      <c r="M7" s="592" t="s">
        <v>107</v>
      </c>
      <c r="N7" s="593"/>
      <c r="O7" s="596"/>
      <c r="P7" s="597"/>
      <c r="Q7" s="587"/>
      <c r="R7" s="587"/>
      <c r="S7" s="587"/>
      <c r="T7" s="587"/>
      <c r="U7" s="584"/>
    </row>
    <row r="8" spans="1:42" ht="25.5" x14ac:dyDescent="0.25">
      <c r="A8" s="588"/>
      <c r="B8" s="588"/>
      <c r="C8" s="591"/>
      <c r="D8" s="591"/>
      <c r="E8" s="591"/>
      <c r="F8" s="591"/>
      <c r="G8" s="442" t="s">
        <v>108</v>
      </c>
      <c r="H8" s="442" t="s">
        <v>12</v>
      </c>
      <c r="I8" s="442" t="s">
        <v>108</v>
      </c>
      <c r="J8" s="442" t="s">
        <v>12</v>
      </c>
      <c r="K8" s="442" t="s">
        <v>108</v>
      </c>
      <c r="L8" s="442" t="s">
        <v>12</v>
      </c>
      <c r="M8" s="442" t="s">
        <v>108</v>
      </c>
      <c r="N8" s="442" t="s">
        <v>12</v>
      </c>
      <c r="O8" s="442" t="s">
        <v>108</v>
      </c>
      <c r="P8" s="442" t="s">
        <v>12</v>
      </c>
      <c r="Q8" s="588"/>
      <c r="R8" s="588"/>
      <c r="S8" s="588"/>
      <c r="T8" s="588"/>
      <c r="U8" s="585"/>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99" t="s">
        <v>1488</v>
      </c>
      <c r="B10" s="599"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600"/>
      <c r="B11" s="600"/>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600"/>
      <c r="B12" s="600"/>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600"/>
      <c r="B13" s="600"/>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600"/>
      <c r="B14" s="600"/>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600"/>
      <c r="B15" s="600"/>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600"/>
      <c r="B16" s="600"/>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600"/>
      <c r="B17" s="601"/>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600"/>
      <c r="B18" s="599"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600"/>
      <c r="B19" s="600"/>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600"/>
      <c r="B20" s="600"/>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600"/>
      <c r="B21" s="600"/>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600"/>
      <c r="B22" s="600"/>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600"/>
      <c r="B23" s="600"/>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600"/>
      <c r="B24" s="601"/>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600"/>
      <c r="B25" s="599"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600"/>
      <c r="B26" s="600"/>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600"/>
      <c r="B27" s="600"/>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600"/>
      <c r="B28" s="601"/>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600"/>
      <c r="B29" s="599"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600"/>
      <c r="B30" s="600"/>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600"/>
      <c r="B31" s="600"/>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600"/>
      <c r="B32" s="600"/>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600"/>
      <c r="B33" s="600"/>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600"/>
      <c r="B34" s="600"/>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600"/>
      <c r="B35" s="600"/>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600"/>
      <c r="B36" s="600"/>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600"/>
      <c r="B37" s="600"/>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600"/>
      <c r="B38" s="600"/>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600"/>
      <c r="B39" s="600"/>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601"/>
      <c r="B40" s="601"/>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99" t="s">
        <v>1493</v>
      </c>
      <c r="B41" s="599"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600"/>
      <c r="B42" s="600"/>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600"/>
      <c r="B43" s="600"/>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600"/>
      <c r="B44" s="600"/>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600"/>
      <c r="B45" s="600"/>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600"/>
      <c r="B46" s="600"/>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600"/>
      <c r="B47" s="600"/>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600"/>
      <c r="B48" s="600"/>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600"/>
      <c r="B49" s="601"/>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600"/>
      <c r="B50" s="599"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600"/>
      <c r="B51" s="600"/>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600"/>
      <c r="B52" s="600"/>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600"/>
      <c r="B53" s="600"/>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600"/>
      <c r="B54" s="600"/>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600"/>
      <c r="B55" s="600"/>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600"/>
      <c r="B56" s="600"/>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600"/>
      <c r="B57" s="600"/>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600"/>
      <c r="B58" s="600"/>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600"/>
      <c r="B59" s="600"/>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600"/>
      <c r="B60" s="600"/>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600"/>
      <c r="B61" s="600"/>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601"/>
      <c r="B62" s="601"/>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99"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600"/>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600"/>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600"/>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600"/>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600"/>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601"/>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C18" sqref="C18"/>
    </sheetView>
  </sheetViews>
  <sheetFormatPr baseColWidth="10" defaultRowHeight="15" x14ac:dyDescent="0.25"/>
  <cols>
    <col min="1" max="1" width="35.7109375" style="465" customWidth="1"/>
    <col min="2" max="2" width="35.85546875" style="465" customWidth="1"/>
    <col min="3" max="6" width="27.42578125" style="465" customWidth="1"/>
    <col min="7" max="7" width="15.28515625" style="465" customWidth="1"/>
    <col min="8" max="8" width="11.42578125" style="234"/>
    <col min="9" max="9" width="15.28515625" style="465" customWidth="1"/>
    <col min="10" max="10" width="18.85546875" style="234" customWidth="1"/>
    <col min="11" max="11" width="11.42578125" style="465"/>
    <col min="12" max="12" width="11.42578125" style="234"/>
    <col min="13" max="13" width="11.42578125" style="465"/>
    <col min="14" max="14" width="11.42578125" style="234"/>
    <col min="15" max="15" width="15.28515625" style="465" customWidth="1"/>
    <col min="16" max="16" width="18.28515625" style="234" customWidth="1"/>
    <col min="17" max="17" width="14.140625" style="465" hidden="1" customWidth="1"/>
    <col min="18" max="20" width="14.140625" style="465" customWidth="1"/>
    <col min="21" max="21" width="17" style="465" customWidth="1"/>
    <col min="22" max="16384" width="11.42578125" style="465"/>
  </cols>
  <sheetData>
    <row r="1" spans="1:42" ht="21" x14ac:dyDescent="0.25">
      <c r="A1" s="411"/>
      <c r="B1" s="411"/>
      <c r="C1" s="411"/>
      <c r="D1" s="411"/>
      <c r="E1" s="648" t="s">
        <v>1515</v>
      </c>
      <c r="F1" s="648"/>
      <c r="G1" s="648"/>
      <c r="H1" s="648"/>
      <c r="I1" s="648"/>
      <c r="J1" s="648"/>
      <c r="K1" s="648"/>
      <c r="L1" s="648"/>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87" t="s">
        <v>97</v>
      </c>
      <c r="B7" s="586" t="s">
        <v>111</v>
      </c>
      <c r="C7" s="589" t="s">
        <v>86</v>
      </c>
      <c r="D7" s="589" t="s">
        <v>87</v>
      </c>
      <c r="E7" s="589" t="s">
        <v>392</v>
      </c>
      <c r="F7" s="589" t="s">
        <v>88</v>
      </c>
      <c r="G7" s="592" t="s">
        <v>100</v>
      </c>
      <c r="H7" s="598"/>
      <c r="I7" s="598"/>
      <c r="J7" s="598"/>
      <c r="K7" s="598"/>
      <c r="L7" s="598"/>
      <c r="M7" s="598"/>
      <c r="N7" s="593"/>
      <c r="O7" s="594" t="s">
        <v>101</v>
      </c>
      <c r="P7" s="595"/>
      <c r="Q7" s="586" t="s">
        <v>102</v>
      </c>
      <c r="R7" s="586" t="s">
        <v>103</v>
      </c>
      <c r="S7" s="586" t="s">
        <v>110</v>
      </c>
      <c r="T7" s="586" t="s">
        <v>109</v>
      </c>
      <c r="U7" s="583" t="s">
        <v>89</v>
      </c>
    </row>
    <row r="8" spans="1:42" ht="15" customHeight="1" x14ac:dyDescent="0.25">
      <c r="A8" s="587"/>
      <c r="B8" s="587"/>
      <c r="C8" s="590"/>
      <c r="D8" s="590"/>
      <c r="E8" s="590"/>
      <c r="F8" s="590"/>
      <c r="G8" s="592" t="s">
        <v>104</v>
      </c>
      <c r="H8" s="593"/>
      <c r="I8" s="592" t="s">
        <v>105</v>
      </c>
      <c r="J8" s="593"/>
      <c r="K8" s="592" t="s">
        <v>106</v>
      </c>
      <c r="L8" s="593"/>
      <c r="M8" s="592" t="s">
        <v>107</v>
      </c>
      <c r="N8" s="593"/>
      <c r="O8" s="596"/>
      <c r="P8" s="597"/>
      <c r="Q8" s="587"/>
      <c r="R8" s="587"/>
      <c r="S8" s="587"/>
      <c r="T8" s="587"/>
      <c r="U8" s="584"/>
    </row>
    <row r="9" spans="1:42" ht="25.5" x14ac:dyDescent="0.25">
      <c r="A9" s="588"/>
      <c r="B9" s="588"/>
      <c r="C9" s="591"/>
      <c r="D9" s="591"/>
      <c r="E9" s="591"/>
      <c r="F9" s="591"/>
      <c r="G9" s="442" t="s">
        <v>108</v>
      </c>
      <c r="H9" s="442" t="s">
        <v>12</v>
      </c>
      <c r="I9" s="442" t="s">
        <v>108</v>
      </c>
      <c r="J9" s="442" t="s">
        <v>12</v>
      </c>
      <c r="K9" s="442" t="s">
        <v>108</v>
      </c>
      <c r="L9" s="442" t="s">
        <v>12</v>
      </c>
      <c r="M9" s="442" t="s">
        <v>108</v>
      </c>
      <c r="N9" s="442" t="s">
        <v>12</v>
      </c>
      <c r="O9" s="442" t="s">
        <v>108</v>
      </c>
      <c r="P9" s="442" t="s">
        <v>12</v>
      </c>
      <c r="Q9" s="588"/>
      <c r="R9" s="588"/>
      <c r="S9" s="588"/>
      <c r="T9" s="588"/>
      <c r="U9" s="585"/>
    </row>
    <row r="10" spans="1:42" ht="15.75" x14ac:dyDescent="0.25">
      <c r="A10" s="500"/>
      <c r="B10" s="501"/>
      <c r="C10" s="445"/>
      <c r="D10" s="445"/>
      <c r="E10" s="446"/>
      <c r="F10" s="445"/>
      <c r="G10" s="447"/>
      <c r="H10" s="447"/>
      <c r="I10" s="447"/>
      <c r="J10" s="447"/>
      <c r="K10" s="447"/>
      <c r="L10" s="447"/>
      <c r="M10" s="447"/>
      <c r="N10" s="447"/>
      <c r="O10" s="447"/>
      <c r="P10" s="447"/>
      <c r="Q10" s="448"/>
      <c r="R10" s="448"/>
      <c r="S10" s="448"/>
      <c r="T10" s="448"/>
      <c r="U10" s="449"/>
    </row>
    <row r="11" spans="1:42" s="499" customFormat="1" ht="21.75" customHeight="1" x14ac:dyDescent="0.25">
      <c r="A11" s="606" t="s">
        <v>1511</v>
      </c>
      <c r="B11" s="649" t="s">
        <v>1539</v>
      </c>
      <c r="C11" s="494"/>
      <c r="D11" s="494"/>
      <c r="E11" s="495"/>
      <c r="F11" s="494"/>
      <c r="G11" s="496"/>
      <c r="H11" s="496"/>
      <c r="I11" s="496"/>
      <c r="J11" s="496"/>
      <c r="K11" s="496"/>
      <c r="L11" s="496"/>
      <c r="M11" s="496"/>
      <c r="N11" s="496"/>
      <c r="O11" s="496"/>
      <c r="P11" s="496"/>
      <c r="Q11" s="497"/>
      <c r="R11" s="497"/>
      <c r="S11" s="497"/>
      <c r="T11" s="497"/>
      <c r="U11" s="498"/>
    </row>
    <row r="12" spans="1:42" s="499" customFormat="1" ht="15.75" x14ac:dyDescent="0.25">
      <c r="A12" s="606"/>
      <c r="B12" s="650"/>
      <c r="C12" s="494"/>
      <c r="D12" s="494"/>
      <c r="E12" s="495"/>
      <c r="F12" s="494"/>
      <c r="G12" s="496"/>
      <c r="H12" s="496"/>
      <c r="I12" s="496"/>
      <c r="J12" s="496"/>
      <c r="K12" s="496"/>
      <c r="L12" s="496"/>
      <c r="M12" s="496"/>
      <c r="N12" s="496"/>
      <c r="O12" s="496"/>
      <c r="P12" s="496"/>
      <c r="Q12" s="497"/>
      <c r="R12" s="497"/>
      <c r="S12" s="497"/>
      <c r="T12" s="497"/>
      <c r="U12" s="498"/>
    </row>
    <row r="13" spans="1:42" s="499" customFormat="1" ht="15.75" x14ac:dyDescent="0.25">
      <c r="A13" s="606"/>
      <c r="B13" s="650"/>
      <c r="C13" s="494"/>
      <c r="D13" s="494"/>
      <c r="E13" s="495"/>
      <c r="F13" s="494"/>
      <c r="G13" s="496"/>
      <c r="H13" s="496"/>
      <c r="I13" s="496"/>
      <c r="J13" s="496"/>
      <c r="K13" s="496"/>
      <c r="L13" s="496"/>
      <c r="M13" s="496"/>
      <c r="N13" s="496"/>
      <c r="O13" s="496"/>
      <c r="P13" s="496"/>
      <c r="Q13" s="497"/>
      <c r="R13" s="497"/>
      <c r="S13" s="497"/>
      <c r="T13" s="497"/>
      <c r="U13" s="498"/>
    </row>
    <row r="14" spans="1:42" s="499" customFormat="1" ht="15.75" x14ac:dyDescent="0.25">
      <c r="A14" s="606"/>
      <c r="B14" s="650"/>
      <c r="C14" s="494"/>
      <c r="D14" s="494"/>
      <c r="E14" s="495"/>
      <c r="F14" s="494"/>
      <c r="G14" s="496"/>
      <c r="H14" s="496"/>
      <c r="I14" s="496"/>
      <c r="J14" s="496"/>
      <c r="K14" s="496"/>
      <c r="L14" s="496"/>
      <c r="M14" s="496"/>
      <c r="N14" s="496"/>
      <c r="O14" s="496"/>
      <c r="P14" s="496"/>
      <c r="Q14" s="497"/>
      <c r="R14" s="497"/>
      <c r="S14" s="497"/>
      <c r="T14" s="497"/>
      <c r="U14" s="498"/>
    </row>
    <row r="15" spans="1:42" s="499" customFormat="1" ht="15.75" x14ac:dyDescent="0.25">
      <c r="A15" s="606"/>
      <c r="B15" s="650"/>
      <c r="C15" s="494"/>
      <c r="D15" s="494"/>
      <c r="E15" s="495"/>
      <c r="F15" s="494"/>
      <c r="G15" s="496"/>
      <c r="H15" s="496"/>
      <c r="I15" s="496"/>
      <c r="J15" s="496"/>
      <c r="K15" s="496"/>
      <c r="L15" s="496"/>
      <c r="M15" s="496"/>
      <c r="N15" s="496"/>
      <c r="O15" s="496"/>
      <c r="P15" s="496"/>
      <c r="Q15" s="497"/>
      <c r="R15" s="497"/>
      <c r="S15" s="497"/>
      <c r="T15" s="497"/>
      <c r="U15" s="498"/>
    </row>
    <row r="16" spans="1:42" s="499" customFormat="1" ht="15.75" x14ac:dyDescent="0.25">
      <c r="A16" s="606"/>
      <c r="B16" s="650"/>
      <c r="C16" s="494"/>
      <c r="D16" s="494"/>
      <c r="E16" s="495"/>
      <c r="F16" s="494"/>
      <c r="G16" s="496"/>
      <c r="H16" s="496"/>
      <c r="I16" s="496"/>
      <c r="J16" s="496"/>
      <c r="K16" s="496"/>
      <c r="L16" s="496"/>
      <c r="M16" s="496"/>
      <c r="N16" s="496"/>
      <c r="O16" s="496"/>
      <c r="P16" s="496"/>
      <c r="Q16" s="497"/>
      <c r="R16" s="497"/>
      <c r="S16" s="497"/>
      <c r="T16" s="497"/>
      <c r="U16" s="498"/>
    </row>
    <row r="17" spans="1:21" s="499" customFormat="1" ht="15.75" hidden="1" x14ac:dyDescent="0.25">
      <c r="A17" s="606"/>
      <c r="B17" s="651"/>
      <c r="C17" s="494"/>
      <c r="D17" s="494"/>
      <c r="E17" s="495"/>
      <c r="F17" s="494"/>
      <c r="G17" s="496"/>
      <c r="H17" s="496"/>
      <c r="I17" s="496"/>
      <c r="J17" s="496"/>
      <c r="K17" s="496"/>
      <c r="L17" s="496"/>
      <c r="M17" s="496"/>
      <c r="N17" s="496"/>
      <c r="O17" s="496"/>
      <c r="P17" s="496"/>
      <c r="Q17" s="497"/>
      <c r="R17" s="497"/>
      <c r="S17" s="497"/>
      <c r="T17" s="497"/>
      <c r="U17" s="498"/>
    </row>
    <row r="18" spans="1:21" ht="15.75" customHeight="1" x14ac:dyDescent="0.25">
      <c r="A18" s="606"/>
      <c r="B18" s="599" t="s">
        <v>1525</v>
      </c>
      <c r="C18" s="490"/>
      <c r="D18" s="490"/>
      <c r="E18" s="490"/>
      <c r="F18" s="363"/>
      <c r="G18" s="491"/>
      <c r="H18" s="492"/>
      <c r="I18" s="491"/>
      <c r="J18" s="492"/>
      <c r="K18" s="491"/>
      <c r="L18" s="492"/>
      <c r="M18" s="491"/>
      <c r="N18" s="492"/>
      <c r="O18" s="405">
        <f t="shared" ref="O18:P22" si="0">G18+I18+K18+M18</f>
        <v>0</v>
      </c>
      <c r="P18" s="403">
        <f t="shared" si="0"/>
        <v>0</v>
      </c>
      <c r="Q18" s="363"/>
      <c r="R18" s="363"/>
      <c r="S18" s="363"/>
      <c r="T18" s="363"/>
      <c r="U18" s="363"/>
    </row>
    <row r="19" spans="1:21" ht="15.75" x14ac:dyDescent="0.25">
      <c r="A19" s="606"/>
      <c r="B19" s="600"/>
      <c r="C19" s="490"/>
      <c r="D19" s="490"/>
      <c r="E19" s="490"/>
      <c r="F19" s="363"/>
      <c r="G19" s="491"/>
      <c r="H19" s="492"/>
      <c r="I19" s="491"/>
      <c r="J19" s="492"/>
      <c r="K19" s="491"/>
      <c r="L19" s="492"/>
      <c r="M19" s="491"/>
      <c r="N19" s="492"/>
      <c r="O19" s="405">
        <f t="shared" si="0"/>
        <v>0</v>
      </c>
      <c r="P19" s="403">
        <f t="shared" si="0"/>
        <v>0</v>
      </c>
      <c r="Q19" s="363"/>
      <c r="R19" s="363"/>
      <c r="S19" s="363"/>
      <c r="T19" s="363"/>
      <c r="U19" s="363"/>
    </row>
    <row r="20" spans="1:21" ht="15.75" x14ac:dyDescent="0.25">
      <c r="A20" s="606"/>
      <c r="B20" s="600"/>
      <c r="C20" s="490"/>
      <c r="D20" s="490"/>
      <c r="E20" s="490"/>
      <c r="F20" s="363"/>
      <c r="G20" s="491"/>
      <c r="H20" s="492"/>
      <c r="I20" s="491"/>
      <c r="J20" s="492"/>
      <c r="K20" s="491"/>
      <c r="L20" s="492"/>
      <c r="M20" s="491"/>
      <c r="N20" s="492"/>
      <c r="O20" s="405">
        <f t="shared" si="0"/>
        <v>0</v>
      </c>
      <c r="P20" s="403">
        <f t="shared" si="0"/>
        <v>0</v>
      </c>
      <c r="Q20" s="363"/>
      <c r="R20" s="363"/>
      <c r="S20" s="363"/>
      <c r="T20" s="363"/>
      <c r="U20" s="363"/>
    </row>
    <row r="21" spans="1:21" ht="15.75" x14ac:dyDescent="0.25">
      <c r="A21" s="606"/>
      <c r="B21" s="600"/>
      <c r="C21" s="490"/>
      <c r="D21" s="490"/>
      <c r="E21" s="490"/>
      <c r="F21" s="363"/>
      <c r="G21" s="491"/>
      <c r="H21" s="492"/>
      <c r="I21" s="491"/>
      <c r="J21" s="492"/>
      <c r="K21" s="491"/>
      <c r="L21" s="492"/>
      <c r="M21" s="491"/>
      <c r="N21" s="492"/>
      <c r="O21" s="405">
        <f t="shared" si="0"/>
        <v>0</v>
      </c>
      <c r="P21" s="403">
        <f t="shared" si="0"/>
        <v>0</v>
      </c>
      <c r="Q21" s="363"/>
      <c r="R21" s="363"/>
      <c r="S21" s="363"/>
      <c r="T21" s="363"/>
      <c r="U21" s="363"/>
    </row>
    <row r="22" spans="1:21" ht="15.75" x14ac:dyDescent="0.25">
      <c r="A22" s="606"/>
      <c r="B22" s="599" t="s">
        <v>1526</v>
      </c>
      <c r="C22" s="490"/>
      <c r="D22" s="490"/>
      <c r="E22" s="490"/>
      <c r="F22" s="363"/>
      <c r="G22" s="491"/>
      <c r="H22" s="492"/>
      <c r="I22" s="491"/>
      <c r="J22" s="492"/>
      <c r="K22" s="491"/>
      <c r="L22" s="492"/>
      <c r="M22" s="491"/>
      <c r="N22" s="492"/>
      <c r="O22" s="405">
        <f t="shared" si="0"/>
        <v>0</v>
      </c>
      <c r="P22" s="403">
        <f t="shared" si="0"/>
        <v>0</v>
      </c>
      <c r="Q22" s="363"/>
      <c r="R22" s="363"/>
      <c r="S22" s="363"/>
      <c r="T22" s="363"/>
      <c r="U22" s="363"/>
    </row>
    <row r="23" spans="1:21" ht="15.75" x14ac:dyDescent="0.25">
      <c r="A23" s="606"/>
      <c r="B23" s="600"/>
      <c r="C23" s="490"/>
      <c r="D23" s="490"/>
      <c r="E23" s="490"/>
      <c r="F23" s="363"/>
      <c r="G23" s="491"/>
      <c r="H23" s="492"/>
      <c r="I23" s="491"/>
      <c r="J23" s="492"/>
      <c r="K23" s="491"/>
      <c r="L23" s="492"/>
      <c r="M23" s="491"/>
      <c r="N23" s="492"/>
      <c r="O23" s="405">
        <f t="shared" ref="O23:O72" si="1">G23+I23+K23+M23</f>
        <v>0</v>
      </c>
      <c r="P23" s="403">
        <f t="shared" ref="P23:P72" si="2">H23+J23+L23+N23</f>
        <v>0</v>
      </c>
      <c r="Q23" s="363"/>
      <c r="R23" s="363"/>
      <c r="S23" s="363"/>
      <c r="T23" s="363"/>
      <c r="U23" s="363"/>
    </row>
    <row r="24" spans="1:21" ht="15.75" x14ac:dyDescent="0.25">
      <c r="A24" s="606"/>
      <c r="B24" s="600"/>
      <c r="C24" s="490"/>
      <c r="D24" s="490"/>
      <c r="E24" s="490"/>
      <c r="F24" s="363"/>
      <c r="G24" s="491"/>
      <c r="H24" s="492"/>
      <c r="I24" s="491"/>
      <c r="J24" s="492"/>
      <c r="K24" s="491"/>
      <c r="L24" s="492"/>
      <c r="M24" s="491"/>
      <c r="N24" s="492"/>
      <c r="O24" s="405">
        <f t="shared" si="1"/>
        <v>0</v>
      </c>
      <c r="P24" s="403">
        <f t="shared" si="2"/>
        <v>0</v>
      </c>
      <c r="Q24" s="363"/>
      <c r="R24" s="363"/>
      <c r="S24" s="363"/>
      <c r="T24" s="363"/>
      <c r="U24" s="363"/>
    </row>
    <row r="25" spans="1:21" ht="15.75" x14ac:dyDescent="0.25">
      <c r="A25" s="606"/>
      <c r="B25" s="601"/>
      <c r="C25" s="490"/>
      <c r="D25" s="490"/>
      <c r="E25" s="490"/>
      <c r="F25" s="363"/>
      <c r="G25" s="491"/>
      <c r="H25" s="492"/>
      <c r="I25" s="491"/>
      <c r="J25" s="492"/>
      <c r="K25" s="491"/>
      <c r="L25" s="492"/>
      <c r="M25" s="491"/>
      <c r="N25" s="492"/>
      <c r="O25" s="405">
        <f t="shared" si="1"/>
        <v>0</v>
      </c>
      <c r="P25" s="403">
        <f t="shared" si="2"/>
        <v>0</v>
      </c>
      <c r="Q25" s="363"/>
      <c r="R25" s="363"/>
      <c r="S25" s="363"/>
      <c r="T25" s="363"/>
      <c r="U25" s="363"/>
    </row>
    <row r="26" spans="1:21" ht="15.75" x14ac:dyDescent="0.25">
      <c r="A26" s="606"/>
      <c r="B26" s="599" t="s">
        <v>1527</v>
      </c>
      <c r="C26" s="490"/>
      <c r="D26" s="490"/>
      <c r="E26" s="490"/>
      <c r="F26" s="363"/>
      <c r="G26" s="491"/>
      <c r="H26" s="492"/>
      <c r="I26" s="491"/>
      <c r="J26" s="492"/>
      <c r="K26" s="491"/>
      <c r="L26" s="492"/>
      <c r="M26" s="491"/>
      <c r="N26" s="492"/>
      <c r="O26" s="405">
        <f t="shared" si="1"/>
        <v>0</v>
      </c>
      <c r="P26" s="403">
        <f t="shared" si="2"/>
        <v>0</v>
      </c>
      <c r="Q26" s="363"/>
      <c r="R26" s="363"/>
      <c r="S26" s="363"/>
      <c r="T26" s="363"/>
      <c r="U26" s="363"/>
    </row>
    <row r="27" spans="1:21" ht="15.75" x14ac:dyDescent="0.25">
      <c r="A27" s="606"/>
      <c r="B27" s="600"/>
      <c r="C27" s="490"/>
      <c r="D27" s="490"/>
      <c r="E27" s="490"/>
      <c r="F27" s="363"/>
      <c r="G27" s="491"/>
      <c r="H27" s="492"/>
      <c r="I27" s="491"/>
      <c r="J27" s="492"/>
      <c r="K27" s="491"/>
      <c r="L27" s="492"/>
      <c r="M27" s="491"/>
      <c r="N27" s="492"/>
      <c r="O27" s="405">
        <f t="shared" si="1"/>
        <v>0</v>
      </c>
      <c r="P27" s="403">
        <f t="shared" si="2"/>
        <v>0</v>
      </c>
      <c r="Q27" s="363"/>
      <c r="R27" s="363"/>
      <c r="S27" s="363"/>
      <c r="T27" s="363"/>
      <c r="U27" s="363"/>
    </row>
    <row r="28" spans="1:21" ht="15.75" x14ac:dyDescent="0.25">
      <c r="A28" s="606"/>
      <c r="B28" s="600"/>
      <c r="C28" s="490"/>
      <c r="D28" s="490"/>
      <c r="E28" s="490"/>
      <c r="F28" s="363"/>
      <c r="G28" s="491"/>
      <c r="H28" s="492"/>
      <c r="I28" s="491"/>
      <c r="J28" s="492"/>
      <c r="K28" s="491"/>
      <c r="L28" s="492"/>
      <c r="M28" s="491"/>
      <c r="N28" s="492"/>
      <c r="O28" s="405">
        <f t="shared" si="1"/>
        <v>0</v>
      </c>
      <c r="P28" s="403">
        <f t="shared" si="2"/>
        <v>0</v>
      </c>
      <c r="Q28" s="363"/>
      <c r="R28" s="363"/>
      <c r="S28" s="363"/>
      <c r="T28" s="363"/>
      <c r="U28" s="363"/>
    </row>
    <row r="29" spans="1:21" ht="15.75" x14ac:dyDescent="0.25">
      <c r="A29" s="606"/>
      <c r="B29" s="601"/>
      <c r="C29" s="490"/>
      <c r="D29" s="490"/>
      <c r="E29" s="490"/>
      <c r="F29" s="363"/>
      <c r="G29" s="491"/>
      <c r="H29" s="492"/>
      <c r="I29" s="491"/>
      <c r="J29" s="492"/>
      <c r="K29" s="491"/>
      <c r="L29" s="492"/>
      <c r="M29" s="491"/>
      <c r="N29" s="492"/>
      <c r="O29" s="405">
        <f t="shared" si="1"/>
        <v>0</v>
      </c>
      <c r="P29" s="403">
        <f t="shared" si="2"/>
        <v>0</v>
      </c>
      <c r="Q29" s="363"/>
      <c r="R29" s="363"/>
      <c r="S29" s="363"/>
      <c r="T29" s="363"/>
      <c r="U29" s="363"/>
    </row>
    <row r="30" spans="1:21" ht="15.75" x14ac:dyDescent="0.25">
      <c r="A30" s="606"/>
      <c r="B30" s="647" t="s">
        <v>1528</v>
      </c>
      <c r="C30" s="490"/>
      <c r="D30" s="490"/>
      <c r="E30" s="490"/>
      <c r="F30" s="363"/>
      <c r="G30" s="491"/>
      <c r="H30" s="492"/>
      <c r="I30" s="491"/>
      <c r="J30" s="492"/>
      <c r="K30" s="491"/>
      <c r="L30" s="492"/>
      <c r="M30" s="491"/>
      <c r="N30" s="492"/>
      <c r="O30" s="405">
        <f t="shared" si="1"/>
        <v>0</v>
      </c>
      <c r="P30" s="403">
        <f t="shared" si="2"/>
        <v>0</v>
      </c>
      <c r="Q30" s="363"/>
      <c r="R30" s="363"/>
      <c r="S30" s="363"/>
      <c r="T30" s="363"/>
      <c r="U30" s="363"/>
    </row>
    <row r="31" spans="1:21" ht="15.75" x14ac:dyDescent="0.25">
      <c r="A31" s="606"/>
      <c r="B31" s="647"/>
      <c r="C31" s="490"/>
      <c r="D31" s="490"/>
      <c r="E31" s="490"/>
      <c r="F31" s="363"/>
      <c r="G31" s="491"/>
      <c r="H31" s="492"/>
      <c r="I31" s="491"/>
      <c r="J31" s="492"/>
      <c r="K31" s="491"/>
      <c r="L31" s="492"/>
      <c r="M31" s="491"/>
      <c r="N31" s="492"/>
      <c r="O31" s="405">
        <f t="shared" si="1"/>
        <v>0</v>
      </c>
      <c r="P31" s="403">
        <f t="shared" si="2"/>
        <v>0</v>
      </c>
      <c r="Q31" s="363"/>
      <c r="R31" s="363"/>
      <c r="S31" s="363"/>
      <c r="T31" s="363"/>
      <c r="U31" s="363"/>
    </row>
    <row r="32" spans="1:21" ht="15.75" x14ac:dyDescent="0.25">
      <c r="A32" s="606"/>
      <c r="B32" s="647"/>
      <c r="C32" s="490"/>
      <c r="D32" s="490"/>
      <c r="E32" s="490"/>
      <c r="F32" s="363"/>
      <c r="G32" s="491"/>
      <c r="H32" s="492"/>
      <c r="I32" s="491"/>
      <c r="J32" s="492"/>
      <c r="K32" s="491"/>
      <c r="L32" s="492"/>
      <c r="M32" s="491"/>
      <c r="N32" s="492"/>
      <c r="O32" s="405">
        <f t="shared" si="1"/>
        <v>0</v>
      </c>
      <c r="P32" s="403">
        <f t="shared" si="2"/>
        <v>0</v>
      </c>
      <c r="Q32" s="363"/>
      <c r="R32" s="363"/>
      <c r="S32" s="363"/>
      <c r="T32" s="363"/>
      <c r="U32" s="363"/>
    </row>
    <row r="33" spans="1:21" ht="15.75" x14ac:dyDescent="0.25">
      <c r="A33" s="606"/>
      <c r="B33" s="647"/>
      <c r="C33" s="490"/>
      <c r="D33" s="490"/>
      <c r="E33" s="490"/>
      <c r="F33" s="363"/>
      <c r="G33" s="491"/>
      <c r="H33" s="492"/>
      <c r="I33" s="491"/>
      <c r="J33" s="492"/>
      <c r="K33" s="491"/>
      <c r="L33" s="492"/>
      <c r="M33" s="491"/>
      <c r="N33" s="492"/>
      <c r="O33" s="405">
        <f t="shared" si="1"/>
        <v>0</v>
      </c>
      <c r="P33" s="403">
        <f t="shared" si="2"/>
        <v>0</v>
      </c>
      <c r="Q33" s="363"/>
      <c r="R33" s="363"/>
      <c r="S33" s="363"/>
      <c r="T33" s="363"/>
      <c r="U33" s="363"/>
    </row>
    <row r="34" spans="1:21" ht="15.75" x14ac:dyDescent="0.25">
      <c r="A34" s="606"/>
      <c r="B34" s="647" t="s">
        <v>1529</v>
      </c>
      <c r="C34" s="490"/>
      <c r="D34" s="490"/>
      <c r="E34" s="490"/>
      <c r="F34" s="363"/>
      <c r="G34" s="491"/>
      <c r="H34" s="492"/>
      <c r="I34" s="491"/>
      <c r="J34" s="492"/>
      <c r="K34" s="491"/>
      <c r="L34" s="492"/>
      <c r="M34" s="491"/>
      <c r="N34" s="492"/>
      <c r="O34" s="405">
        <f t="shared" si="1"/>
        <v>0</v>
      </c>
      <c r="P34" s="403">
        <f t="shared" si="2"/>
        <v>0</v>
      </c>
      <c r="Q34" s="363"/>
      <c r="R34" s="363"/>
      <c r="S34" s="363"/>
      <c r="T34" s="363"/>
      <c r="U34" s="363"/>
    </row>
    <row r="35" spans="1:21" ht="15.75" x14ac:dyDescent="0.25">
      <c r="A35" s="606"/>
      <c r="B35" s="647"/>
      <c r="C35" s="490"/>
      <c r="D35" s="490"/>
      <c r="E35" s="490"/>
      <c r="F35" s="363"/>
      <c r="G35" s="491"/>
      <c r="H35" s="492"/>
      <c r="I35" s="491"/>
      <c r="J35" s="492"/>
      <c r="K35" s="491"/>
      <c r="L35" s="492"/>
      <c r="M35" s="491"/>
      <c r="N35" s="492"/>
      <c r="O35" s="405">
        <f t="shared" si="1"/>
        <v>0</v>
      </c>
      <c r="P35" s="403">
        <f t="shared" si="2"/>
        <v>0</v>
      </c>
      <c r="Q35" s="363"/>
      <c r="R35" s="363"/>
      <c r="S35" s="363"/>
      <c r="T35" s="363"/>
      <c r="U35" s="363"/>
    </row>
    <row r="36" spans="1:21" ht="15.75" x14ac:dyDescent="0.25">
      <c r="A36" s="606"/>
      <c r="B36" s="647"/>
      <c r="C36" s="490"/>
      <c r="D36" s="490"/>
      <c r="E36" s="490"/>
      <c r="F36" s="363"/>
      <c r="G36" s="491"/>
      <c r="H36" s="492"/>
      <c r="I36" s="491"/>
      <c r="J36" s="492"/>
      <c r="K36" s="491"/>
      <c r="L36" s="492"/>
      <c r="M36" s="491"/>
      <c r="N36" s="492"/>
      <c r="O36" s="405">
        <f t="shared" si="1"/>
        <v>0</v>
      </c>
      <c r="P36" s="403">
        <f t="shared" si="2"/>
        <v>0</v>
      </c>
      <c r="Q36" s="363"/>
      <c r="R36" s="363"/>
      <c r="S36" s="363"/>
      <c r="T36" s="363"/>
      <c r="U36" s="363"/>
    </row>
    <row r="37" spans="1:21" ht="15.75" x14ac:dyDescent="0.25">
      <c r="A37" s="607"/>
      <c r="B37" s="647"/>
      <c r="C37" s="490"/>
      <c r="D37" s="490"/>
      <c r="E37" s="490"/>
      <c r="F37" s="363"/>
      <c r="G37" s="491"/>
      <c r="H37" s="492"/>
      <c r="I37" s="491"/>
      <c r="J37" s="492"/>
      <c r="K37" s="491"/>
      <c r="L37" s="492"/>
      <c r="M37" s="491"/>
      <c r="N37" s="492"/>
      <c r="O37" s="405">
        <f t="shared" si="1"/>
        <v>0</v>
      </c>
      <c r="P37" s="403">
        <f t="shared" si="2"/>
        <v>0</v>
      </c>
      <c r="Q37" s="363"/>
      <c r="R37" s="363"/>
      <c r="S37" s="363"/>
      <c r="T37" s="363"/>
      <c r="U37" s="363"/>
    </row>
    <row r="38" spans="1:21" ht="15.75" customHeight="1" x14ac:dyDescent="0.25">
      <c r="A38" s="647" t="s">
        <v>1512</v>
      </c>
      <c r="B38" s="599" t="s">
        <v>1530</v>
      </c>
      <c r="C38" s="490"/>
      <c r="D38" s="490"/>
      <c r="E38" s="490"/>
      <c r="F38" s="363"/>
      <c r="G38" s="491"/>
      <c r="H38" s="492"/>
      <c r="I38" s="491"/>
      <c r="J38" s="492"/>
      <c r="K38" s="491"/>
      <c r="L38" s="492"/>
      <c r="M38" s="491"/>
      <c r="N38" s="492"/>
      <c r="O38" s="405">
        <f t="shared" si="1"/>
        <v>0</v>
      </c>
      <c r="P38" s="403">
        <f t="shared" si="2"/>
        <v>0</v>
      </c>
      <c r="Q38" s="363"/>
      <c r="R38" s="363"/>
      <c r="S38" s="363"/>
      <c r="T38" s="363"/>
      <c r="U38" s="363"/>
    </row>
    <row r="39" spans="1:21" ht="15.75" x14ac:dyDescent="0.25">
      <c r="A39" s="647"/>
      <c r="B39" s="600"/>
      <c r="C39" s="490"/>
      <c r="D39" s="490"/>
      <c r="E39" s="490"/>
      <c r="F39" s="363"/>
      <c r="G39" s="491"/>
      <c r="H39" s="492"/>
      <c r="I39" s="491"/>
      <c r="J39" s="492"/>
      <c r="K39" s="491"/>
      <c r="L39" s="492"/>
      <c r="M39" s="491"/>
      <c r="N39" s="492"/>
      <c r="O39" s="405">
        <f t="shared" si="1"/>
        <v>0</v>
      </c>
      <c r="P39" s="403">
        <f t="shared" si="2"/>
        <v>0</v>
      </c>
      <c r="Q39" s="363"/>
      <c r="R39" s="363"/>
      <c r="S39" s="363"/>
      <c r="T39" s="363"/>
      <c r="U39" s="363"/>
    </row>
    <row r="40" spans="1:21" ht="15.75" x14ac:dyDescent="0.25">
      <c r="A40" s="647"/>
      <c r="B40" s="600"/>
      <c r="C40" s="490"/>
      <c r="D40" s="490"/>
      <c r="E40" s="490"/>
      <c r="F40" s="363"/>
      <c r="G40" s="491"/>
      <c r="H40" s="492"/>
      <c r="I40" s="491"/>
      <c r="J40" s="492"/>
      <c r="K40" s="491"/>
      <c r="L40" s="492"/>
      <c r="M40" s="491"/>
      <c r="N40" s="492"/>
      <c r="O40" s="405">
        <f t="shared" si="1"/>
        <v>0</v>
      </c>
      <c r="P40" s="403">
        <f t="shared" si="2"/>
        <v>0</v>
      </c>
      <c r="Q40" s="363"/>
      <c r="R40" s="363"/>
      <c r="S40" s="363"/>
      <c r="T40" s="363"/>
      <c r="U40" s="363"/>
    </row>
    <row r="41" spans="1:21" ht="15.75" x14ac:dyDescent="0.25">
      <c r="A41" s="647"/>
      <c r="B41" s="601"/>
      <c r="C41" s="490"/>
      <c r="D41" s="490"/>
      <c r="E41" s="490"/>
      <c r="F41" s="363"/>
      <c r="G41" s="491"/>
      <c r="H41" s="492"/>
      <c r="I41" s="491"/>
      <c r="J41" s="492"/>
      <c r="K41" s="491"/>
      <c r="L41" s="492"/>
      <c r="M41" s="491"/>
      <c r="N41" s="492"/>
      <c r="O41" s="405">
        <f t="shared" si="1"/>
        <v>0</v>
      </c>
      <c r="P41" s="403">
        <f t="shared" si="2"/>
        <v>0</v>
      </c>
      <c r="Q41" s="363"/>
      <c r="R41" s="363"/>
      <c r="S41" s="363"/>
      <c r="T41" s="363"/>
      <c r="U41" s="363"/>
    </row>
    <row r="42" spans="1:21" ht="15.75" x14ac:dyDescent="0.25">
      <c r="A42" s="647"/>
      <c r="B42" s="599" t="s">
        <v>1531</v>
      </c>
      <c r="C42" s="490"/>
      <c r="D42" s="490"/>
      <c r="E42" s="490"/>
      <c r="F42" s="363"/>
      <c r="G42" s="491"/>
      <c r="H42" s="492"/>
      <c r="I42" s="491"/>
      <c r="J42" s="492"/>
      <c r="K42" s="491"/>
      <c r="L42" s="492"/>
      <c r="M42" s="491"/>
      <c r="N42" s="492"/>
      <c r="O42" s="405">
        <f t="shared" si="1"/>
        <v>0</v>
      </c>
      <c r="P42" s="403">
        <f t="shared" si="2"/>
        <v>0</v>
      </c>
      <c r="Q42" s="363"/>
      <c r="R42" s="363"/>
      <c r="S42" s="363"/>
      <c r="T42" s="363"/>
      <c r="U42" s="363"/>
    </row>
    <row r="43" spans="1:21" ht="15.75" x14ac:dyDescent="0.25">
      <c r="A43" s="647"/>
      <c r="B43" s="600"/>
      <c r="C43" s="490"/>
      <c r="D43" s="490"/>
      <c r="E43" s="490"/>
      <c r="F43" s="363"/>
      <c r="G43" s="491"/>
      <c r="H43" s="492"/>
      <c r="I43" s="491"/>
      <c r="J43" s="492"/>
      <c r="K43" s="491"/>
      <c r="L43" s="492"/>
      <c r="M43" s="491"/>
      <c r="N43" s="492"/>
      <c r="O43" s="405">
        <f t="shared" si="1"/>
        <v>0</v>
      </c>
      <c r="P43" s="403">
        <f t="shared" si="2"/>
        <v>0</v>
      </c>
      <c r="Q43" s="363"/>
      <c r="R43" s="363"/>
      <c r="S43" s="363"/>
      <c r="T43" s="363"/>
      <c r="U43" s="363"/>
    </row>
    <row r="44" spans="1:21" ht="15.75" x14ac:dyDescent="0.25">
      <c r="A44" s="647"/>
      <c r="B44" s="600"/>
      <c r="C44" s="490"/>
      <c r="D44" s="490"/>
      <c r="E44" s="490"/>
      <c r="F44" s="363"/>
      <c r="G44" s="491"/>
      <c r="H44" s="492"/>
      <c r="I44" s="491"/>
      <c r="J44" s="492"/>
      <c r="K44" s="491"/>
      <c r="L44" s="492"/>
      <c r="M44" s="491"/>
      <c r="N44" s="492"/>
      <c r="O44" s="405">
        <f t="shared" si="1"/>
        <v>0</v>
      </c>
      <c r="P44" s="403">
        <f t="shared" si="2"/>
        <v>0</v>
      </c>
      <c r="Q44" s="363"/>
      <c r="R44" s="363"/>
      <c r="S44" s="363"/>
      <c r="T44" s="363"/>
      <c r="U44" s="363"/>
    </row>
    <row r="45" spans="1:21" ht="15.75" x14ac:dyDescent="0.25">
      <c r="A45" s="647"/>
      <c r="B45" s="601"/>
      <c r="C45" s="490"/>
      <c r="D45" s="490"/>
      <c r="E45" s="490"/>
      <c r="F45" s="363"/>
      <c r="G45" s="491"/>
      <c r="H45" s="492"/>
      <c r="I45" s="491"/>
      <c r="J45" s="492"/>
      <c r="K45" s="491"/>
      <c r="L45" s="492"/>
      <c r="M45" s="491"/>
      <c r="N45" s="492"/>
      <c r="O45" s="405">
        <f t="shared" si="1"/>
        <v>0</v>
      </c>
      <c r="P45" s="403">
        <f t="shared" si="2"/>
        <v>0</v>
      </c>
      <c r="Q45" s="363"/>
      <c r="R45" s="363"/>
      <c r="S45" s="363"/>
      <c r="T45" s="363"/>
      <c r="U45" s="363"/>
    </row>
    <row r="46" spans="1:21" ht="15.75" x14ac:dyDescent="0.25">
      <c r="A46" s="599" t="s">
        <v>1513</v>
      </c>
      <c r="B46" s="647" t="s">
        <v>1532</v>
      </c>
      <c r="C46" s="490"/>
      <c r="D46" s="490"/>
      <c r="E46" s="490"/>
      <c r="F46" s="363"/>
      <c r="G46" s="491"/>
      <c r="H46" s="492"/>
      <c r="I46" s="491"/>
      <c r="J46" s="492"/>
      <c r="K46" s="491"/>
      <c r="L46" s="492"/>
      <c r="M46" s="491"/>
      <c r="N46" s="492"/>
      <c r="O46" s="405">
        <f t="shared" si="1"/>
        <v>0</v>
      </c>
      <c r="P46" s="403">
        <f t="shared" si="2"/>
        <v>0</v>
      </c>
      <c r="Q46" s="363"/>
      <c r="R46" s="363"/>
      <c r="S46" s="363"/>
      <c r="T46" s="363"/>
      <c r="U46" s="363"/>
    </row>
    <row r="47" spans="1:21" ht="15.75" x14ac:dyDescent="0.25">
      <c r="A47" s="600"/>
      <c r="B47" s="647"/>
      <c r="C47" s="490"/>
      <c r="D47" s="490"/>
      <c r="E47" s="490"/>
      <c r="F47" s="363"/>
      <c r="G47" s="491"/>
      <c r="H47" s="492"/>
      <c r="I47" s="491"/>
      <c r="J47" s="492"/>
      <c r="K47" s="491"/>
      <c r="L47" s="492"/>
      <c r="M47" s="491"/>
      <c r="N47" s="492"/>
      <c r="O47" s="405">
        <f t="shared" si="1"/>
        <v>0</v>
      </c>
      <c r="P47" s="403">
        <f t="shared" si="2"/>
        <v>0</v>
      </c>
      <c r="Q47" s="363"/>
      <c r="R47" s="363"/>
      <c r="S47" s="363"/>
      <c r="T47" s="363"/>
      <c r="U47" s="363"/>
    </row>
    <row r="48" spans="1:21" ht="15.75" x14ac:dyDescent="0.25">
      <c r="A48" s="600"/>
      <c r="B48" s="647"/>
      <c r="C48" s="490"/>
      <c r="D48" s="490"/>
      <c r="E48" s="490"/>
      <c r="F48" s="363"/>
      <c r="G48" s="491"/>
      <c r="H48" s="492"/>
      <c r="I48" s="491"/>
      <c r="J48" s="492"/>
      <c r="K48" s="491"/>
      <c r="L48" s="492"/>
      <c r="M48" s="491"/>
      <c r="N48" s="492"/>
      <c r="O48" s="405">
        <f t="shared" si="1"/>
        <v>0</v>
      </c>
      <c r="P48" s="403">
        <f t="shared" si="2"/>
        <v>0</v>
      </c>
      <c r="Q48" s="363"/>
      <c r="R48" s="363"/>
      <c r="S48" s="363"/>
      <c r="T48" s="363"/>
      <c r="U48" s="363"/>
    </row>
    <row r="49" spans="1:21" ht="15.75" x14ac:dyDescent="0.25">
      <c r="A49" s="600"/>
      <c r="B49" s="647"/>
      <c r="C49" s="490"/>
      <c r="D49" s="490"/>
      <c r="E49" s="490"/>
      <c r="F49" s="363"/>
      <c r="G49" s="491"/>
      <c r="H49" s="492"/>
      <c r="I49" s="491"/>
      <c r="J49" s="492"/>
      <c r="K49" s="491"/>
      <c r="L49" s="492"/>
      <c r="M49" s="491"/>
      <c r="N49" s="492"/>
      <c r="O49" s="405">
        <f t="shared" si="1"/>
        <v>0</v>
      </c>
      <c r="P49" s="403">
        <f t="shared" si="2"/>
        <v>0</v>
      </c>
      <c r="Q49" s="363"/>
      <c r="R49" s="363"/>
      <c r="S49" s="363"/>
      <c r="T49" s="363"/>
      <c r="U49" s="363"/>
    </row>
    <row r="50" spans="1:21" ht="15.75" x14ac:dyDescent="0.25">
      <c r="A50" s="600"/>
      <c r="B50" s="647" t="s">
        <v>1533</v>
      </c>
      <c r="C50" s="490"/>
      <c r="D50" s="490"/>
      <c r="E50" s="490"/>
      <c r="F50" s="363"/>
      <c r="G50" s="491"/>
      <c r="H50" s="492"/>
      <c r="I50" s="491"/>
      <c r="J50" s="492"/>
      <c r="K50" s="491"/>
      <c r="L50" s="492"/>
      <c r="M50" s="491"/>
      <c r="N50" s="492"/>
      <c r="O50" s="405">
        <f t="shared" si="1"/>
        <v>0</v>
      </c>
      <c r="P50" s="403">
        <f t="shared" si="2"/>
        <v>0</v>
      </c>
      <c r="Q50" s="363"/>
      <c r="R50" s="363"/>
      <c r="S50" s="363"/>
      <c r="T50" s="363"/>
      <c r="U50" s="363"/>
    </row>
    <row r="51" spans="1:21" ht="15.75" x14ac:dyDescent="0.25">
      <c r="A51" s="600"/>
      <c r="B51" s="647"/>
      <c r="C51" s="490"/>
      <c r="D51" s="490"/>
      <c r="E51" s="490"/>
      <c r="F51" s="363"/>
      <c r="G51" s="491"/>
      <c r="H51" s="492"/>
      <c r="I51" s="491"/>
      <c r="J51" s="492"/>
      <c r="K51" s="491"/>
      <c r="L51" s="492"/>
      <c r="M51" s="491"/>
      <c r="N51" s="492"/>
      <c r="O51" s="405">
        <f t="shared" si="1"/>
        <v>0</v>
      </c>
      <c r="P51" s="403">
        <f t="shared" si="2"/>
        <v>0</v>
      </c>
      <c r="Q51" s="363"/>
      <c r="R51" s="363"/>
      <c r="S51" s="363"/>
      <c r="T51" s="363"/>
      <c r="U51" s="363"/>
    </row>
    <row r="52" spans="1:21" ht="15.75" x14ac:dyDescent="0.25">
      <c r="A52" s="600"/>
      <c r="B52" s="647"/>
      <c r="C52" s="490"/>
      <c r="D52" s="490"/>
      <c r="E52" s="490"/>
      <c r="F52" s="363"/>
      <c r="G52" s="491"/>
      <c r="H52" s="492"/>
      <c r="I52" s="491"/>
      <c r="J52" s="492"/>
      <c r="K52" s="491"/>
      <c r="L52" s="492"/>
      <c r="M52" s="491"/>
      <c r="N52" s="492"/>
      <c r="O52" s="405">
        <f t="shared" si="1"/>
        <v>0</v>
      </c>
      <c r="P52" s="403">
        <f t="shared" si="2"/>
        <v>0</v>
      </c>
      <c r="Q52" s="363"/>
      <c r="R52" s="363"/>
      <c r="S52" s="363"/>
      <c r="T52" s="363"/>
      <c r="U52" s="363"/>
    </row>
    <row r="53" spans="1:21" ht="15.75" x14ac:dyDescent="0.25">
      <c r="A53" s="600"/>
      <c r="B53" s="647"/>
      <c r="C53" s="490"/>
      <c r="D53" s="490"/>
      <c r="E53" s="490"/>
      <c r="F53" s="363"/>
      <c r="G53" s="491"/>
      <c r="H53" s="492"/>
      <c r="I53" s="491"/>
      <c r="J53" s="492"/>
      <c r="K53" s="491"/>
      <c r="L53" s="492"/>
      <c r="M53" s="491"/>
      <c r="N53" s="492"/>
      <c r="O53" s="405">
        <f t="shared" si="1"/>
        <v>0</v>
      </c>
      <c r="P53" s="403">
        <f t="shared" si="2"/>
        <v>0</v>
      </c>
      <c r="Q53" s="363"/>
      <c r="R53" s="363"/>
      <c r="S53" s="363"/>
      <c r="T53" s="363"/>
      <c r="U53" s="363"/>
    </row>
    <row r="54" spans="1:21" ht="15.75" x14ac:dyDescent="0.25">
      <c r="A54" s="600"/>
      <c r="B54" s="599" t="s">
        <v>1534</v>
      </c>
      <c r="C54" s="490"/>
      <c r="D54" s="490"/>
      <c r="E54" s="490"/>
      <c r="F54" s="363"/>
      <c r="G54" s="491"/>
      <c r="H54" s="492"/>
      <c r="I54" s="491"/>
      <c r="J54" s="492"/>
      <c r="K54" s="491"/>
      <c r="L54" s="492"/>
      <c r="M54" s="491"/>
      <c r="N54" s="492"/>
      <c r="O54" s="405">
        <f t="shared" si="1"/>
        <v>0</v>
      </c>
      <c r="P54" s="403">
        <f t="shared" si="2"/>
        <v>0</v>
      </c>
      <c r="Q54" s="363"/>
      <c r="R54" s="363"/>
      <c r="S54" s="363"/>
      <c r="T54" s="363"/>
      <c r="U54" s="363"/>
    </row>
    <row r="55" spans="1:21" ht="15.75" x14ac:dyDescent="0.25">
      <c r="A55" s="600"/>
      <c r="B55" s="600"/>
      <c r="C55" s="490"/>
      <c r="D55" s="490"/>
      <c r="E55" s="490"/>
      <c r="F55" s="363"/>
      <c r="G55" s="491"/>
      <c r="H55" s="492"/>
      <c r="I55" s="491"/>
      <c r="J55" s="492"/>
      <c r="K55" s="491"/>
      <c r="L55" s="492"/>
      <c r="M55" s="491"/>
      <c r="N55" s="492"/>
      <c r="O55" s="405">
        <f t="shared" si="1"/>
        <v>0</v>
      </c>
      <c r="P55" s="403">
        <f t="shared" si="2"/>
        <v>0</v>
      </c>
      <c r="Q55" s="363"/>
      <c r="R55" s="363"/>
      <c r="S55" s="363"/>
      <c r="T55" s="363"/>
      <c r="U55" s="363"/>
    </row>
    <row r="56" spans="1:21" ht="15.75" x14ac:dyDescent="0.25">
      <c r="A56" s="600"/>
      <c r="B56" s="600"/>
      <c r="C56" s="490"/>
      <c r="D56" s="490"/>
      <c r="E56" s="490"/>
      <c r="F56" s="363"/>
      <c r="G56" s="491"/>
      <c r="H56" s="492"/>
      <c r="I56" s="491"/>
      <c r="J56" s="492"/>
      <c r="K56" s="491"/>
      <c r="L56" s="492"/>
      <c r="M56" s="491"/>
      <c r="N56" s="492"/>
      <c r="O56" s="405">
        <f t="shared" si="1"/>
        <v>0</v>
      </c>
      <c r="P56" s="403">
        <f t="shared" si="2"/>
        <v>0</v>
      </c>
      <c r="Q56" s="363"/>
      <c r="R56" s="363"/>
      <c r="S56" s="363"/>
      <c r="T56" s="363"/>
      <c r="U56" s="363"/>
    </row>
    <row r="57" spans="1:21" ht="15.75" x14ac:dyDescent="0.25">
      <c r="A57" s="601"/>
      <c r="B57" s="601"/>
      <c r="C57" s="490"/>
      <c r="D57" s="490"/>
      <c r="E57" s="490"/>
      <c r="F57" s="363"/>
      <c r="G57" s="491"/>
      <c r="H57" s="492"/>
      <c r="I57" s="491"/>
      <c r="J57" s="492"/>
      <c r="K57" s="491"/>
      <c r="L57" s="492"/>
      <c r="M57" s="491"/>
      <c r="N57" s="492"/>
      <c r="O57" s="405">
        <f t="shared" si="1"/>
        <v>0</v>
      </c>
      <c r="P57" s="403">
        <f t="shared" si="2"/>
        <v>0</v>
      </c>
      <c r="Q57" s="363"/>
      <c r="R57" s="363"/>
      <c r="S57" s="363"/>
      <c r="T57" s="363"/>
      <c r="U57" s="363"/>
    </row>
    <row r="58" spans="1:21" ht="15.75" x14ac:dyDescent="0.25">
      <c r="A58" s="599" t="s">
        <v>1514</v>
      </c>
      <c r="B58" s="599" t="s">
        <v>1535</v>
      </c>
      <c r="C58" s="490"/>
      <c r="D58" s="490"/>
      <c r="E58" s="490"/>
      <c r="F58" s="363"/>
      <c r="G58" s="491"/>
      <c r="H58" s="492"/>
      <c r="I58" s="491"/>
      <c r="J58" s="492"/>
      <c r="K58" s="491"/>
      <c r="L58" s="492"/>
      <c r="M58" s="491"/>
      <c r="N58" s="492"/>
      <c r="O58" s="405">
        <f t="shared" si="1"/>
        <v>0</v>
      </c>
      <c r="P58" s="403">
        <f t="shared" si="2"/>
        <v>0</v>
      </c>
      <c r="Q58" s="363"/>
      <c r="R58" s="363"/>
      <c r="S58" s="363"/>
      <c r="T58" s="363"/>
      <c r="U58" s="363"/>
    </row>
    <row r="59" spans="1:21" ht="15.75" x14ac:dyDescent="0.25">
      <c r="A59" s="600"/>
      <c r="B59" s="600"/>
      <c r="C59" s="490"/>
      <c r="D59" s="490"/>
      <c r="E59" s="490"/>
      <c r="F59" s="363"/>
      <c r="G59" s="491"/>
      <c r="H59" s="492"/>
      <c r="I59" s="491"/>
      <c r="J59" s="492"/>
      <c r="K59" s="491"/>
      <c r="L59" s="492"/>
      <c r="M59" s="491"/>
      <c r="N59" s="492"/>
      <c r="O59" s="405">
        <f t="shared" si="1"/>
        <v>0</v>
      </c>
      <c r="P59" s="403">
        <f t="shared" si="2"/>
        <v>0</v>
      </c>
      <c r="Q59" s="363"/>
      <c r="R59" s="363"/>
      <c r="S59" s="363"/>
      <c r="T59" s="363"/>
      <c r="U59" s="363"/>
    </row>
    <row r="60" spans="1:21" ht="15.75" x14ac:dyDescent="0.25">
      <c r="A60" s="600"/>
      <c r="B60" s="600"/>
      <c r="C60" s="490"/>
      <c r="D60" s="490"/>
      <c r="E60" s="490"/>
      <c r="F60" s="363"/>
      <c r="G60" s="491"/>
      <c r="H60" s="492"/>
      <c r="I60" s="491"/>
      <c r="J60" s="492"/>
      <c r="K60" s="491"/>
      <c r="L60" s="492"/>
      <c r="M60" s="491"/>
      <c r="N60" s="492"/>
      <c r="O60" s="405">
        <f t="shared" si="1"/>
        <v>0</v>
      </c>
      <c r="P60" s="403">
        <f t="shared" si="2"/>
        <v>0</v>
      </c>
      <c r="Q60" s="363"/>
      <c r="R60" s="363"/>
      <c r="S60" s="363"/>
      <c r="T60" s="363"/>
      <c r="U60" s="363"/>
    </row>
    <row r="61" spans="1:21" ht="15.75" x14ac:dyDescent="0.25">
      <c r="A61" s="600"/>
      <c r="B61" s="601"/>
      <c r="C61" s="490"/>
      <c r="D61" s="490"/>
      <c r="E61" s="490"/>
      <c r="F61" s="363"/>
      <c r="G61" s="491"/>
      <c r="H61" s="492"/>
      <c r="I61" s="491"/>
      <c r="J61" s="492"/>
      <c r="K61" s="491"/>
      <c r="L61" s="492"/>
      <c r="M61" s="491"/>
      <c r="N61" s="492"/>
      <c r="O61" s="405">
        <f t="shared" si="1"/>
        <v>0</v>
      </c>
      <c r="P61" s="403">
        <f t="shared" si="2"/>
        <v>0</v>
      </c>
      <c r="Q61" s="363"/>
      <c r="R61" s="363"/>
      <c r="S61" s="363"/>
      <c r="T61" s="363"/>
      <c r="U61" s="363"/>
    </row>
    <row r="62" spans="1:21" ht="15.75" x14ac:dyDescent="0.25">
      <c r="A62" s="600"/>
      <c r="B62" s="599" t="s">
        <v>1536</v>
      </c>
      <c r="C62" s="490"/>
      <c r="D62" s="490"/>
      <c r="E62" s="490"/>
      <c r="F62" s="363"/>
      <c r="G62" s="491"/>
      <c r="H62" s="492"/>
      <c r="I62" s="491"/>
      <c r="J62" s="492"/>
      <c r="K62" s="491"/>
      <c r="L62" s="492"/>
      <c r="M62" s="491"/>
      <c r="N62" s="492"/>
      <c r="O62" s="405">
        <f t="shared" si="1"/>
        <v>0</v>
      </c>
      <c r="P62" s="403">
        <f t="shared" si="2"/>
        <v>0</v>
      </c>
      <c r="Q62" s="363"/>
      <c r="R62" s="363"/>
      <c r="S62" s="363"/>
      <c r="T62" s="363"/>
      <c r="U62" s="363"/>
    </row>
    <row r="63" spans="1:21" ht="15.75" x14ac:dyDescent="0.25">
      <c r="A63" s="600"/>
      <c r="B63" s="600"/>
      <c r="C63" s="490"/>
      <c r="D63" s="490"/>
      <c r="E63" s="490"/>
      <c r="F63" s="363"/>
      <c r="G63" s="491"/>
      <c r="H63" s="492"/>
      <c r="I63" s="491"/>
      <c r="J63" s="492"/>
      <c r="K63" s="491"/>
      <c r="L63" s="492"/>
      <c r="M63" s="491"/>
      <c r="N63" s="492"/>
      <c r="O63" s="405">
        <f t="shared" si="1"/>
        <v>0</v>
      </c>
      <c r="P63" s="403">
        <f t="shared" si="2"/>
        <v>0</v>
      </c>
      <c r="Q63" s="363"/>
      <c r="R63" s="363"/>
      <c r="S63" s="363"/>
      <c r="T63" s="363"/>
      <c r="U63" s="363"/>
    </row>
    <row r="64" spans="1:21" ht="15.75" x14ac:dyDescent="0.25">
      <c r="A64" s="600"/>
      <c r="B64" s="600"/>
      <c r="C64" s="490"/>
      <c r="D64" s="490"/>
      <c r="E64" s="490"/>
      <c r="F64" s="363"/>
      <c r="G64" s="491"/>
      <c r="H64" s="492"/>
      <c r="I64" s="491"/>
      <c r="J64" s="492"/>
      <c r="K64" s="491"/>
      <c r="L64" s="492"/>
      <c r="M64" s="491"/>
      <c r="N64" s="492"/>
      <c r="O64" s="405">
        <f t="shared" si="1"/>
        <v>0</v>
      </c>
      <c r="P64" s="403">
        <f t="shared" si="2"/>
        <v>0</v>
      </c>
      <c r="Q64" s="363"/>
      <c r="R64" s="363"/>
      <c r="S64" s="363"/>
      <c r="T64" s="363"/>
      <c r="U64" s="363"/>
    </row>
    <row r="65" spans="1:21" ht="15.75" x14ac:dyDescent="0.25">
      <c r="A65" s="600"/>
      <c r="B65" s="601"/>
      <c r="C65" s="490"/>
      <c r="D65" s="490"/>
      <c r="E65" s="490"/>
      <c r="F65" s="363"/>
      <c r="G65" s="491"/>
      <c r="H65" s="492"/>
      <c r="I65" s="491"/>
      <c r="J65" s="492"/>
      <c r="K65" s="491"/>
      <c r="L65" s="492"/>
      <c r="M65" s="491"/>
      <c r="N65" s="492"/>
      <c r="O65" s="405">
        <f t="shared" si="1"/>
        <v>0</v>
      </c>
      <c r="P65" s="403">
        <f t="shared" si="2"/>
        <v>0</v>
      </c>
      <c r="Q65" s="363"/>
      <c r="R65" s="363"/>
      <c r="S65" s="363"/>
      <c r="T65" s="363"/>
      <c r="U65" s="363"/>
    </row>
    <row r="66" spans="1:21" ht="15.75" x14ac:dyDescent="0.25">
      <c r="A66" s="600"/>
      <c r="B66" s="599" t="s">
        <v>1537</v>
      </c>
      <c r="C66" s="490"/>
      <c r="D66" s="490"/>
      <c r="E66" s="490"/>
      <c r="F66" s="363"/>
      <c r="G66" s="491"/>
      <c r="H66" s="492"/>
      <c r="I66" s="491"/>
      <c r="J66" s="492"/>
      <c r="K66" s="491"/>
      <c r="L66" s="492"/>
      <c r="M66" s="491"/>
      <c r="N66" s="492"/>
      <c r="O66" s="405">
        <f t="shared" si="1"/>
        <v>0</v>
      </c>
      <c r="P66" s="403">
        <f t="shared" si="2"/>
        <v>0</v>
      </c>
      <c r="Q66" s="363"/>
      <c r="R66" s="363"/>
      <c r="S66" s="363"/>
      <c r="T66" s="363"/>
      <c r="U66" s="363"/>
    </row>
    <row r="67" spans="1:21" ht="15.75" x14ac:dyDescent="0.25">
      <c r="A67" s="600"/>
      <c r="B67" s="600"/>
      <c r="C67" s="490"/>
      <c r="D67" s="490"/>
      <c r="E67" s="490"/>
      <c r="F67" s="363"/>
      <c r="G67" s="491"/>
      <c r="H67" s="492"/>
      <c r="I67" s="491"/>
      <c r="J67" s="492"/>
      <c r="K67" s="491"/>
      <c r="L67" s="492"/>
      <c r="M67" s="491"/>
      <c r="N67" s="492"/>
      <c r="O67" s="405">
        <f t="shared" si="1"/>
        <v>0</v>
      </c>
      <c r="P67" s="403">
        <f t="shared" si="2"/>
        <v>0</v>
      </c>
      <c r="Q67" s="363"/>
      <c r="R67" s="363"/>
      <c r="S67" s="363"/>
      <c r="T67" s="363"/>
      <c r="U67" s="363"/>
    </row>
    <row r="68" spans="1:21" ht="15.75" x14ac:dyDescent="0.25">
      <c r="A68" s="600"/>
      <c r="B68" s="600"/>
      <c r="C68" s="490"/>
      <c r="D68" s="490"/>
      <c r="E68" s="490"/>
      <c r="F68" s="363"/>
      <c r="G68" s="491"/>
      <c r="H68" s="492"/>
      <c r="I68" s="491"/>
      <c r="J68" s="492"/>
      <c r="K68" s="491"/>
      <c r="L68" s="492"/>
      <c r="M68" s="491"/>
      <c r="N68" s="492"/>
      <c r="O68" s="405">
        <f t="shared" si="1"/>
        <v>0</v>
      </c>
      <c r="P68" s="403">
        <f t="shared" si="2"/>
        <v>0</v>
      </c>
      <c r="Q68" s="363"/>
      <c r="R68" s="363"/>
      <c r="S68" s="363"/>
      <c r="T68" s="363"/>
      <c r="U68" s="363"/>
    </row>
    <row r="69" spans="1:21" ht="15.75" x14ac:dyDescent="0.25">
      <c r="A69" s="600"/>
      <c r="B69" s="601"/>
      <c r="C69" s="490"/>
      <c r="D69" s="490"/>
      <c r="E69" s="490"/>
      <c r="F69" s="363"/>
      <c r="G69" s="491"/>
      <c r="H69" s="492"/>
      <c r="I69" s="491"/>
      <c r="J69" s="492"/>
      <c r="K69" s="491"/>
      <c r="L69" s="492"/>
      <c r="M69" s="491"/>
      <c r="N69" s="492"/>
      <c r="O69" s="405">
        <f t="shared" si="1"/>
        <v>0</v>
      </c>
      <c r="P69" s="403">
        <f t="shared" si="2"/>
        <v>0</v>
      </c>
      <c r="Q69" s="363"/>
      <c r="R69" s="363"/>
      <c r="S69" s="363"/>
      <c r="T69" s="363"/>
      <c r="U69" s="363"/>
    </row>
    <row r="70" spans="1:21" ht="15.75" x14ac:dyDescent="0.25">
      <c r="A70" s="600"/>
      <c r="B70" s="599" t="s">
        <v>1538</v>
      </c>
      <c r="C70" s="490"/>
      <c r="D70" s="490"/>
      <c r="E70" s="490"/>
      <c r="F70" s="363"/>
      <c r="G70" s="491"/>
      <c r="H70" s="492"/>
      <c r="I70" s="491"/>
      <c r="J70" s="492"/>
      <c r="K70" s="491"/>
      <c r="L70" s="492"/>
      <c r="M70" s="491"/>
      <c r="N70" s="492"/>
      <c r="O70" s="405">
        <f t="shared" si="1"/>
        <v>0</v>
      </c>
      <c r="P70" s="403">
        <f t="shared" si="2"/>
        <v>0</v>
      </c>
      <c r="Q70" s="363"/>
      <c r="R70" s="363"/>
      <c r="S70" s="363"/>
      <c r="T70" s="363"/>
      <c r="U70" s="363"/>
    </row>
    <row r="71" spans="1:21" ht="15.75" x14ac:dyDescent="0.25">
      <c r="A71" s="600"/>
      <c r="B71" s="600"/>
      <c r="C71" s="490"/>
      <c r="D71" s="490"/>
      <c r="E71" s="490"/>
      <c r="F71" s="363"/>
      <c r="G71" s="491"/>
      <c r="H71" s="492"/>
      <c r="I71" s="491"/>
      <c r="J71" s="492"/>
      <c r="K71" s="491"/>
      <c r="L71" s="492"/>
      <c r="M71" s="491"/>
      <c r="N71" s="492"/>
      <c r="O71" s="405">
        <f t="shared" si="1"/>
        <v>0</v>
      </c>
      <c r="P71" s="403">
        <f t="shared" si="2"/>
        <v>0</v>
      </c>
      <c r="Q71" s="363"/>
      <c r="R71" s="363"/>
      <c r="S71" s="363"/>
      <c r="T71" s="363"/>
      <c r="U71" s="363"/>
    </row>
    <row r="72" spans="1:21" ht="15.75" x14ac:dyDescent="0.25">
      <c r="A72" s="600"/>
      <c r="B72" s="600"/>
      <c r="C72" s="490"/>
      <c r="D72" s="490"/>
      <c r="E72" s="490"/>
      <c r="F72" s="363"/>
      <c r="G72" s="491"/>
      <c r="H72" s="492"/>
      <c r="I72" s="491"/>
      <c r="J72" s="492"/>
      <c r="K72" s="491"/>
      <c r="L72" s="492"/>
      <c r="M72" s="491"/>
      <c r="N72" s="492"/>
      <c r="O72" s="405">
        <f t="shared" si="1"/>
        <v>0</v>
      </c>
      <c r="P72" s="403">
        <f t="shared" si="2"/>
        <v>0</v>
      </c>
      <c r="Q72" s="363"/>
      <c r="R72" s="363"/>
      <c r="S72" s="363"/>
      <c r="T72" s="363"/>
      <c r="U72" s="363"/>
    </row>
    <row r="73" spans="1:21" ht="15.75" x14ac:dyDescent="0.25">
      <c r="A73" s="601"/>
      <c r="B73" s="601"/>
      <c r="C73" s="490"/>
      <c r="D73" s="490"/>
      <c r="E73" s="490"/>
      <c r="F73" s="363"/>
      <c r="G73" s="363"/>
      <c r="H73" s="492"/>
      <c r="I73" s="363"/>
      <c r="J73" s="492"/>
      <c r="K73" s="363"/>
      <c r="L73" s="492"/>
      <c r="M73" s="363"/>
      <c r="N73" s="492"/>
      <c r="O73" s="405">
        <f t="shared" ref="O73:P73" si="3">G73+I73+K73+M73</f>
        <v>0</v>
      </c>
      <c r="P73" s="403">
        <f t="shared" si="3"/>
        <v>0</v>
      </c>
      <c r="Q73" s="363"/>
      <c r="R73" s="493"/>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49" activePane="bottomLeft" state="frozen"/>
      <selection activeCell="A11" sqref="A11"/>
      <selection pane="bottomLeft" activeCell="AR568" sqref="AR56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28" width="27.85546875" style="175" bestFit="1" customWidth="1"/>
    <col min="29" max="30" width="24.28515625" style="175" customWidth="1"/>
    <col min="31" max="31" width="27.85546875" style="175" bestFit="1" customWidth="1"/>
    <col min="32" max="32" width="25.7109375" style="175" bestFit="1" customWidth="1"/>
    <col min="33" max="34" width="24.28515625" style="175" customWidth="1"/>
    <col min="35" max="35" width="25.7109375" style="175" bestFit="1" customWidth="1"/>
    <col min="36" max="36" width="27.85546875" style="175" bestFit="1" customWidth="1"/>
    <col min="37" max="38" width="24.28515625" style="175" customWidth="1"/>
    <col min="39" max="39" width="27.85546875" style="175" customWidth="1"/>
    <col min="40" max="43" width="24.28515625" style="175" customWidth="1"/>
    <col min="44" max="44" width="30.8554687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0"/>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7"/>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80" t="s">
        <v>393</v>
      </c>
      <c r="L10" s="580"/>
      <c r="M10" s="580"/>
      <c r="N10" s="580"/>
      <c r="O10" s="580"/>
      <c r="P10" s="580"/>
      <c r="Q10" s="580"/>
      <c r="R10" s="580"/>
      <c r="S10" s="580"/>
      <c r="T10" s="580"/>
      <c r="U10" s="580"/>
      <c r="V10" s="580"/>
      <c r="W10" s="580"/>
      <c r="X10" s="580"/>
      <c r="Y10" s="580"/>
      <c r="Z10" s="580"/>
      <c r="AA10" s="580"/>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8788143.9199999999</v>
      </c>
      <c r="F12" s="189">
        <f t="shared" ref="F12:F106" si="0">D12+E12</f>
        <v>8788143.9199999999</v>
      </c>
      <c r="G12" s="189">
        <f>G13+G47+G83+G89+G96</f>
        <v>0</v>
      </c>
      <c r="H12" s="189">
        <f>F12-G12</f>
        <v>8788143.9199999999</v>
      </c>
      <c r="I12" s="189">
        <f>I13+I47+I83+I89+I96</f>
        <v>0</v>
      </c>
      <c r="J12" s="189">
        <f>F12-I12</f>
        <v>8788143.9199999999</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8788143.9199999999</v>
      </c>
      <c r="V12" s="189">
        <f t="shared" si="1"/>
        <v>0</v>
      </c>
      <c r="W12" s="189">
        <f t="shared" si="1"/>
        <v>0</v>
      </c>
      <c r="X12" s="189">
        <f t="shared" si="1"/>
        <v>0</v>
      </c>
      <c r="Y12" s="189">
        <f t="shared" ref="Y12:Z12" si="3">Y13+Y47+Y83+Y89+Y96</f>
        <v>0</v>
      </c>
      <c r="Z12" s="189">
        <f t="shared" si="3"/>
        <v>0</v>
      </c>
      <c r="AA12" s="189">
        <f t="shared" si="1"/>
        <v>0</v>
      </c>
      <c r="AB12" s="189">
        <f t="shared" si="1"/>
        <v>7911470.0800000001</v>
      </c>
      <c r="AC12" s="189">
        <f t="shared" si="1"/>
        <v>0</v>
      </c>
      <c r="AD12" s="189">
        <f t="shared" si="1"/>
        <v>0</v>
      </c>
      <c r="AE12" s="189">
        <f>AB12+AC12+AD12</f>
        <v>7911470.0800000001</v>
      </c>
      <c r="AF12" s="189">
        <f>AF13+AF47+AF83+AF89+AF96</f>
        <v>0</v>
      </c>
      <c r="AG12" s="189">
        <f>AG13+AG47+AG83+AG89+AG96</f>
        <v>0</v>
      </c>
      <c r="AH12" s="189">
        <f>AH13+AH47+AH83+AH89+AH96</f>
        <v>438337</v>
      </c>
      <c r="AI12" s="189">
        <f>AF12+AG12+AH12</f>
        <v>438337</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438336.83999999997</v>
      </c>
      <c r="AQ12" s="189">
        <f>AN12+AO12+AP12</f>
        <v>438336.83999999997</v>
      </c>
      <c r="AR12" s="189">
        <f>AE12+AI12+AM12+AQ12</f>
        <v>8788143.9199999999</v>
      </c>
    </row>
    <row r="13" spans="1:571" x14ac:dyDescent="0.25">
      <c r="B13" s="190" t="s">
        <v>252</v>
      </c>
      <c r="C13" s="191" t="s">
        <v>135</v>
      </c>
      <c r="D13" s="192">
        <f>SUM(D14:D46)</f>
        <v>0</v>
      </c>
      <c r="E13" s="192">
        <f>SUM(E14:E46)</f>
        <v>1166000</v>
      </c>
      <c r="F13" s="192">
        <f t="shared" si="0"/>
        <v>1166000</v>
      </c>
      <c r="G13" s="192">
        <f>SUM(G14:G46)</f>
        <v>0</v>
      </c>
      <c r="H13" s="192">
        <f t="shared" ref="H13:H220" si="4">F13-G13</f>
        <v>1166000</v>
      </c>
      <c r="I13" s="192">
        <f>SUM(I14:I46)</f>
        <v>0</v>
      </c>
      <c r="J13" s="192">
        <f t="shared" ref="J13:J220" si="5">F13-I13</f>
        <v>1166000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1166000</v>
      </c>
      <c r="V13" s="192">
        <f t="shared" si="6"/>
        <v>0</v>
      </c>
      <c r="W13" s="192">
        <f t="shared" si="6"/>
        <v>0</v>
      </c>
      <c r="X13" s="192">
        <f t="shared" si="6"/>
        <v>0</v>
      </c>
      <c r="Y13" s="192">
        <f t="shared" ref="Y13:Z13" si="8">SUM(Y14:Y46)</f>
        <v>0</v>
      </c>
      <c r="Z13" s="192">
        <f t="shared" si="8"/>
        <v>0</v>
      </c>
      <c r="AA13" s="192">
        <f t="shared" si="6"/>
        <v>0</v>
      </c>
      <c r="AB13" s="192">
        <f t="shared" si="6"/>
        <v>1054000</v>
      </c>
      <c r="AC13" s="192">
        <f t="shared" si="6"/>
        <v>0</v>
      </c>
      <c r="AD13" s="192">
        <f t="shared" si="6"/>
        <v>0</v>
      </c>
      <c r="AE13" s="192">
        <f t="shared" ref="AE13:AE220" si="9">AB13+AC13+AD13</f>
        <v>1054000</v>
      </c>
      <c r="AF13" s="192">
        <f>SUM(AF14:AF46)</f>
        <v>0</v>
      </c>
      <c r="AG13" s="192">
        <f>SUM(AG14:AG46)</f>
        <v>0</v>
      </c>
      <c r="AH13" s="192">
        <f>SUM(AH14:AH46)</f>
        <v>56000</v>
      </c>
      <c r="AI13" s="192">
        <f t="shared" ref="AI13:AI220" si="10">AF13+AG13+AH13</f>
        <v>56000</v>
      </c>
      <c r="AJ13" s="192">
        <f>SUM(AJ14:AJ46)</f>
        <v>0</v>
      </c>
      <c r="AK13" s="192">
        <f>SUM(AK14:AK46)</f>
        <v>0</v>
      </c>
      <c r="AL13" s="192">
        <f>SUM(AL14:AL46)</f>
        <v>0</v>
      </c>
      <c r="AM13" s="192">
        <f t="shared" ref="AM13:AM220" si="11">AJ13+AK13+AL13</f>
        <v>0</v>
      </c>
      <c r="AN13" s="192">
        <f>SUM(AN14:AN46)</f>
        <v>0</v>
      </c>
      <c r="AO13" s="192">
        <f>SUM(AO14:AO46)</f>
        <v>0</v>
      </c>
      <c r="AP13" s="192">
        <f>SUM(AP14:AP46)</f>
        <v>56000</v>
      </c>
      <c r="AQ13" s="192">
        <f t="shared" ref="AQ13:AQ220" si="12">AN13+AO13+AP13</f>
        <v>56000</v>
      </c>
      <c r="AR13" s="192">
        <f t="shared" ref="AR13:AR220" si="13">AE13+AI13+AM13+AQ13</f>
        <v>1166000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1008000</v>
      </c>
      <c r="F15" s="183">
        <f t="shared" si="0"/>
        <v>1008000</v>
      </c>
      <c r="G15" s="183"/>
      <c r="H15" s="183">
        <f t="shared" si="4"/>
        <v>1008000</v>
      </c>
      <c r="I15" s="183"/>
      <c r="J15" s="183">
        <f t="shared" si="5"/>
        <v>1008000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1008000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1008000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1008000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1008000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84000</v>
      </c>
      <c r="F28" s="183">
        <f t="shared" si="14"/>
        <v>84000</v>
      </c>
      <c r="G28" s="183"/>
      <c r="H28" s="183">
        <f t="shared" si="15"/>
        <v>84000</v>
      </c>
      <c r="I28" s="183"/>
      <c r="J28" s="183">
        <f t="shared" si="16"/>
        <v>84000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28000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Q28" s="183">
        <f t="shared" si="20"/>
        <v>56000</v>
      </c>
      <c r="AR28" s="183">
        <f t="shared" si="21"/>
        <v>84000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74000</v>
      </c>
      <c r="F29" s="183">
        <f t="shared" ref="F29:F30" si="38">D29+E29</f>
        <v>74000</v>
      </c>
      <c r="G29" s="183"/>
      <c r="H29" s="183">
        <f t="shared" ref="H29:H30" si="39">F29-G29</f>
        <v>74000</v>
      </c>
      <c r="I29" s="183"/>
      <c r="J29" s="183">
        <f t="shared" ref="J29:J30" si="40">F29-I29</f>
        <v>74000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74000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18000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I29" s="183">
        <f t="shared" ref="AI29:AI30" si="42">AF29+AG29+AH29</f>
        <v>56000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74000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7622143.9199999999</v>
      </c>
      <c r="F47" s="192">
        <f t="shared" si="0"/>
        <v>7622143.9199999999</v>
      </c>
      <c r="G47" s="192">
        <f>SUM(G48:G82)</f>
        <v>0</v>
      </c>
      <c r="H47" s="192">
        <f t="shared" si="4"/>
        <v>7622143.9199999999</v>
      </c>
      <c r="I47" s="192">
        <f t="shared" ref="I47:AD47" si="102">SUM(I48:I82)</f>
        <v>0</v>
      </c>
      <c r="J47" s="192">
        <f t="shared" si="102"/>
        <v>7622143.9199999999</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7622143.9199999999</v>
      </c>
      <c r="V47" s="192">
        <f t="shared" si="102"/>
        <v>0</v>
      </c>
      <c r="W47" s="192">
        <f t="shared" si="102"/>
        <v>0</v>
      </c>
      <c r="X47" s="192">
        <f t="shared" si="102"/>
        <v>0</v>
      </c>
      <c r="Y47" s="192">
        <f t="shared" ref="Y47:Z47" si="104">SUM(Y48:Y82)</f>
        <v>0</v>
      </c>
      <c r="Z47" s="192">
        <f t="shared" si="104"/>
        <v>0</v>
      </c>
      <c r="AA47" s="192">
        <f t="shared" si="102"/>
        <v>0</v>
      </c>
      <c r="AB47" s="192">
        <f t="shared" si="102"/>
        <v>6857470.0800000001</v>
      </c>
      <c r="AC47" s="192">
        <f t="shared" si="102"/>
        <v>0</v>
      </c>
      <c r="AD47" s="192">
        <f t="shared" si="102"/>
        <v>0</v>
      </c>
      <c r="AE47" s="192">
        <f t="shared" si="17"/>
        <v>6857470.0800000001</v>
      </c>
      <c r="AF47" s="192">
        <f>SUM(AF48:AF82)</f>
        <v>0</v>
      </c>
      <c r="AG47" s="192">
        <f>SUM(AG48:AG82)</f>
        <v>0</v>
      </c>
      <c r="AH47" s="192">
        <f>SUM(AH48:AH82)</f>
        <v>382337</v>
      </c>
      <c r="AI47" s="192">
        <f t="shared" si="10"/>
        <v>382337</v>
      </c>
      <c r="AJ47" s="192">
        <f>SUM(AJ48:AJ82)</f>
        <v>0</v>
      </c>
      <c r="AK47" s="192">
        <f>SUM(AK48:AK82)</f>
        <v>0</v>
      </c>
      <c r="AL47" s="192">
        <f>SUM(AL48:AL82)</f>
        <v>0</v>
      </c>
      <c r="AM47" s="192">
        <f t="shared" si="11"/>
        <v>0</v>
      </c>
      <c r="AN47" s="192">
        <f>SUM(AN48:AN82)</f>
        <v>0</v>
      </c>
      <c r="AO47" s="192">
        <f>SUM(AO48:AO82)</f>
        <v>0</v>
      </c>
      <c r="AP47" s="192">
        <f>SUM(AP48:AP82)</f>
        <v>382336.83999999997</v>
      </c>
      <c r="AQ47" s="192">
        <f t="shared" si="12"/>
        <v>382336.83999999997</v>
      </c>
      <c r="AR47" s="192">
        <f t="shared" si="13"/>
        <v>7622143.9199999999</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7622143.9199999999</v>
      </c>
      <c r="F64" s="183">
        <f t="shared" ref="F64" si="161">D64+E64</f>
        <v>7622143.9199999999</v>
      </c>
      <c r="G64" s="183"/>
      <c r="H64" s="183">
        <f t="shared" ref="H64" si="162">F64-G64</f>
        <v>7622143.9199999999</v>
      </c>
      <c r="I64" s="183"/>
      <c r="J64" s="183">
        <f t="shared" ref="J64" si="163">F64-I64</f>
        <v>7622143.9199999999</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7622143.9199999999</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6857470.0800000001</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6857470.0800000001</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382337</v>
      </c>
      <c r="AI64" s="183">
        <f t="shared" ref="AI64" si="165">AF64+AG64+AH64</f>
        <v>382337</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382336.83999999997</v>
      </c>
      <c r="AQ64" s="183">
        <f t="shared" ref="AQ64" si="167">AN64+AO64+AP64</f>
        <v>382336.83999999997</v>
      </c>
      <c r="AR64" s="183">
        <f t="shared" ref="AR64" si="168">AE64+AI64+AM64+AQ64</f>
        <v>7622143.9199999999</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1271553.8730000001</v>
      </c>
      <c r="E106" s="180">
        <f>E107+E118+E133+E149+E164+E190+E207+E214</f>
        <v>1086250</v>
      </c>
      <c r="F106" s="180">
        <f t="shared" si="0"/>
        <v>2357803.8730000001</v>
      </c>
      <c r="G106" s="180">
        <f>G107+G118+G133+G149+G164+G190+G207+G214</f>
        <v>0</v>
      </c>
      <c r="H106" s="180">
        <f t="shared" si="4"/>
        <v>2357803.8730000001</v>
      </c>
      <c r="I106" s="180">
        <f>I107+I118+I133+I149+I164+I190+I207+I214</f>
        <v>0</v>
      </c>
      <c r="J106" s="180">
        <f t="shared" si="5"/>
        <v>2357803.8730000001</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2357803.8730000001</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948003.87300000002</v>
      </c>
      <c r="AC106" s="180">
        <f t="shared" si="297"/>
        <v>1389800</v>
      </c>
      <c r="AD106" s="180">
        <f t="shared" si="297"/>
        <v>20000</v>
      </c>
      <c r="AE106" s="180">
        <f t="shared" si="9"/>
        <v>2357803.8730000001</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2357803.8730000001</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100000</v>
      </c>
      <c r="E133" s="192">
        <f>SUM(E134:E148)</f>
        <v>150000</v>
      </c>
      <c r="F133" s="192">
        <f t="shared" si="300"/>
        <v>250000</v>
      </c>
      <c r="G133" s="192">
        <f t="shared" ref="G133:I133" si="374">SUM(G134:G148)</f>
        <v>0</v>
      </c>
      <c r="H133" s="192">
        <f t="shared" si="4"/>
        <v>250000</v>
      </c>
      <c r="I133" s="192">
        <f t="shared" si="374"/>
        <v>0</v>
      </c>
      <c r="J133" s="192">
        <f t="shared" si="5"/>
        <v>250000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250000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230000</v>
      </c>
      <c r="AD133" s="192">
        <f t="shared" si="375"/>
        <v>20000</v>
      </c>
      <c r="AE133" s="192">
        <f t="shared" si="9"/>
        <v>250000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250000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34" s="183">
        <f t="shared" si="300"/>
        <v>150000</v>
      </c>
      <c r="G134" s="183"/>
      <c r="H134" s="183">
        <f t="shared" ref="H134:H148" si="380">F134-G134</f>
        <v>150000</v>
      </c>
      <c r="I134" s="183"/>
      <c r="J134" s="183">
        <f t="shared" ref="J134:J148" si="381">F134-I134</f>
        <v>150000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150000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150000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30000</v>
      </c>
      <c r="G135" s="183"/>
      <c r="H135" s="183">
        <f t="shared" si="380"/>
        <v>30000</v>
      </c>
      <c r="I135" s="183"/>
      <c r="J135" s="183">
        <f t="shared" si="381"/>
        <v>30000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30000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30000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20000</v>
      </c>
      <c r="G142" s="183"/>
      <c r="H142" s="183">
        <f t="shared" si="388"/>
        <v>20000</v>
      </c>
      <c r="I142" s="183"/>
      <c r="J142" s="183">
        <f t="shared" si="389"/>
        <v>20000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20000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20000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30000</v>
      </c>
      <c r="G143" s="183"/>
      <c r="H143" s="183">
        <f t="shared" si="388"/>
        <v>30000</v>
      </c>
      <c r="I143" s="183"/>
      <c r="J143" s="183">
        <f t="shared" si="389"/>
        <v>30000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30000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30000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20000</v>
      </c>
      <c r="G145" s="183"/>
      <c r="H145" s="183">
        <f t="shared" si="380"/>
        <v>20000</v>
      </c>
      <c r="I145" s="183"/>
      <c r="J145" s="183">
        <f t="shared" si="381"/>
        <v>20000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145" s="183">
        <f t="shared" si="382"/>
        <v>20000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20000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110000</v>
      </c>
      <c r="E149" s="192">
        <f>SUM(E150:E163)</f>
        <v>625000</v>
      </c>
      <c r="F149" s="192">
        <f t="shared" si="300"/>
        <v>735000</v>
      </c>
      <c r="G149" s="192">
        <f>SUM(G150:G163)</f>
        <v>0</v>
      </c>
      <c r="H149" s="192">
        <f t="shared" si="4"/>
        <v>735000</v>
      </c>
      <c r="I149" s="192">
        <f>SUM(I150:I163)</f>
        <v>0</v>
      </c>
      <c r="J149" s="192">
        <f t="shared" si="5"/>
        <v>735000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735000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735000</v>
      </c>
      <c r="AD149" s="192">
        <f t="shared" si="419"/>
        <v>0</v>
      </c>
      <c r="AE149" s="192">
        <f t="shared" si="9"/>
        <v>735000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735000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52" s="183">
        <f t="shared" si="300"/>
        <v>500000</v>
      </c>
      <c r="G152" s="183"/>
      <c r="H152" s="183">
        <f t="shared" si="424"/>
        <v>500000</v>
      </c>
      <c r="I152" s="183"/>
      <c r="J152" s="183">
        <f t="shared" si="425"/>
        <v>500000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500000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500000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110000</v>
      </c>
      <c r="G157" s="183"/>
      <c r="H157" s="183">
        <f t="shared" si="432"/>
        <v>110000</v>
      </c>
      <c r="I157" s="183"/>
      <c r="J157" s="183">
        <f t="shared" si="433"/>
        <v>110000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110000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110000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125000</v>
      </c>
      <c r="F161" s="183">
        <f t="shared" si="439"/>
        <v>125000</v>
      </c>
      <c r="G161" s="183"/>
      <c r="H161" s="183">
        <f t="shared" si="440"/>
        <v>125000</v>
      </c>
      <c r="I161" s="183"/>
      <c r="J161" s="183">
        <f t="shared" si="441"/>
        <v>125000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125000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125000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274800</v>
      </c>
      <c r="E164" s="192">
        <f>SUM(E165:E189)</f>
        <v>0</v>
      </c>
      <c r="F164" s="192">
        <f t="shared" si="300"/>
        <v>274800</v>
      </c>
      <c r="G164" s="192">
        <f>SUM(G165:G189)</f>
        <v>0</v>
      </c>
      <c r="H164" s="192">
        <f t="shared" si="4"/>
        <v>274800</v>
      </c>
      <c r="I164" s="192">
        <f>SUM(I165:I189)</f>
        <v>0</v>
      </c>
      <c r="J164" s="192">
        <f t="shared" si="5"/>
        <v>274800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274800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274800</v>
      </c>
      <c r="AD164" s="192">
        <f t="shared" si="447"/>
        <v>0</v>
      </c>
      <c r="AE164" s="192">
        <f t="shared" si="9"/>
        <v>274800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274800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10000</v>
      </c>
      <c r="G165" s="183"/>
      <c r="H165" s="183">
        <f t="shared" ref="H165:H168" si="452">F165-G165</f>
        <v>10000</v>
      </c>
      <c r="I165" s="183"/>
      <c r="J165" s="183">
        <f t="shared" ref="J165:J168" si="453">F165-I165</f>
        <v>10000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10000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10000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250000</v>
      </c>
      <c r="G170" s="183"/>
      <c r="H170" s="183">
        <f t="shared" si="468"/>
        <v>250000</v>
      </c>
      <c r="I170" s="183"/>
      <c r="J170" s="183">
        <f t="shared" si="469"/>
        <v>250000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250000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250000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10000</v>
      </c>
      <c r="G178" s="183"/>
      <c r="H178" s="183">
        <f t="shared" ref="H178:H185" si="476">F178-G178</f>
        <v>10000</v>
      </c>
      <c r="I178" s="183"/>
      <c r="J178" s="183">
        <f t="shared" ref="J178:J185" si="477">F178-I178</f>
        <v>10000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10000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10000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4800</v>
      </c>
      <c r="G186" s="183"/>
      <c r="H186" s="183">
        <f t="shared" ref="H186:H189" si="484">F186-G186</f>
        <v>4800</v>
      </c>
      <c r="I186" s="183"/>
      <c r="J186" s="183">
        <f t="shared" ref="J186:J189" si="485">F186-I186</f>
        <v>4800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4800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4800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786753.87300000002</v>
      </c>
      <c r="E190" s="192">
        <f>E191+E199</f>
        <v>311250</v>
      </c>
      <c r="F190" s="192">
        <f t="shared" si="300"/>
        <v>1098003.8730000001</v>
      </c>
      <c r="G190" s="192">
        <f>G191+G199</f>
        <v>0</v>
      </c>
      <c r="H190" s="192">
        <f t="shared" si="4"/>
        <v>1098003.8730000001</v>
      </c>
      <c r="I190" s="192">
        <f>I191+I199</f>
        <v>0</v>
      </c>
      <c r="J190" s="192">
        <f t="shared" si="5"/>
        <v>1098003.8730000001</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1098003.8730000001</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948003.87300000002</v>
      </c>
      <c r="AC190" s="192">
        <f t="shared" ref="AC190" si="494">AC191+AC199</f>
        <v>150000</v>
      </c>
      <c r="AD190" s="192">
        <f t="shared" ref="AD190" si="495">AD191+AD199</f>
        <v>0</v>
      </c>
      <c r="AE190" s="192">
        <f t="shared" si="9"/>
        <v>1098003.8730000001</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1098003.8730000001</v>
      </c>
    </row>
    <row r="191" spans="2:44" x14ac:dyDescent="0.25">
      <c r="B191" s="190" t="s">
        <v>300</v>
      </c>
      <c r="C191" s="191" t="s">
        <v>180</v>
      </c>
      <c r="D191" s="192">
        <f>SUM(D192:D198)</f>
        <v>150000</v>
      </c>
      <c r="E191" s="192">
        <f>SUM(E192:E198)</f>
        <v>0</v>
      </c>
      <c r="F191" s="192">
        <f>D191+E191</f>
        <v>150000</v>
      </c>
      <c r="G191" s="192">
        <f>SUM(G192:G198)</f>
        <v>0</v>
      </c>
      <c r="H191" s="192">
        <f>F191-G191</f>
        <v>150000</v>
      </c>
      <c r="I191" s="192">
        <f>SUM(I192:I198)</f>
        <v>0</v>
      </c>
      <c r="J191" s="192">
        <f>F191-I191</f>
        <v>150000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150000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150000</v>
      </c>
      <c r="AD191" s="192">
        <f t="shared" si="505"/>
        <v>0</v>
      </c>
      <c r="AE191" s="192">
        <f>AB191+AC191+AD191</f>
        <v>150000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150000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50000</v>
      </c>
      <c r="G192" s="183"/>
      <c r="H192" s="183">
        <f>F192-G192</f>
        <v>50000</v>
      </c>
      <c r="I192" s="183"/>
      <c r="J192" s="183">
        <f>F192-I192</f>
        <v>50000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50000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50000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100000</v>
      </c>
      <c r="G196" s="183"/>
      <c r="H196" s="183">
        <f t="shared" si="519"/>
        <v>100000</v>
      </c>
      <c r="I196" s="183"/>
      <c r="J196" s="183">
        <f t="shared" si="520"/>
        <v>100000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100000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100000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636753.87300000002</v>
      </c>
      <c r="E199" s="192">
        <f>SUM(E200:E206)</f>
        <v>311250</v>
      </c>
      <c r="F199" s="192">
        <f>D199+E199</f>
        <v>948003.87300000002</v>
      </c>
      <c r="G199" s="192">
        <f t="shared" ref="G199:I199" si="535">SUM(G200:G206)</f>
        <v>0</v>
      </c>
      <c r="H199" s="192">
        <f>F199-G199</f>
        <v>948003.87300000002</v>
      </c>
      <c r="I199" s="192">
        <f t="shared" si="535"/>
        <v>0</v>
      </c>
      <c r="J199" s="192">
        <f>F199-I199</f>
        <v>948003.87300000002</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948003.87300000002</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948003.87300000002</v>
      </c>
      <c r="AC199" s="192">
        <f t="shared" si="536"/>
        <v>0</v>
      </c>
      <c r="AD199" s="192">
        <f t="shared" si="536"/>
        <v>0</v>
      </c>
      <c r="AE199" s="192">
        <f>AB199+AC199+AD199</f>
        <v>948003.87300000002</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948003.87300000002</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636753.87300000002</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311250</v>
      </c>
      <c r="F200" s="183">
        <f>D200+E200</f>
        <v>948003.87300000002</v>
      </c>
      <c r="G200" s="183"/>
      <c r="H200" s="183">
        <f t="shared" ref="H200:H206" si="541">F200-G200</f>
        <v>948003.87300000002</v>
      </c>
      <c r="I200" s="183"/>
      <c r="J200" s="183">
        <f t="shared" ref="J200:J206" si="542">F200-I200</f>
        <v>948003.87300000002</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948003.87300000002</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948003.87300000002</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948003.87300000002</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948003.87300000002</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441880</v>
      </c>
      <c r="E222" s="180">
        <f>E223+E235+E243+E260+E267+E312</f>
        <v>529100</v>
      </c>
      <c r="F222" s="180">
        <f t="shared" ref="F222:F382" si="622">D222+E222</f>
        <v>970980</v>
      </c>
      <c r="G222" s="180">
        <f>G223+G235+G243+G260+G267+G312</f>
        <v>0</v>
      </c>
      <c r="H222" s="180">
        <f t="shared" ref="H222:H498" si="623">F222-G222</f>
        <v>970980</v>
      </c>
      <c r="I222" s="180">
        <f>I223+I235+I243+I260+I267+I312</f>
        <v>0</v>
      </c>
      <c r="J222" s="180">
        <f t="shared" ref="J222:J498" si="624">F222-I222</f>
        <v>970980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970980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318090</v>
      </c>
      <c r="AD222" s="180">
        <f t="shared" si="625"/>
        <v>54678</v>
      </c>
      <c r="AE222" s="180">
        <f t="shared" ref="AE222:AE498" si="628">AB222+AC222+AD222</f>
        <v>372768</v>
      </c>
      <c r="AF222" s="180">
        <f>AF223+AF235+AF243+AF260+AF267+AF312</f>
        <v>171391</v>
      </c>
      <c r="AG222" s="180">
        <f>AG223+AG235+AG243+AG260+AG267+AG312</f>
        <v>164301</v>
      </c>
      <c r="AH222" s="180">
        <f>AH223+AH235+AH243+AH260+AH267+AH312</f>
        <v>182480</v>
      </c>
      <c r="AI222" s="180">
        <f t="shared" ref="AI222:AI498" si="629">AF222+AG222+AH222</f>
        <v>518172</v>
      </c>
      <c r="AJ222" s="180">
        <f>AJ223+AJ235+AJ243+AJ260+AJ267+AJ312</f>
        <v>53140</v>
      </c>
      <c r="AK222" s="180">
        <f>AK223+AK235+AK243+AK260+AK267+AK312</f>
        <v>6900</v>
      </c>
      <c r="AL222" s="180">
        <f>AL223+AL235+AL243+AL260+AL267+AL312</f>
        <v>0</v>
      </c>
      <c r="AM222" s="180">
        <f t="shared" ref="AM222:AM498" si="630">AJ222+AK222+AL222</f>
        <v>60040</v>
      </c>
      <c r="AN222" s="180">
        <f>AN223+AN235+AN243+AN260+AN267+AN312</f>
        <v>0</v>
      </c>
      <c r="AO222" s="180">
        <f>AO223+AO235+AO243+AO260+AO267+AO312</f>
        <v>0</v>
      </c>
      <c r="AP222" s="180">
        <f>AP223+AP235+AP243+AP260+AP267+AP312</f>
        <v>20000</v>
      </c>
      <c r="AQ222" s="180">
        <f t="shared" ref="AQ222:AQ498" si="631">AN222+AO222+AP222</f>
        <v>20000</v>
      </c>
      <c r="AR222" s="180">
        <f t="shared" ref="AR222:AR498" si="632">AE222+AI222+AM222+AQ222</f>
        <v>970980</v>
      </c>
    </row>
    <row r="223" spans="2:44" x14ac:dyDescent="0.25">
      <c r="B223" s="190" t="s">
        <v>310</v>
      </c>
      <c r="C223" s="191" t="s">
        <v>189</v>
      </c>
      <c r="D223" s="192">
        <f>SUM(D224:D234)</f>
        <v>25000</v>
      </c>
      <c r="E223" s="192">
        <f>SUM(E224:E234)</f>
        <v>0</v>
      </c>
      <c r="F223" s="192">
        <f t="shared" si="622"/>
        <v>25000</v>
      </c>
      <c r="G223" s="192">
        <f>SUM(G224:G234)</f>
        <v>0</v>
      </c>
      <c r="H223" s="192">
        <f t="shared" si="623"/>
        <v>25000</v>
      </c>
      <c r="I223" s="192">
        <f>SUM(I224:I234)</f>
        <v>0</v>
      </c>
      <c r="J223" s="192">
        <f t="shared" si="624"/>
        <v>25000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25000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25000</v>
      </c>
      <c r="AD223" s="192">
        <f t="shared" si="633"/>
        <v>0</v>
      </c>
      <c r="AE223" s="192">
        <f t="shared" si="628"/>
        <v>25000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25000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25000</v>
      </c>
      <c r="G224" s="183"/>
      <c r="H224" s="183">
        <f t="shared" si="623"/>
        <v>25000</v>
      </c>
      <c r="I224" s="183"/>
      <c r="J224" s="183">
        <f t="shared" si="624"/>
        <v>25000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25000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25000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199000</v>
      </c>
      <c r="E243" s="192">
        <f>SUM(E244:E259)</f>
        <v>0</v>
      </c>
      <c r="F243" s="192">
        <f t="shared" si="622"/>
        <v>199000</v>
      </c>
      <c r="G243" s="192">
        <f>SUM(G244:G259)</f>
        <v>0</v>
      </c>
      <c r="H243" s="192">
        <f t="shared" si="623"/>
        <v>199000</v>
      </c>
      <c r="I243" s="192">
        <f>SUM(I244:I259)</f>
        <v>0</v>
      </c>
      <c r="J243" s="192">
        <f t="shared" si="624"/>
        <v>199000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199000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124990</v>
      </c>
      <c r="AD243" s="192">
        <f t="shared" si="689"/>
        <v>1000</v>
      </c>
      <c r="AE243" s="192">
        <f t="shared" si="628"/>
        <v>125990</v>
      </c>
      <c r="AF243" s="192">
        <f>SUM(AF244:AF259)</f>
        <v>22595</v>
      </c>
      <c r="AG243" s="192">
        <f>SUM(AG244:AG259)</f>
        <v>18375</v>
      </c>
      <c r="AH243" s="192">
        <f>SUM(AH244:AH259)</f>
        <v>24500</v>
      </c>
      <c r="AI243" s="192">
        <f t="shared" si="629"/>
        <v>65470</v>
      </c>
      <c r="AJ243" s="192">
        <f>SUM(AJ244:AJ259)</f>
        <v>3640</v>
      </c>
      <c r="AK243" s="192">
        <f>SUM(AK244:AK259)</f>
        <v>3900</v>
      </c>
      <c r="AL243" s="192">
        <f>SUM(AL244:AL259)</f>
        <v>0</v>
      </c>
      <c r="AM243" s="192">
        <f t="shared" si="630"/>
        <v>7540</v>
      </c>
      <c r="AN243" s="192">
        <f>SUM(AN244:AN259)</f>
        <v>0</v>
      </c>
      <c r="AO243" s="192">
        <f>SUM(AO244:AO259)</f>
        <v>0</v>
      </c>
      <c r="AP243" s="192">
        <f>SUM(AP244:AP259)</f>
        <v>0</v>
      </c>
      <c r="AQ243" s="192">
        <f t="shared" si="631"/>
        <v>0</v>
      </c>
      <c r="AR243" s="192">
        <f t="shared" si="632"/>
        <v>199000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100000</v>
      </c>
      <c r="G244" s="183"/>
      <c r="H244" s="183">
        <f t="shared" si="623"/>
        <v>100000</v>
      </c>
      <c r="I244" s="183"/>
      <c r="J244" s="183">
        <f t="shared" si="624"/>
        <v>100000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100000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100000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4000</v>
      </c>
      <c r="G246" s="183"/>
      <c r="H246" s="183">
        <f t="shared" si="695"/>
        <v>4000</v>
      </c>
      <c r="I246" s="183"/>
      <c r="J246" s="183">
        <f t="shared" si="696"/>
        <v>4000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4000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4000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60000</v>
      </c>
      <c r="G247" s="183"/>
      <c r="H247" s="183">
        <f t="shared" si="695"/>
        <v>60000</v>
      </c>
      <c r="I247" s="183"/>
      <c r="J247" s="183">
        <f t="shared" si="696"/>
        <v>60000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20990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E247" s="183">
        <f t="shared" si="697"/>
        <v>21990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2595</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3375</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24500</v>
      </c>
      <c r="AI247" s="183">
        <f t="shared" si="698"/>
        <v>30470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3640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7540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60000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20000</v>
      </c>
      <c r="G250" s="183"/>
      <c r="H250" s="183">
        <f t="shared" si="695"/>
        <v>20000</v>
      </c>
      <c r="I250" s="183"/>
      <c r="J250" s="183">
        <f t="shared" si="696"/>
        <v>20000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20000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20000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15000</v>
      </c>
      <c r="G258" s="183"/>
      <c r="H258" s="183">
        <f t="shared" si="703"/>
        <v>15000</v>
      </c>
      <c r="I258" s="183"/>
      <c r="J258" s="183">
        <f t="shared" si="704"/>
        <v>15000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15000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15000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20000</v>
      </c>
      <c r="E260" s="192">
        <f>SUM(E261:E266)</f>
        <v>0</v>
      </c>
      <c r="F260" s="192">
        <f t="shared" si="622"/>
        <v>20000</v>
      </c>
      <c r="G260" s="192">
        <f>SUM(G261:G266)</f>
        <v>0</v>
      </c>
      <c r="H260" s="192">
        <f t="shared" si="623"/>
        <v>20000</v>
      </c>
      <c r="I260" s="192">
        <f>SUM(I261:I266)</f>
        <v>0</v>
      </c>
      <c r="J260" s="192">
        <f t="shared" si="624"/>
        <v>20000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20000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20000</v>
      </c>
      <c r="AQ260" s="192">
        <f t="shared" si="631"/>
        <v>20000</v>
      </c>
      <c r="AR260" s="192">
        <f t="shared" si="632"/>
        <v>20000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20000</v>
      </c>
      <c r="G266" s="183"/>
      <c r="H266" s="183">
        <f t="shared" si="716"/>
        <v>20000</v>
      </c>
      <c r="I266" s="183"/>
      <c r="J266" s="183">
        <f t="shared" si="717"/>
        <v>20000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Q266" s="183">
        <f t="shared" si="721"/>
        <v>20000</v>
      </c>
      <c r="AR266" s="183">
        <f t="shared" si="722"/>
        <v>20000</v>
      </c>
    </row>
    <row r="267" spans="2:44" x14ac:dyDescent="0.25">
      <c r="B267" s="190" t="s">
        <v>322</v>
      </c>
      <c r="C267" s="191" t="s">
        <v>199</v>
      </c>
      <c r="D267" s="192">
        <f>SUM(D268:D311)</f>
        <v>112600</v>
      </c>
      <c r="E267" s="192">
        <f>SUM(E268:E311)</f>
        <v>0</v>
      </c>
      <c r="F267" s="192">
        <f t="shared" si="622"/>
        <v>112600</v>
      </c>
      <c r="G267" s="192">
        <f>SUM(G268:G311)</f>
        <v>0</v>
      </c>
      <c r="H267" s="192">
        <f t="shared" si="623"/>
        <v>112600</v>
      </c>
      <c r="I267" s="192">
        <f>SUM(I268:I311)</f>
        <v>0</v>
      </c>
      <c r="J267" s="192">
        <f t="shared" si="624"/>
        <v>112600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112600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18200</v>
      </c>
      <c r="AD267" s="192">
        <f t="shared" si="723"/>
        <v>5000</v>
      </c>
      <c r="AE267" s="192">
        <f t="shared" si="628"/>
        <v>23200</v>
      </c>
      <c r="AF267" s="192">
        <f>SUM(AF268:AF311)</f>
        <v>8400</v>
      </c>
      <c r="AG267" s="192">
        <f>SUM(AG268:AG311)</f>
        <v>20000</v>
      </c>
      <c r="AH267" s="192">
        <f>SUM(AH268:AH311)</f>
        <v>15000</v>
      </c>
      <c r="AI267" s="192">
        <f t="shared" si="629"/>
        <v>43400</v>
      </c>
      <c r="AJ267" s="192">
        <f>SUM(AJ268:AJ311)</f>
        <v>46000</v>
      </c>
      <c r="AK267" s="192">
        <f>SUM(AK268:AK311)</f>
        <v>0</v>
      </c>
      <c r="AL267" s="192">
        <f>SUM(AL268:AL311)</f>
        <v>0</v>
      </c>
      <c r="AM267" s="192">
        <f t="shared" si="630"/>
        <v>46000</v>
      </c>
      <c r="AN267" s="192">
        <f>SUM(AN268:AN311)</f>
        <v>0</v>
      </c>
      <c r="AO267" s="192">
        <f>SUM(AO268:AO311)</f>
        <v>0</v>
      </c>
      <c r="AP267" s="192">
        <f>SUM(AP268:AP311)</f>
        <v>0</v>
      </c>
      <c r="AQ267" s="192">
        <f t="shared" si="631"/>
        <v>0</v>
      </c>
      <c r="AR267" s="192">
        <f t="shared" si="632"/>
        <v>112600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1200</v>
      </c>
      <c r="G268" s="183"/>
      <c r="H268" s="183">
        <f t="shared" si="623"/>
        <v>1200</v>
      </c>
      <c r="I268" s="183"/>
      <c r="J268" s="183">
        <f t="shared" si="624"/>
        <v>1200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1200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1200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10000</v>
      </c>
      <c r="G269" s="183"/>
      <c r="H269" s="183">
        <f t="shared" ref="H269:H300" si="729">F269-G269</f>
        <v>10000</v>
      </c>
      <c r="I269" s="183"/>
      <c r="J269" s="183">
        <f t="shared" ref="J269:J300" si="730">F269-I269</f>
        <v>10000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10000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10000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2000</v>
      </c>
      <c r="G274" s="183"/>
      <c r="H274" s="183">
        <f t="shared" si="729"/>
        <v>2000</v>
      </c>
      <c r="I274" s="183"/>
      <c r="J274" s="183">
        <f t="shared" si="730"/>
        <v>2000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274" s="183">
        <f t="shared" si="731"/>
        <v>2000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2000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8400</v>
      </c>
      <c r="G275" s="183"/>
      <c r="H275" s="183">
        <f t="shared" si="729"/>
        <v>8400</v>
      </c>
      <c r="I275" s="183"/>
      <c r="J275" s="183">
        <f t="shared" si="730"/>
        <v>8400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8400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8400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15000</v>
      </c>
      <c r="G277" s="183"/>
      <c r="H277" s="183">
        <f t="shared" si="729"/>
        <v>15000</v>
      </c>
      <c r="I277" s="183"/>
      <c r="J277" s="183">
        <f t="shared" si="730"/>
        <v>15000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15000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15000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15000</v>
      </c>
      <c r="G278" s="183"/>
      <c r="H278" s="183">
        <f t="shared" si="729"/>
        <v>15000</v>
      </c>
      <c r="I278" s="183"/>
      <c r="J278" s="183">
        <f t="shared" si="730"/>
        <v>15000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278" s="183">
        <f t="shared" si="732"/>
        <v>15000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15000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20000</v>
      </c>
      <c r="G281" s="183"/>
      <c r="H281" s="183">
        <f t="shared" si="729"/>
        <v>20000</v>
      </c>
      <c r="I281" s="183"/>
      <c r="J281" s="183">
        <f t="shared" si="730"/>
        <v>20000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20000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20000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5000</v>
      </c>
      <c r="G284" s="183"/>
      <c r="H284" s="183">
        <f t="shared" si="729"/>
        <v>5000</v>
      </c>
      <c r="I284" s="183"/>
      <c r="J284" s="183">
        <f t="shared" si="730"/>
        <v>5000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5000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5000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3000</v>
      </c>
      <c r="G291" s="183"/>
      <c r="H291" s="183">
        <f t="shared" si="729"/>
        <v>3000</v>
      </c>
      <c r="I291" s="183"/>
      <c r="J291" s="183">
        <f t="shared" si="730"/>
        <v>3000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291" s="183">
        <f t="shared" si="731"/>
        <v>3000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3000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8000</v>
      </c>
      <c r="G294" s="183"/>
      <c r="H294" s="183">
        <f t="shared" si="729"/>
        <v>8000</v>
      </c>
      <c r="I294" s="183"/>
      <c r="J294" s="183">
        <f t="shared" si="730"/>
        <v>8000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8000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8000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18000</v>
      </c>
      <c r="G296" s="183"/>
      <c r="H296" s="183">
        <f t="shared" si="729"/>
        <v>18000</v>
      </c>
      <c r="I296" s="183"/>
      <c r="J296" s="183">
        <f t="shared" si="730"/>
        <v>18000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18000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18000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2000</v>
      </c>
      <c r="G302" s="183"/>
      <c r="H302" s="183">
        <f t="shared" si="623"/>
        <v>2000</v>
      </c>
      <c r="I302" s="183"/>
      <c r="J302" s="183">
        <f t="shared" si="624"/>
        <v>2000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2000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2000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5000</v>
      </c>
      <c r="G309" s="183"/>
      <c r="H309" s="183">
        <f t="shared" ref="H309:H311" si="737">F309-G309</f>
        <v>5000</v>
      </c>
      <c r="I309" s="183"/>
      <c r="J309" s="183">
        <f t="shared" ref="J309:J311" si="738">F309-I309</f>
        <v>5000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5000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5000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85280</v>
      </c>
      <c r="E312" s="192">
        <f>SUM(E313:E326)</f>
        <v>529100</v>
      </c>
      <c r="F312" s="192">
        <f t="shared" si="622"/>
        <v>614380</v>
      </c>
      <c r="G312" s="192">
        <f>SUM(G313:G326)</f>
        <v>0</v>
      </c>
      <c r="H312" s="192">
        <f t="shared" si="623"/>
        <v>614380</v>
      </c>
      <c r="I312" s="192">
        <f>SUM(I313:I326)</f>
        <v>0</v>
      </c>
      <c r="J312" s="192">
        <f t="shared" si="624"/>
        <v>614380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614380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149900</v>
      </c>
      <c r="AD312" s="192">
        <f t="shared" si="744"/>
        <v>48678</v>
      </c>
      <c r="AE312" s="192">
        <f t="shared" si="628"/>
        <v>198578</v>
      </c>
      <c r="AF312" s="192">
        <f>SUM(AF313:AF326)</f>
        <v>140396</v>
      </c>
      <c r="AG312" s="192">
        <f>SUM(AG313:AG326)</f>
        <v>125926</v>
      </c>
      <c r="AH312" s="192">
        <f>SUM(AH313:AH326)</f>
        <v>142980</v>
      </c>
      <c r="AI312" s="192">
        <f t="shared" si="629"/>
        <v>409302</v>
      </c>
      <c r="AJ312" s="192">
        <f>SUM(AJ313:AJ326)</f>
        <v>3500</v>
      </c>
      <c r="AK312" s="192">
        <f>SUM(AK313:AK326)</f>
        <v>3000</v>
      </c>
      <c r="AL312" s="192">
        <f>SUM(AL313:AL326)</f>
        <v>0</v>
      </c>
      <c r="AM312" s="192">
        <f t="shared" si="630"/>
        <v>6500</v>
      </c>
      <c r="AN312" s="192">
        <f>SUM(AN313:AN326)</f>
        <v>0</v>
      </c>
      <c r="AO312" s="192">
        <f>SUM(AO313:AO326)</f>
        <v>0</v>
      </c>
      <c r="AP312" s="192">
        <f>SUM(AP313:AP326)</f>
        <v>0</v>
      </c>
      <c r="AQ312" s="192">
        <f t="shared" si="631"/>
        <v>0</v>
      </c>
      <c r="AR312" s="192">
        <f t="shared" si="632"/>
        <v>614380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76880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76880</v>
      </c>
      <c r="G314" s="183"/>
      <c r="H314" s="183">
        <f t="shared" si="623"/>
        <v>76880</v>
      </c>
      <c r="I314" s="183"/>
      <c r="J314" s="183">
        <f t="shared" si="624"/>
        <v>76880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76880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23778</v>
      </c>
      <c r="AE314" s="183">
        <f t="shared" si="628"/>
        <v>36178</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4896</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11126</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21180</v>
      </c>
      <c r="AI314" s="183">
        <f t="shared" si="629"/>
        <v>37202</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3500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76880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17" s="183">
        <f t="shared" si="622"/>
        <v>20000</v>
      </c>
      <c r="G317" s="183"/>
      <c r="H317" s="183">
        <f t="shared" si="623"/>
        <v>20000</v>
      </c>
      <c r="I317" s="183"/>
      <c r="J317" s="183">
        <f t="shared" si="624"/>
        <v>20000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17" s="183">
        <f t="shared" si="628"/>
        <v>15000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5000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20000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509100</v>
      </c>
      <c r="F322" s="183">
        <f t="shared" si="757"/>
        <v>517500</v>
      </c>
      <c r="G322" s="183"/>
      <c r="H322" s="183">
        <f t="shared" si="758"/>
        <v>517500</v>
      </c>
      <c r="I322" s="183"/>
      <c r="J322" s="183">
        <f t="shared" si="759"/>
        <v>517500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517500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137500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E322" s="183">
        <f t="shared" si="760"/>
        <v>147400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130500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114800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121800</v>
      </c>
      <c r="AI322" s="183">
        <f t="shared" si="761"/>
        <v>367100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3000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517500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692743645.5200001</v>
      </c>
      <c r="E327" s="180">
        <f>E328+E345+E383+E389</f>
        <v>497514500</v>
      </c>
      <c r="F327" s="527">
        <f t="shared" si="622"/>
        <v>1190258145.52</v>
      </c>
      <c r="G327" s="180">
        <f>G328+G345+G383+G389</f>
        <v>0</v>
      </c>
      <c r="H327" s="527">
        <f t="shared" si="623"/>
        <v>1190258145.52</v>
      </c>
      <c r="I327" s="180">
        <f>I328+I345+I383+I389</f>
        <v>0</v>
      </c>
      <c r="J327" s="527">
        <f t="shared" si="624"/>
        <v>1190258145.52</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527">
        <f t="shared" si="781"/>
        <v>1190258145.52</v>
      </c>
      <c r="V327" s="180">
        <f t="shared" si="781"/>
        <v>0</v>
      </c>
      <c r="W327" s="180">
        <f t="shared" si="781"/>
        <v>0</v>
      </c>
      <c r="X327" s="180">
        <f t="shared" si="781"/>
        <v>0</v>
      </c>
      <c r="Y327" s="180">
        <f t="shared" ref="Y327:Z327" si="783">Y328+Y345+Y383+Y389</f>
        <v>0</v>
      </c>
      <c r="Z327" s="180">
        <f t="shared" si="783"/>
        <v>0</v>
      </c>
      <c r="AA327" s="180">
        <f t="shared" si="781"/>
        <v>0</v>
      </c>
      <c r="AB327" s="527">
        <f t="shared" si="781"/>
        <v>875495338.11000001</v>
      </c>
      <c r="AC327" s="180">
        <f t="shared" si="781"/>
        <v>11500</v>
      </c>
      <c r="AD327" s="180">
        <f t="shared" si="781"/>
        <v>165000</v>
      </c>
      <c r="AE327" s="527">
        <f t="shared" si="628"/>
        <v>875671838.11000001</v>
      </c>
      <c r="AF327" s="527">
        <f>AF328+AF345+AF383+AF389</f>
        <v>56497000</v>
      </c>
      <c r="AG327" s="527">
        <f>AG328+AG345+AG383+AG389</f>
        <v>0</v>
      </c>
      <c r="AH327" s="527">
        <f>AH328+AH345+AH383+AH389</f>
        <v>0</v>
      </c>
      <c r="AI327" s="527">
        <f t="shared" si="629"/>
        <v>56497000</v>
      </c>
      <c r="AJ327" s="527">
        <f>AJ328+AJ345+AJ383+AJ389</f>
        <v>256600000</v>
      </c>
      <c r="AK327" s="527">
        <f>AK328+AK345+AK383+AK389</f>
        <v>0</v>
      </c>
      <c r="AL327" s="527">
        <f>AL328+AL345+AL383+AL389</f>
        <v>0</v>
      </c>
      <c r="AM327" s="527">
        <f t="shared" si="630"/>
        <v>256600000</v>
      </c>
      <c r="AN327" s="527">
        <f>AN328+AN345+AN383+AN389</f>
        <v>0</v>
      </c>
      <c r="AO327" s="527">
        <f>AO328+AO345+AO383+AO389</f>
        <v>0</v>
      </c>
      <c r="AP327" s="527">
        <f>AP328+AP345+AP383+AP389</f>
        <v>1489307.41</v>
      </c>
      <c r="AQ327" s="527">
        <f t="shared" si="631"/>
        <v>1489307.41</v>
      </c>
      <c r="AR327" s="527">
        <f t="shared" si="632"/>
        <v>1190258145.5200002</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323500</v>
      </c>
      <c r="F345" s="192">
        <f t="shared" si="622"/>
        <v>323500</v>
      </c>
      <c r="G345" s="192">
        <f>SUM(G346:G382)</f>
        <v>0</v>
      </c>
      <c r="H345" s="192">
        <f t="shared" si="623"/>
        <v>323500</v>
      </c>
      <c r="I345" s="192">
        <f>SUM(I346:I382)</f>
        <v>0</v>
      </c>
      <c r="J345" s="192">
        <f t="shared" si="624"/>
        <v>323500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323500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11500</v>
      </c>
      <c r="AD345" s="192">
        <f t="shared" si="819"/>
        <v>165000</v>
      </c>
      <c r="AE345" s="192">
        <f t="shared" si="628"/>
        <v>176500</v>
      </c>
      <c r="AF345" s="192">
        <f>SUM(AF346:AF382)</f>
        <v>147000</v>
      </c>
      <c r="AG345" s="192">
        <f>SUM(AG346:AG382)</f>
        <v>0</v>
      </c>
      <c r="AH345" s="192">
        <f>SUM(AH346:AH382)</f>
        <v>0</v>
      </c>
      <c r="AI345" s="192">
        <f t="shared" si="629"/>
        <v>147000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323500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F346" s="183">
        <f t="shared" si="622"/>
        <v>2500</v>
      </c>
      <c r="G346" s="183"/>
      <c r="H346" s="183">
        <f t="shared" si="623"/>
        <v>2500</v>
      </c>
      <c r="I346" s="183"/>
      <c r="J346" s="183">
        <f t="shared" si="624"/>
        <v>2500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2500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2500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F350" s="183">
        <f t="shared" si="622"/>
        <v>102000</v>
      </c>
      <c r="G350" s="183"/>
      <c r="H350" s="183">
        <f t="shared" si="623"/>
        <v>102000</v>
      </c>
      <c r="I350" s="183"/>
      <c r="J350" s="183">
        <f t="shared" si="624"/>
        <v>102000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102000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102000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57" s="183">
        <f t="shared" si="622"/>
        <v>15000</v>
      </c>
      <c r="G357" s="183"/>
      <c r="H357" s="183">
        <f t="shared" si="623"/>
        <v>15000</v>
      </c>
      <c r="I357" s="183"/>
      <c r="J357" s="183">
        <f t="shared" si="624"/>
        <v>15000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57" s="183">
        <f t="shared" si="628"/>
        <v>15000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15000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F360" s="183">
        <f t="shared" si="622"/>
        <v>54000</v>
      </c>
      <c r="G360" s="183"/>
      <c r="H360" s="183">
        <f t="shared" si="623"/>
        <v>54000</v>
      </c>
      <c r="I360" s="183"/>
      <c r="J360" s="183">
        <f t="shared" si="624"/>
        <v>54000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9000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45000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54000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366" s="183">
        <f t="shared" si="822"/>
        <v>150000</v>
      </c>
      <c r="G366" s="183"/>
      <c r="H366" s="183">
        <f t="shared" si="823"/>
        <v>150000</v>
      </c>
      <c r="I366" s="183"/>
      <c r="J366" s="183">
        <f t="shared" si="824"/>
        <v>150000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E366" s="183">
        <f t="shared" si="825"/>
        <v>150000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150000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528">
        <f>SUM(D390:D396)</f>
        <v>692743645.5200001</v>
      </c>
      <c r="E389" s="528">
        <f>SUM(E390:E396)</f>
        <v>497191000</v>
      </c>
      <c r="F389" s="528">
        <f t="shared" si="830"/>
        <v>1189934645.52</v>
      </c>
      <c r="G389" s="528">
        <f>SUM(G390:G396)</f>
        <v>0</v>
      </c>
      <c r="H389" s="528">
        <f t="shared" si="623"/>
        <v>1189934645.52</v>
      </c>
      <c r="I389" s="528">
        <f>SUM(I390:I396)</f>
        <v>0</v>
      </c>
      <c r="J389" s="528">
        <f t="shared" si="624"/>
        <v>1189934645.52</v>
      </c>
      <c r="K389" s="528">
        <f t="shared" ref="K389:AD389" si="852">SUM(K390:K396)</f>
        <v>0</v>
      </c>
      <c r="L389" s="528">
        <f t="shared" si="852"/>
        <v>0</v>
      </c>
      <c r="M389" s="528">
        <f t="shared" si="852"/>
        <v>0</v>
      </c>
      <c r="N389" s="528">
        <f t="shared" si="852"/>
        <v>0</v>
      </c>
      <c r="O389" s="528">
        <f t="shared" si="852"/>
        <v>0</v>
      </c>
      <c r="P389" s="528">
        <f t="shared" si="852"/>
        <v>0</v>
      </c>
      <c r="Q389" s="528">
        <f t="shared" si="852"/>
        <v>0</v>
      </c>
      <c r="R389" s="528">
        <f t="shared" si="852"/>
        <v>0</v>
      </c>
      <c r="S389" s="528">
        <f t="shared" si="852"/>
        <v>0</v>
      </c>
      <c r="T389" s="528">
        <f t="shared" ref="T389" si="853">SUM(T390:T396)</f>
        <v>0</v>
      </c>
      <c r="U389" s="528">
        <f t="shared" si="852"/>
        <v>1189934645.52</v>
      </c>
      <c r="V389" s="528">
        <f t="shared" si="852"/>
        <v>0</v>
      </c>
      <c r="W389" s="528">
        <f t="shared" si="852"/>
        <v>0</v>
      </c>
      <c r="X389" s="528">
        <f t="shared" si="852"/>
        <v>0</v>
      </c>
      <c r="Y389" s="528">
        <f t="shared" ref="Y389:Z389" si="854">SUM(Y390:Y396)</f>
        <v>0</v>
      </c>
      <c r="Z389" s="528">
        <f t="shared" si="854"/>
        <v>0</v>
      </c>
      <c r="AA389" s="528">
        <f t="shared" si="852"/>
        <v>0</v>
      </c>
      <c r="AB389" s="528">
        <f t="shared" si="852"/>
        <v>875495338.11000001</v>
      </c>
      <c r="AC389" s="528">
        <f t="shared" si="852"/>
        <v>0</v>
      </c>
      <c r="AD389" s="528">
        <f t="shared" si="852"/>
        <v>0</v>
      </c>
      <c r="AE389" s="528">
        <f t="shared" si="628"/>
        <v>875495338.11000001</v>
      </c>
      <c r="AF389" s="528">
        <f>SUM(AF390:AF396)</f>
        <v>56350000</v>
      </c>
      <c r="AG389" s="528">
        <f>SUM(AG390:AG396)</f>
        <v>0</v>
      </c>
      <c r="AH389" s="528">
        <f>SUM(AH390:AH396)</f>
        <v>0</v>
      </c>
      <c r="AI389" s="528">
        <f t="shared" si="629"/>
        <v>56350000</v>
      </c>
      <c r="AJ389" s="528">
        <f>SUM(AJ390:AJ396)</f>
        <v>256600000</v>
      </c>
      <c r="AK389" s="528">
        <f>SUM(AK390:AK396)</f>
        <v>0</v>
      </c>
      <c r="AL389" s="528">
        <f>SUM(AL390:AL396)</f>
        <v>0</v>
      </c>
      <c r="AM389" s="528">
        <f t="shared" si="630"/>
        <v>256600000</v>
      </c>
      <c r="AN389" s="528">
        <f>SUM(AN390:AN396)</f>
        <v>0</v>
      </c>
      <c r="AO389" s="528">
        <f>SUM(AO390:AO396)</f>
        <v>0</v>
      </c>
      <c r="AP389" s="528">
        <f>SUM(AP390:AP396)</f>
        <v>1489307.41</v>
      </c>
      <c r="AQ389" s="528">
        <f t="shared" si="631"/>
        <v>1489307.41</v>
      </c>
      <c r="AR389" s="528">
        <f t="shared" si="632"/>
        <v>1189934645.5200002</v>
      </c>
    </row>
    <row r="390" spans="1:44" x14ac:dyDescent="0.25">
      <c r="B390" s="181" t="s">
        <v>343</v>
      </c>
      <c r="C390" s="182" t="s">
        <v>211</v>
      </c>
      <c r="D390" s="52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692743645.5200001</v>
      </c>
      <c r="E390" s="529">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497191000</v>
      </c>
      <c r="F390" s="529">
        <f t="shared" si="830"/>
        <v>1189934645.52</v>
      </c>
      <c r="G390" s="529"/>
      <c r="H390" s="529">
        <f t="shared" si="623"/>
        <v>1189934645.52</v>
      </c>
      <c r="I390" s="529"/>
      <c r="J390" s="529">
        <f t="shared" si="624"/>
        <v>1189934645.52</v>
      </c>
      <c r="K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1189934645.52</v>
      </c>
      <c r="V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529">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875495338.11000001</v>
      </c>
      <c r="AC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529">
        <f t="shared" si="628"/>
        <v>875495338.11000001</v>
      </c>
      <c r="AF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56350000</v>
      </c>
      <c r="AG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529">
        <f t="shared" si="629"/>
        <v>56350000</v>
      </c>
      <c r="AJ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256600000</v>
      </c>
      <c r="AK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529">
        <f t="shared" si="630"/>
        <v>256600000</v>
      </c>
      <c r="AN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529">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1489307.41</v>
      </c>
      <c r="AQ390" s="529">
        <f t="shared" si="631"/>
        <v>1489307.41</v>
      </c>
      <c r="AR390" s="529">
        <f t="shared" si="632"/>
        <v>1189934645.5200002</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513">
        <f>D12+D106+D222+D327+D397+D499+D526+D560</f>
        <v>694457079.39300013</v>
      </c>
      <c r="E566" s="513">
        <f>E12+E106+E222+E327+E397+E499+E526+E560</f>
        <v>507917993.92000002</v>
      </c>
      <c r="F566" s="513">
        <f t="shared" si="1050"/>
        <v>1202375073.3130002</v>
      </c>
      <c r="G566" s="186">
        <f>G12+G106+G222+G327+G397+G499+G526+G560</f>
        <v>0</v>
      </c>
      <c r="H566" s="513">
        <f t="shared" si="1052"/>
        <v>1202375073.3130002</v>
      </c>
      <c r="I566" s="186">
        <f>I12+I106+I222+I327+I397+I499+I526+I560</f>
        <v>0</v>
      </c>
      <c r="J566" s="513">
        <f t="shared" si="1053"/>
        <v>1202375073.3130002</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513">
        <f t="shared" si="1209"/>
        <v>1202375073.313</v>
      </c>
      <c r="V566" s="513">
        <f t="shared" si="1209"/>
        <v>0</v>
      </c>
      <c r="W566" s="513">
        <f t="shared" ref="W566" si="1212">W12+W106+W222+W327+W397+W499+W526+W560</f>
        <v>0</v>
      </c>
      <c r="X566" s="513">
        <f t="shared" si="1209"/>
        <v>0</v>
      </c>
      <c r="Y566" s="513">
        <f t="shared" ref="Y566:Z566" si="1213">Y12+Y106+Y222+Y327+Y397+Y499+Y526+Y560</f>
        <v>0</v>
      </c>
      <c r="Z566" s="513">
        <f t="shared" si="1213"/>
        <v>0</v>
      </c>
      <c r="AA566" s="513">
        <f t="shared" si="1209"/>
        <v>0</v>
      </c>
      <c r="AB566" s="513">
        <f t="shared" si="1209"/>
        <v>884354812.06299996</v>
      </c>
      <c r="AC566" s="513">
        <f t="shared" si="1209"/>
        <v>1719390</v>
      </c>
      <c r="AD566" s="513">
        <f t="shared" si="1209"/>
        <v>239678</v>
      </c>
      <c r="AE566" s="513">
        <f t="shared" si="1059"/>
        <v>886313880.06299996</v>
      </c>
      <c r="AF566" s="513">
        <f t="shared" ref="AF566:AH566" si="1214">AF12+AF106+AF222+AF327+AF397+AF499+AF526+AF560</f>
        <v>56668391</v>
      </c>
      <c r="AG566" s="513">
        <f t="shared" si="1214"/>
        <v>164301</v>
      </c>
      <c r="AH566" s="513">
        <f t="shared" si="1214"/>
        <v>620817</v>
      </c>
      <c r="AI566" s="513">
        <f t="shared" si="1060"/>
        <v>57453509</v>
      </c>
      <c r="AJ566" s="513">
        <f t="shared" ref="AJ566:AL566" si="1215">AJ12+AJ106+AJ222+AJ327+AJ397+AJ499+AJ526+AJ560</f>
        <v>256653140</v>
      </c>
      <c r="AK566" s="513">
        <f t="shared" si="1215"/>
        <v>6900</v>
      </c>
      <c r="AL566" s="513">
        <f t="shared" si="1215"/>
        <v>0</v>
      </c>
      <c r="AM566" s="513">
        <f t="shared" si="1061"/>
        <v>256660040</v>
      </c>
      <c r="AN566" s="513">
        <f t="shared" ref="AN566:AP566" si="1216">AN12+AN106+AN222+AN327+AN397+AN499+AN526+AN560</f>
        <v>0</v>
      </c>
      <c r="AO566" s="513">
        <f t="shared" si="1216"/>
        <v>0</v>
      </c>
      <c r="AP566" s="513">
        <f t="shared" si="1216"/>
        <v>1947644.25</v>
      </c>
      <c r="AQ566" s="513">
        <f t="shared" si="1062"/>
        <v>1947644.25</v>
      </c>
      <c r="AR566" s="513">
        <f t="shared" si="1063"/>
        <v>1202375073.313</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2" t="str">
        <f>+Presupuesto!D11</f>
        <v>Recurrente</v>
      </c>
      <c r="T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3">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c r="E13" s="93"/>
      <c r="F13" s="93"/>
      <c r="G13" s="93"/>
      <c r="H13" s="76"/>
      <c r="I13" s="76"/>
      <c r="J13" s="76"/>
      <c r="K13" s="112"/>
      <c r="N13" s="153"/>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81"/>
      <c r="E17" s="329"/>
      <c r="F17" s="115">
        <v>30000</v>
      </c>
      <c r="G17" s="330">
        <f t="shared" ref="G17:G25" si="0">E17*F17</f>
        <v>0</v>
      </c>
      <c r="H17" s="331"/>
      <c r="I17" s="116" t="s">
        <v>699</v>
      </c>
      <c r="J17" s="116" t="str">
        <f>VLOOKUP(I17,Presupuesto!$B$11:$C$566,2,0)</f>
        <v>SERVICIOS DE CAPACITACION.</v>
      </c>
      <c r="K17" s="332" t="s">
        <v>1517</v>
      </c>
      <c r="L17" s="116" t="s">
        <v>394</v>
      </c>
      <c r="N17" s="153"/>
    </row>
    <row r="18" spans="2:14" x14ac:dyDescent="0.25">
      <c r="B18" s="93"/>
      <c r="C18" s="99" t="s">
        <v>48</v>
      </c>
      <c r="D18" s="582"/>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82"/>
      <c r="E19" s="200">
        <f>D17</f>
        <v>0</v>
      </c>
      <c r="F19" s="100">
        <v>150</v>
      </c>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82"/>
      <c r="E20" s="151">
        <v>0</v>
      </c>
      <c r="F20" s="118">
        <v>10000</v>
      </c>
      <c r="G20" s="97">
        <f t="shared" si="0"/>
        <v>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82"/>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82"/>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82"/>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82"/>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82"/>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81"/>
      <c r="E36" s="329"/>
      <c r="F36" s="115">
        <v>30000</v>
      </c>
      <c r="G36" s="330">
        <f t="shared" ref="G36:G44" si="2">E36*F36</f>
        <v>0</v>
      </c>
      <c r="H36" s="331"/>
      <c r="I36" s="116" t="s">
        <v>699</v>
      </c>
      <c r="J36" s="116" t="str">
        <f>VLOOKUP(I36,Presupuesto!$B$11:$C$566,2,0)</f>
        <v>SERVICIOS DE CAPACITACION.</v>
      </c>
      <c r="K36" s="332" t="s">
        <v>1517</v>
      </c>
      <c r="L36" s="116" t="s">
        <v>394</v>
      </c>
    </row>
    <row r="37" spans="3:12" x14ac:dyDescent="0.25">
      <c r="C37" s="99" t="s">
        <v>48</v>
      </c>
      <c r="D37" s="582"/>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82"/>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82"/>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82"/>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82"/>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82"/>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82"/>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82"/>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81"/>
      <c r="E55" s="329"/>
      <c r="F55" s="115">
        <v>30000</v>
      </c>
      <c r="G55" s="330">
        <f t="shared" ref="G55:G63" si="4">E55*F55</f>
        <v>0</v>
      </c>
      <c r="H55" s="331"/>
      <c r="I55" s="116" t="s">
        <v>699</v>
      </c>
      <c r="J55" s="116" t="str">
        <f>VLOOKUP(I55,Presupuesto!$B$11:$C$566,2,0)</f>
        <v>SERVICIOS DE CAPACITACION.</v>
      </c>
      <c r="K55" s="332" t="s">
        <v>1517</v>
      </c>
      <c r="L55" s="116" t="s">
        <v>394</v>
      </c>
    </row>
    <row r="56" spans="3:12" x14ac:dyDescent="0.25">
      <c r="C56" s="99" t="s">
        <v>48</v>
      </c>
      <c r="D56" s="582"/>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82"/>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82"/>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82"/>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82"/>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82"/>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82"/>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82"/>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81"/>
      <c r="E74" s="329"/>
      <c r="F74" s="115">
        <v>30000</v>
      </c>
      <c r="G74" s="330">
        <f t="shared" ref="G74:G82" si="7">E74*F74</f>
        <v>0</v>
      </c>
      <c r="H74" s="331"/>
      <c r="I74" s="116" t="s">
        <v>699</v>
      </c>
      <c r="J74" s="116" t="str">
        <f>VLOOKUP(I74,Presupuesto!$B$11:$C$566,2,0)</f>
        <v>SERVICIOS DE CAPACITACION.</v>
      </c>
      <c r="K74" s="332" t="s">
        <v>1517</v>
      </c>
      <c r="L74" s="116" t="s">
        <v>394</v>
      </c>
    </row>
    <row r="75" spans="3:12" x14ac:dyDescent="0.25">
      <c r="C75" s="99" t="s">
        <v>48</v>
      </c>
      <c r="D75" s="582"/>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82"/>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82"/>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82"/>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82"/>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82"/>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82"/>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82"/>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81"/>
      <c r="E93" s="329"/>
      <c r="F93" s="115">
        <v>30000</v>
      </c>
      <c r="G93" s="330">
        <f t="shared" ref="G93:G101" si="9">E93*F93</f>
        <v>0</v>
      </c>
      <c r="H93" s="331"/>
      <c r="I93" s="116" t="s">
        <v>699</v>
      </c>
      <c r="J93" s="116" t="str">
        <f>VLOOKUP(I93,Presupuesto!$B$11:$C$566,2,0)</f>
        <v>SERVICIOS DE CAPACITACION.</v>
      </c>
      <c r="K93" s="332" t="s">
        <v>1517</v>
      </c>
      <c r="L93" s="116" t="s">
        <v>394</v>
      </c>
    </row>
    <row r="94" spans="3:12" x14ac:dyDescent="0.25">
      <c r="C94" s="99" t="s">
        <v>48</v>
      </c>
      <c r="D94" s="582"/>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82"/>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82"/>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82"/>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82"/>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82"/>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82"/>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82"/>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81"/>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x14ac:dyDescent="0.25">
      <c r="C113" s="99" t="s">
        <v>48</v>
      </c>
      <c r="D113" s="582"/>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82"/>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82"/>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82"/>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82"/>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82"/>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82"/>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82"/>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81"/>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x14ac:dyDescent="0.25">
      <c r="C132" s="99" t="s">
        <v>48</v>
      </c>
      <c r="D132" s="582"/>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82"/>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82"/>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82"/>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82"/>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82"/>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82"/>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82"/>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81"/>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x14ac:dyDescent="0.25">
      <c r="C151" s="99" t="s">
        <v>48</v>
      </c>
      <c r="D151" s="582"/>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82"/>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82"/>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82"/>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82"/>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82"/>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82"/>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82"/>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81"/>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x14ac:dyDescent="0.25">
      <c r="C170" s="99" t="s">
        <v>48</v>
      </c>
      <c r="D170" s="582"/>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82"/>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82"/>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82"/>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82"/>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82"/>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82"/>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82"/>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81"/>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582"/>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82"/>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82"/>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82"/>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82"/>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82"/>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82"/>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82"/>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81"/>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582"/>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82"/>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82"/>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82"/>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82"/>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82"/>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82"/>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82"/>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81"/>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582"/>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82"/>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82"/>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82"/>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82"/>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82"/>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82"/>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82"/>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00"/>
  <sheetViews>
    <sheetView showGridLines="0" topLeftCell="A4" zoomScale="84" zoomScaleNormal="84" workbookViewId="0">
      <selection activeCell="G10" sqref="G1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4.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3">
        <f>SUMIF(C:C,$C$10,D:D)</f>
        <v>8788143.9199999999</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SUM(G17:G82)</f>
        <v>2651428</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t="s">
        <v>1608</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Contratación de servicios profesionales</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hidden="1"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1364</v>
      </c>
      <c r="L17" s="98" t="s">
        <v>394</v>
      </c>
      <c r="CA17" s="304"/>
    </row>
    <row r="18" spans="3:79" hidden="1"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Administrativa y  financiera en apoyo al Desarrollo Académico</v>
      </c>
      <c r="L18" s="98" t="s">
        <v>412</v>
      </c>
      <c r="CA18" s="304"/>
    </row>
    <row r="19" spans="3:79" ht="15.75" hidden="1"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Administrativa y  financiera en apoyo al Desarrollo Académico</v>
      </c>
      <c r="L19" s="98" t="s">
        <v>395</v>
      </c>
      <c r="CA19" s="304"/>
    </row>
    <row r="20" spans="3:79" ht="15.75" hidden="1"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Administrativa y  financiera en apoyo al Desarrollo Académico</v>
      </c>
      <c r="L20" s="98" t="s">
        <v>395</v>
      </c>
    </row>
    <row r="21" spans="3:79" hidden="1"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Administrativa y  financiera en apoyo al Desarrollo Académico</v>
      </c>
      <c r="L21" s="98" t="s">
        <v>395</v>
      </c>
    </row>
    <row r="22" spans="3:79" ht="15.75" hidden="1"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Administrativa y  financiera en apoyo al Desarrollo Académico</v>
      </c>
      <c r="L22" s="98" t="s">
        <v>395</v>
      </c>
    </row>
    <row r="23" spans="3:79" ht="15.75" hidden="1"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Administrativa y  financiera en apoyo al Desarrollo Académico</v>
      </c>
      <c r="L23" s="98" t="s">
        <v>395</v>
      </c>
    </row>
    <row r="24" spans="3:79" hidden="1"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Administrativa y  financiera en apoyo al Desarrollo Académico</v>
      </c>
      <c r="L24" s="98" t="s">
        <v>395</v>
      </c>
    </row>
    <row r="25" spans="3:79" ht="15.75" hidden="1"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Administrativa y  financiera en apoyo al Desarrollo Académico</v>
      </c>
      <c r="L25" s="98" t="s">
        <v>395</v>
      </c>
    </row>
    <row r="26" spans="3:79" ht="15.75" hidden="1"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Administrativa y  financiera en apoyo al Desarrollo Académico</v>
      </c>
      <c r="L26" s="98" t="s">
        <v>395</v>
      </c>
    </row>
    <row r="27" spans="3:79" hidden="1"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Administrativa y  financiera en apoyo al Desarrollo Académico</v>
      </c>
      <c r="L27" s="98" t="s">
        <v>395</v>
      </c>
    </row>
    <row r="28" spans="3:79" ht="15.75" hidden="1"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Administrativa y  financiera en apoyo al Desarrollo Académico</v>
      </c>
      <c r="L28" s="98" t="s">
        <v>395</v>
      </c>
    </row>
    <row r="29" spans="3:79" ht="15.75" hidden="1"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Administrativa y  financiera en apoyo al Desarrollo Académico</v>
      </c>
      <c r="L29" s="98" t="s">
        <v>395</v>
      </c>
    </row>
    <row r="30" spans="3:79" hidden="1"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Administrativa y  financiera en apoyo al Desarrollo Académico</v>
      </c>
      <c r="L30" s="98" t="s">
        <v>395</v>
      </c>
    </row>
    <row r="31" spans="3:79" ht="15.75" hidden="1"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Administrativa y  financiera en apoyo al Desarrollo Académico</v>
      </c>
      <c r="L31" s="98" t="s">
        <v>395</v>
      </c>
    </row>
    <row r="32" spans="3:79" ht="15.75" hidden="1"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Administrativa y  financiera en apoyo al Desarrollo Académico</v>
      </c>
      <c r="L32" s="98" t="s">
        <v>395</v>
      </c>
    </row>
    <row r="33" spans="3:12" hidden="1"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Administrativa y  financiera en apoyo al Desarrollo Académico</v>
      </c>
      <c r="L33" s="98" t="s">
        <v>395</v>
      </c>
    </row>
    <row r="34" spans="3:12" ht="15.75" hidden="1"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Administrativa y  financiera en apoyo al Desarrollo Académico</v>
      </c>
      <c r="L34" s="98" t="s">
        <v>395</v>
      </c>
    </row>
    <row r="35" spans="3:12" ht="15.75" hidden="1"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Administrativa y  financiera en apoyo al Desarrollo Académico</v>
      </c>
      <c r="L35" s="98" t="s">
        <v>395</v>
      </c>
    </row>
    <row r="36" spans="3:12" hidden="1"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Administrativa y  financiera en apoyo al Desarrollo Académico</v>
      </c>
      <c r="L36" s="98" t="s">
        <v>395</v>
      </c>
    </row>
    <row r="37" spans="3:12" ht="15.75" hidden="1"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Administrativa y  financiera en apoyo al Desarrollo Académico</v>
      </c>
      <c r="L37" s="98" t="s">
        <v>395</v>
      </c>
    </row>
    <row r="38" spans="3:12" ht="15.75" hidden="1"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Administrativa y  financiera en apoyo al Desarrollo Académico</v>
      </c>
      <c r="L38" s="98" t="s">
        <v>395</v>
      </c>
    </row>
    <row r="39" spans="3:12" hidden="1"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Administrativa y  financiera en apoyo al Desarrollo Académico</v>
      </c>
      <c r="L39" s="98" t="s">
        <v>395</v>
      </c>
    </row>
    <row r="40" spans="3:12" ht="15.75" hidden="1"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Administrativa y  financiera en apoyo al Desarrollo Académico</v>
      </c>
      <c r="L40" s="98" t="s">
        <v>395</v>
      </c>
    </row>
    <row r="41" spans="3:12" ht="15.75" hidden="1"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Administrativa y  financiera en apoyo al Desarrollo Académico</v>
      </c>
      <c r="L41" s="98" t="s">
        <v>395</v>
      </c>
    </row>
    <row r="42" spans="3:12" hidden="1"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Administrativa y  financiera en apoyo al Desarrollo Académico</v>
      </c>
      <c r="L42" s="98" t="s">
        <v>395</v>
      </c>
    </row>
    <row r="43" spans="3:12" ht="15.75" hidden="1"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Administrativa y  financiera en apoyo al Desarrollo Académico</v>
      </c>
      <c r="L43" s="98" t="s">
        <v>395</v>
      </c>
    </row>
    <row r="44" spans="3:12" ht="15.75" hidden="1"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Administrativa y  financiera en apoyo al Desarrollo Académico</v>
      </c>
      <c r="L44" s="98" t="s">
        <v>395</v>
      </c>
    </row>
    <row r="45" spans="3:12" hidden="1"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Administrativa y  financiera en apoyo al Desarrollo Académico</v>
      </c>
      <c r="L45" s="98" t="s">
        <v>395</v>
      </c>
    </row>
    <row r="46" spans="3:12" ht="15.75" hidden="1"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Administrativa y  financiera en apoyo al Desarrollo Académico</v>
      </c>
      <c r="L46" s="98" t="s">
        <v>395</v>
      </c>
    </row>
    <row r="47" spans="3:12" ht="15.75" hidden="1"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Administrativa y  financiera en apoyo al Desarrollo Académico</v>
      </c>
      <c r="L47" s="98" t="s">
        <v>395</v>
      </c>
    </row>
    <row r="48" spans="3:12" hidden="1"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Administrativa y  financiera en apoyo al Desarrollo Académico</v>
      </c>
      <c r="L48" s="98" t="s">
        <v>395</v>
      </c>
    </row>
    <row r="49" spans="3:12" ht="15.75" hidden="1"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Administrativa y  financiera en apoyo al Desarrollo Académico</v>
      </c>
      <c r="L49" s="98" t="s">
        <v>395</v>
      </c>
    </row>
    <row r="50" spans="3:12" ht="15.75" hidden="1"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82" si="1">$K$17</f>
        <v>Gestión Administrativa y  financiera en apoyo al Desarrollo Académico</v>
      </c>
      <c r="L50" s="98" t="s">
        <v>395</v>
      </c>
    </row>
    <row r="51" spans="3:12" hidden="1"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Administrativa y  financiera en apoyo al Desarrollo Académico</v>
      </c>
      <c r="L51" s="98" t="s">
        <v>395</v>
      </c>
    </row>
    <row r="52" spans="3:12" ht="15.75" hidden="1"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Administrativa y  financiera en apoyo al Desarrollo Académico</v>
      </c>
      <c r="L52" s="98" t="s">
        <v>395</v>
      </c>
    </row>
    <row r="53" spans="3:12" ht="15.75" hidden="1"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Administrativa y  financiera en apoyo al Desarrollo Académico</v>
      </c>
      <c r="L53" s="98" t="s">
        <v>395</v>
      </c>
    </row>
    <row r="54" spans="3:12" hidden="1"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Administrativa y  financiera en apoyo al Desarrollo Académico</v>
      </c>
      <c r="L54" s="98" t="s">
        <v>395</v>
      </c>
    </row>
    <row r="55" spans="3:12" ht="15.75" hidden="1"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Administrativa y  financiera en apoyo al Desarrollo Académico</v>
      </c>
      <c r="L55" s="98" t="s">
        <v>395</v>
      </c>
    </row>
    <row r="56" spans="3:12" ht="15.75" hidden="1"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Administrativa y  financiera en apoyo al Desarrollo Académico</v>
      </c>
      <c r="L56" s="98" t="s">
        <v>395</v>
      </c>
    </row>
    <row r="57" spans="3:12" hidden="1"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Administrativa y  financiera en apoyo al Desarrollo Académico</v>
      </c>
      <c r="L57" s="98" t="s">
        <v>395</v>
      </c>
    </row>
    <row r="58" spans="3:12" ht="15.75" hidden="1"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Administrativa y  financiera en apoyo al Desarrollo Académico</v>
      </c>
      <c r="L58" s="98" t="s">
        <v>395</v>
      </c>
    </row>
    <row r="59" spans="3:12" s="466" customFormat="1" ht="15.75" thickBot="1" x14ac:dyDescent="0.3">
      <c r="C59" s="140" t="s">
        <v>83</v>
      </c>
      <c r="D59" s="199">
        <v>1</v>
      </c>
      <c r="E59" s="152">
        <v>12</v>
      </c>
      <c r="F59" s="139">
        <v>37620</v>
      </c>
      <c r="G59" s="113">
        <f>D59*E59*F59</f>
        <v>451440</v>
      </c>
      <c r="H59" s="166" t="s">
        <v>1509</v>
      </c>
      <c r="I59" s="114" t="s">
        <v>564</v>
      </c>
      <c r="J59" s="114" t="str">
        <f>VLOOKUP(I59,[1]Presupuesto!$B$11:$C$565,2,0)</f>
        <v>CONTRATOS ESPECIALES</v>
      </c>
      <c r="K59" s="98" t="str">
        <f t="shared" si="1"/>
        <v>Gestión Administrativa y  financiera en apoyo al Desarrollo Académico</v>
      </c>
      <c r="L59" s="98" t="s">
        <v>394</v>
      </c>
    </row>
    <row r="60" spans="3:12" s="466" customFormat="1" x14ac:dyDescent="0.25">
      <c r="C60" s="171" t="s">
        <v>58</v>
      </c>
      <c r="D60" s="163"/>
      <c r="E60" s="154">
        <v>0</v>
      </c>
      <c r="F60" s="117">
        <f>IF(E59=0,"",(G59/E59)/12*E59)</f>
        <v>37620</v>
      </c>
      <c r="G60" s="97">
        <f>F60</f>
        <v>37620</v>
      </c>
      <c r="H60" s="164" t="s">
        <v>1509</v>
      </c>
      <c r="I60" s="101" t="s">
        <v>564</v>
      </c>
      <c r="J60" s="101" t="str">
        <f>VLOOKUP(I60,[1]Presupuesto!$B$11:$C$565,2,0)</f>
        <v>CONTRATOS ESPECIALES</v>
      </c>
      <c r="K60" s="98" t="str">
        <f t="shared" si="1"/>
        <v>Gestión Administrativa y  financiera en apoyo al Desarrollo Académico</v>
      </c>
      <c r="L60" s="98" t="s">
        <v>394</v>
      </c>
    </row>
    <row r="61" spans="3:12" s="466" customFormat="1" ht="15.75" thickBot="1" x14ac:dyDescent="0.3">
      <c r="C61" s="172" t="s">
        <v>59</v>
      </c>
      <c r="D61" s="163"/>
      <c r="E61" s="154">
        <v>0</v>
      </c>
      <c r="F61" s="117">
        <v>37620</v>
      </c>
      <c r="G61" s="97">
        <f>F61</f>
        <v>37620</v>
      </c>
      <c r="H61" s="164" t="s">
        <v>1509</v>
      </c>
      <c r="I61" s="101" t="s">
        <v>564</v>
      </c>
      <c r="J61" s="101" t="str">
        <f>VLOOKUP(I61,[1]Presupuesto!$B$11:$C$565,2,0)</f>
        <v>CONTRATOS ESPECIALES</v>
      </c>
      <c r="K61" s="98" t="str">
        <f t="shared" si="1"/>
        <v>Gestión Administrativa y  financiera en apoyo al Desarrollo Académico</v>
      </c>
      <c r="L61" s="98" t="s">
        <v>394</v>
      </c>
    </row>
    <row r="62" spans="3:12" s="466" customFormat="1" ht="15.75" thickBot="1" x14ac:dyDescent="0.3">
      <c r="C62" s="140" t="s">
        <v>83</v>
      </c>
      <c r="D62" s="199">
        <v>1</v>
      </c>
      <c r="E62" s="152">
        <v>12</v>
      </c>
      <c r="F62" s="139">
        <v>31620</v>
      </c>
      <c r="G62" s="113">
        <f>D62*E62*F62</f>
        <v>379440</v>
      </c>
      <c r="H62" s="166" t="s">
        <v>1509</v>
      </c>
      <c r="I62" s="114" t="s">
        <v>564</v>
      </c>
      <c r="J62" s="114" t="str">
        <f>VLOOKUP(I62,[1]Presupuesto!$B$11:$C$565,2,0)</f>
        <v>CONTRATOS ESPECIALES</v>
      </c>
      <c r="K62" s="98" t="str">
        <f t="shared" si="1"/>
        <v>Gestión Administrativa y  financiera en apoyo al Desarrollo Académico</v>
      </c>
      <c r="L62" s="98" t="s">
        <v>394</v>
      </c>
    </row>
    <row r="63" spans="3:12" s="466" customFormat="1" x14ac:dyDescent="0.25">
      <c r="C63" s="171" t="s">
        <v>58</v>
      </c>
      <c r="D63" s="163"/>
      <c r="E63" s="154">
        <v>0</v>
      </c>
      <c r="F63" s="117">
        <f>IF(E62=0,"",(G62/E62)/12*E62)</f>
        <v>31620</v>
      </c>
      <c r="G63" s="97">
        <f>F63</f>
        <v>31620</v>
      </c>
      <c r="H63" s="164" t="s">
        <v>1509</v>
      </c>
      <c r="I63" s="101" t="s">
        <v>564</v>
      </c>
      <c r="J63" s="101" t="str">
        <f>VLOOKUP(I63,[1]Presupuesto!$B$11:$C$565,2,0)</f>
        <v>CONTRATOS ESPECIALES</v>
      </c>
      <c r="K63" s="98" t="str">
        <f t="shared" si="1"/>
        <v>Gestión Administrativa y  financiera en apoyo al Desarrollo Académico</v>
      </c>
      <c r="L63" s="98" t="s">
        <v>394</v>
      </c>
    </row>
    <row r="64" spans="3:12" s="466" customFormat="1" ht="15.75" thickBot="1" x14ac:dyDescent="0.3">
      <c r="C64" s="172" t="s">
        <v>59</v>
      </c>
      <c r="D64" s="163"/>
      <c r="E64" s="154">
        <v>0</v>
      </c>
      <c r="F64" s="100">
        <v>31620</v>
      </c>
      <c r="G64" s="97">
        <f>F64</f>
        <v>31620</v>
      </c>
      <c r="H64" s="164" t="s">
        <v>1509</v>
      </c>
      <c r="I64" s="101" t="s">
        <v>564</v>
      </c>
      <c r="J64" s="101" t="str">
        <f>VLOOKUP(I64,[1]Presupuesto!$B$11:$C$565,2,0)</f>
        <v>CONTRATOS ESPECIALES</v>
      </c>
      <c r="K64" s="98" t="str">
        <f t="shared" si="1"/>
        <v>Gestión Administrativa y  financiera en apoyo al Desarrollo Académico</v>
      </c>
      <c r="L64" s="98" t="s">
        <v>394</v>
      </c>
    </row>
    <row r="65" spans="3:12" s="466" customFormat="1" ht="15.75" thickBot="1" x14ac:dyDescent="0.3">
      <c r="C65" s="140" t="s">
        <v>83</v>
      </c>
      <c r="D65" s="199">
        <v>1</v>
      </c>
      <c r="E65" s="152">
        <v>12</v>
      </c>
      <c r="F65" s="139">
        <v>41620</v>
      </c>
      <c r="G65" s="113">
        <f>D65*E65*F65</f>
        <v>499440</v>
      </c>
      <c r="H65" s="166" t="s">
        <v>1509</v>
      </c>
      <c r="I65" s="114" t="s">
        <v>564</v>
      </c>
      <c r="J65" s="114" t="str">
        <f>VLOOKUP(I65,[1]Presupuesto!$B$11:$C$565,2,0)</f>
        <v>CONTRATOS ESPECIALES</v>
      </c>
      <c r="K65" s="98" t="str">
        <f t="shared" si="1"/>
        <v>Gestión Administrativa y  financiera en apoyo al Desarrollo Académico</v>
      </c>
      <c r="L65" s="98" t="s">
        <v>394</v>
      </c>
    </row>
    <row r="66" spans="3:12" s="466" customFormat="1" x14ac:dyDescent="0.25">
      <c r="C66" s="171" t="s">
        <v>58</v>
      </c>
      <c r="D66" s="163"/>
      <c r="E66" s="154">
        <v>0</v>
      </c>
      <c r="F66" s="117">
        <f>IF(E65=0,"",(G65/E65)/12*E65)</f>
        <v>41620</v>
      </c>
      <c r="G66" s="97">
        <f>F66</f>
        <v>41620</v>
      </c>
      <c r="H66" s="164" t="s">
        <v>1509</v>
      </c>
      <c r="I66" s="101" t="s">
        <v>564</v>
      </c>
      <c r="J66" s="101" t="str">
        <f>VLOOKUP(I66,[1]Presupuesto!$B$11:$C$565,2,0)</f>
        <v>CONTRATOS ESPECIALES</v>
      </c>
      <c r="K66" s="98" t="str">
        <f t="shared" si="1"/>
        <v>Gestión Administrativa y  financiera en apoyo al Desarrollo Académico</v>
      </c>
      <c r="L66" s="98" t="s">
        <v>394</v>
      </c>
    </row>
    <row r="67" spans="3:12" s="466" customFormat="1" ht="15.75" thickBot="1" x14ac:dyDescent="0.3">
      <c r="C67" s="172" t="s">
        <v>59</v>
      </c>
      <c r="D67" s="163"/>
      <c r="E67" s="154">
        <v>0</v>
      </c>
      <c r="F67" s="100">
        <v>41620</v>
      </c>
      <c r="G67" s="97">
        <f>F67</f>
        <v>41620</v>
      </c>
      <c r="H67" s="164" t="s">
        <v>1509</v>
      </c>
      <c r="I67" s="101" t="s">
        <v>564</v>
      </c>
      <c r="J67" s="101" t="str">
        <f>VLOOKUP(I67,[1]Presupuesto!$B$11:$C$565,2,0)</f>
        <v>CONTRATOS ESPECIALES</v>
      </c>
      <c r="K67" s="98" t="str">
        <f t="shared" si="1"/>
        <v>Gestión Administrativa y  financiera en apoyo al Desarrollo Académico</v>
      </c>
      <c r="L67" s="98" t="s">
        <v>394</v>
      </c>
    </row>
    <row r="68" spans="3:12" s="466" customFormat="1" ht="15.75" thickBot="1" x14ac:dyDescent="0.3">
      <c r="C68" s="140" t="s">
        <v>83</v>
      </c>
      <c r="D68" s="199">
        <v>1</v>
      </c>
      <c r="E68" s="152">
        <v>12</v>
      </c>
      <c r="F68" s="139">
        <v>12000</v>
      </c>
      <c r="G68" s="113">
        <f>D68*E68*F68</f>
        <v>144000</v>
      </c>
      <c r="H68" s="166" t="s">
        <v>1509</v>
      </c>
      <c r="I68" s="114" t="s">
        <v>564</v>
      </c>
      <c r="J68" s="114" t="str">
        <f>VLOOKUP(I68,[1]Presupuesto!$B$11:$C$565,2,0)</f>
        <v>CONTRATOS ESPECIALES</v>
      </c>
      <c r="K68" s="98" t="str">
        <f t="shared" si="1"/>
        <v>Gestión Administrativa y  financiera en apoyo al Desarrollo Académico</v>
      </c>
      <c r="L68" s="98" t="s">
        <v>394</v>
      </c>
    </row>
    <row r="69" spans="3:12" s="466" customFormat="1" x14ac:dyDescent="0.25">
      <c r="C69" s="171" t="s">
        <v>58</v>
      </c>
      <c r="D69" s="163"/>
      <c r="E69" s="154">
        <v>0</v>
      </c>
      <c r="F69" s="117">
        <f>IF(E68=0,"",(G68/E68)/12*E68)</f>
        <v>12000</v>
      </c>
      <c r="G69" s="97">
        <f>F69</f>
        <v>12000</v>
      </c>
      <c r="H69" s="164" t="s">
        <v>1509</v>
      </c>
      <c r="I69" s="101" t="s">
        <v>564</v>
      </c>
      <c r="J69" s="101" t="str">
        <f>VLOOKUP(I69,[1]Presupuesto!$B$11:$C$565,2,0)</f>
        <v>CONTRATOS ESPECIALES</v>
      </c>
      <c r="K69" s="98" t="str">
        <f t="shared" si="1"/>
        <v>Gestión Administrativa y  financiera en apoyo al Desarrollo Académico</v>
      </c>
      <c r="L69" s="98" t="s">
        <v>394</v>
      </c>
    </row>
    <row r="70" spans="3:12" s="466" customFormat="1" ht="15.75" thickBot="1" x14ac:dyDescent="0.3">
      <c r="C70" s="172" t="s">
        <v>59</v>
      </c>
      <c r="D70" s="163"/>
      <c r="E70" s="154">
        <v>0</v>
      </c>
      <c r="F70" s="100">
        <v>12000</v>
      </c>
      <c r="G70" s="97">
        <f>F70</f>
        <v>12000</v>
      </c>
      <c r="H70" s="164" t="s">
        <v>1509</v>
      </c>
      <c r="I70" s="101" t="s">
        <v>564</v>
      </c>
      <c r="J70" s="101" t="str">
        <f>VLOOKUP(I70,[1]Presupuesto!$B$11:$C$565,2,0)</f>
        <v>CONTRATOS ESPECIALES</v>
      </c>
      <c r="K70" s="98" t="str">
        <f t="shared" si="1"/>
        <v>Gestión Administrativa y  financiera en apoyo al Desarrollo Académico</v>
      </c>
      <c r="L70" s="98" t="s">
        <v>394</v>
      </c>
    </row>
    <row r="71" spans="3:12" s="466" customFormat="1" ht="15.75" thickBot="1" x14ac:dyDescent="0.3">
      <c r="C71" s="140" t="s">
        <v>83</v>
      </c>
      <c r="D71" s="199">
        <v>1</v>
      </c>
      <c r="E71" s="152">
        <v>12</v>
      </c>
      <c r="F71" s="139">
        <v>15000</v>
      </c>
      <c r="G71" s="113">
        <f>D71*E71*F71</f>
        <v>180000</v>
      </c>
      <c r="H71" s="166" t="s">
        <v>1509</v>
      </c>
      <c r="I71" s="114" t="s">
        <v>564</v>
      </c>
      <c r="J71" s="114" t="str">
        <f>VLOOKUP(I71,[1]Presupuesto!$B$11:$C$565,2,0)</f>
        <v>CONTRATOS ESPECIALES</v>
      </c>
      <c r="K71" s="98" t="str">
        <f t="shared" si="1"/>
        <v>Gestión Administrativa y  financiera en apoyo al Desarrollo Académico</v>
      </c>
      <c r="L71" s="98" t="s">
        <v>394</v>
      </c>
    </row>
    <row r="72" spans="3:12" s="466" customFormat="1" x14ac:dyDescent="0.25">
      <c r="C72" s="171" t="s">
        <v>58</v>
      </c>
      <c r="D72" s="163"/>
      <c r="E72" s="154">
        <v>0</v>
      </c>
      <c r="F72" s="117">
        <f>IF(E71=0,"",(G71/E71)/12*E71)</f>
        <v>15000</v>
      </c>
      <c r="G72" s="97">
        <f>F72</f>
        <v>15000</v>
      </c>
      <c r="H72" s="164" t="s">
        <v>1509</v>
      </c>
      <c r="I72" s="101" t="s">
        <v>564</v>
      </c>
      <c r="J72" s="101" t="str">
        <f>VLOOKUP(I72,[1]Presupuesto!$B$11:$C$565,2,0)</f>
        <v>CONTRATOS ESPECIALES</v>
      </c>
      <c r="K72" s="98" t="str">
        <f t="shared" si="1"/>
        <v>Gestión Administrativa y  financiera en apoyo al Desarrollo Académico</v>
      </c>
      <c r="L72" s="98" t="s">
        <v>394</v>
      </c>
    </row>
    <row r="73" spans="3:12" s="466" customFormat="1" ht="15.75" thickBot="1" x14ac:dyDescent="0.3">
      <c r="C73" s="172" t="s">
        <v>59</v>
      </c>
      <c r="D73" s="163"/>
      <c r="E73" s="154">
        <v>0</v>
      </c>
      <c r="F73" s="100">
        <v>15000</v>
      </c>
      <c r="G73" s="97">
        <f>F73</f>
        <v>15000</v>
      </c>
      <c r="H73" s="164" t="s">
        <v>1509</v>
      </c>
      <c r="I73" s="101" t="s">
        <v>564</v>
      </c>
      <c r="J73" s="101" t="str">
        <f>VLOOKUP(I73,[1]Presupuesto!$B$11:$C$565,2,0)</f>
        <v>CONTRATOS ESPECIALES</v>
      </c>
      <c r="K73" s="98" t="str">
        <f t="shared" si="1"/>
        <v>Gestión Administrativa y  financiera en apoyo al Desarrollo Académico</v>
      </c>
      <c r="L73" s="98" t="s">
        <v>394</v>
      </c>
    </row>
    <row r="74" spans="3:12" ht="15.75" thickBot="1" x14ac:dyDescent="0.3">
      <c r="C74" s="140" t="s">
        <v>83</v>
      </c>
      <c r="D74" s="199">
        <v>1</v>
      </c>
      <c r="E74" s="152">
        <v>12</v>
      </c>
      <c r="F74" s="139">
        <v>24242</v>
      </c>
      <c r="G74" s="113">
        <f>D74*E74*F74</f>
        <v>290904</v>
      </c>
      <c r="H74" s="166" t="s">
        <v>1509</v>
      </c>
      <c r="I74" s="114" t="s">
        <v>564</v>
      </c>
      <c r="J74" s="114" t="str">
        <f>VLOOKUP(I74,[1]Presupuesto!$B$11:$C$565,2,0)</f>
        <v>CONTRATOS ESPECIALES</v>
      </c>
      <c r="K74" s="98" t="str">
        <f t="shared" si="1"/>
        <v>Gestión Administrativa y  financiera en apoyo al Desarrollo Académico</v>
      </c>
      <c r="L74" s="98" t="s">
        <v>394</v>
      </c>
    </row>
    <row r="75" spans="3:12" x14ac:dyDescent="0.25">
      <c r="C75" s="171" t="s">
        <v>58</v>
      </c>
      <c r="D75" s="163"/>
      <c r="E75" s="154">
        <v>0</v>
      </c>
      <c r="F75" s="117">
        <f>IF(E74=0,"",(G74/E74)/12*E74)</f>
        <v>24242</v>
      </c>
      <c r="G75" s="97">
        <f>F75</f>
        <v>24242</v>
      </c>
      <c r="H75" s="164" t="s">
        <v>1509</v>
      </c>
      <c r="I75" s="101" t="s">
        <v>564</v>
      </c>
      <c r="J75" s="101" t="str">
        <f>VLOOKUP(I75,[1]Presupuesto!$B$11:$C$565,2,0)</f>
        <v>CONTRATOS ESPECIALES</v>
      </c>
      <c r="K75" s="98" t="str">
        <f t="shared" si="1"/>
        <v>Gestión Administrativa y  financiera en apoyo al Desarrollo Académico</v>
      </c>
      <c r="L75" s="98" t="s">
        <v>394</v>
      </c>
    </row>
    <row r="76" spans="3:12" ht="15.75" thickBot="1" x14ac:dyDescent="0.3">
      <c r="C76" s="172" t="s">
        <v>59</v>
      </c>
      <c r="D76" s="163"/>
      <c r="E76" s="154">
        <v>0</v>
      </c>
      <c r="F76" s="100">
        <v>24242</v>
      </c>
      <c r="G76" s="97">
        <f>F76</f>
        <v>24242</v>
      </c>
      <c r="H76" s="164" t="s">
        <v>1509</v>
      </c>
      <c r="I76" s="101" t="s">
        <v>564</v>
      </c>
      <c r="J76" s="101" t="str">
        <f>VLOOKUP(I76,[1]Presupuesto!$B$11:$C$565,2,0)</f>
        <v>CONTRATOS ESPECIALES</v>
      </c>
      <c r="K76" s="98" t="str">
        <f t="shared" si="1"/>
        <v>Gestión Administrativa y  financiera en apoyo al Desarrollo Académico</v>
      </c>
      <c r="L76" s="98" t="s">
        <v>394</v>
      </c>
    </row>
    <row r="77" spans="3:12" ht="15.75" hidden="1" thickBot="1" x14ac:dyDescent="0.3">
      <c r="C77" s="140" t="s">
        <v>60</v>
      </c>
      <c r="D77" s="199"/>
      <c r="E77" s="152">
        <v>12</v>
      </c>
      <c r="F77" s="118">
        <v>30000</v>
      </c>
      <c r="G77" s="113">
        <f>D77*E77*F77</f>
        <v>0</v>
      </c>
      <c r="H77" s="166" t="s">
        <v>1509</v>
      </c>
      <c r="I77" s="114" t="s">
        <v>705</v>
      </c>
      <c r="J77" s="114" t="str">
        <f>VLOOKUP(I77,Presupuesto!$B$11:$C$565,2,0)</f>
        <v>OTROS SERVICIOS TECNICOS Y PROFESIONALES</v>
      </c>
      <c r="K77" s="98" t="str">
        <f t="shared" si="1"/>
        <v>Gestión Administrativa y  financiera en apoyo al Desarrollo Académico</v>
      </c>
      <c r="L77" s="98" t="s">
        <v>394</v>
      </c>
    </row>
    <row r="78" spans="3:12" hidden="1" x14ac:dyDescent="0.25">
      <c r="C78" s="171" t="s">
        <v>58</v>
      </c>
      <c r="D78" s="163"/>
      <c r="E78" s="154">
        <v>0</v>
      </c>
      <c r="F78" s="100">
        <v>0</v>
      </c>
      <c r="G78" s="97">
        <f>F78</f>
        <v>0</v>
      </c>
      <c r="H78" s="164" t="s">
        <v>1509</v>
      </c>
      <c r="I78" s="101" t="s">
        <v>705</v>
      </c>
      <c r="J78" s="101" t="str">
        <f>VLOOKUP(I78,Presupuesto!$B$11:$C$565,2,0)</f>
        <v>OTROS SERVICIOS TECNICOS Y PROFESIONALES</v>
      </c>
      <c r="K78" s="98" t="str">
        <f t="shared" si="1"/>
        <v>Gestión Administrativa y  financiera en apoyo al Desarrollo Académico</v>
      </c>
      <c r="L78" s="98" t="s">
        <v>394</v>
      </c>
    </row>
    <row r="79" spans="3:12" ht="15.75" hidden="1" thickBot="1" x14ac:dyDescent="0.3">
      <c r="C79" s="172" t="s">
        <v>59</v>
      </c>
      <c r="D79" s="163"/>
      <c r="E79" s="154">
        <v>0</v>
      </c>
      <c r="F79" s="100">
        <v>0</v>
      </c>
      <c r="G79" s="97">
        <f>F79</f>
        <v>0</v>
      </c>
      <c r="H79" s="164" t="s">
        <v>1509</v>
      </c>
      <c r="I79" s="101" t="s">
        <v>705</v>
      </c>
      <c r="J79" s="101" t="str">
        <f>VLOOKUP(I79,Presupuesto!$B$11:$C$565,2,0)</f>
        <v>OTROS SERVICIOS TECNICOS Y PROFESIONALES</v>
      </c>
      <c r="K79" s="98" t="str">
        <f t="shared" si="1"/>
        <v>Gestión Administrativa y  financiera en apoyo al Desarrollo Académico</v>
      </c>
      <c r="L79" s="98" t="s">
        <v>394</v>
      </c>
    </row>
    <row r="80" spans="3:12" ht="15.75" thickBot="1" x14ac:dyDescent="0.3">
      <c r="C80" s="140" t="s">
        <v>61</v>
      </c>
      <c r="D80" s="199">
        <v>1</v>
      </c>
      <c r="E80" s="152">
        <v>12</v>
      </c>
      <c r="F80" s="118">
        <v>28000</v>
      </c>
      <c r="G80" s="113">
        <f>D80*E80*F80</f>
        <v>336000</v>
      </c>
      <c r="H80" s="166" t="s">
        <v>1509</v>
      </c>
      <c r="I80" s="114" t="s">
        <v>496</v>
      </c>
      <c r="J80" s="114" t="str">
        <f>VLOOKUP(I80,[1]Presupuesto!$B$11:$C$565,2,0)</f>
        <v>SUELDOS Y SALARIOS PERMANENTES</v>
      </c>
      <c r="K80" s="98" t="str">
        <f t="shared" si="1"/>
        <v>Gestión Administrativa y  financiera en apoyo al Desarrollo Académico</v>
      </c>
      <c r="L80" s="98" t="s">
        <v>394</v>
      </c>
    </row>
    <row r="81" spans="3:12" x14ac:dyDescent="0.25">
      <c r="C81" s="171" t="s">
        <v>58</v>
      </c>
      <c r="D81" s="169"/>
      <c r="E81" s="131">
        <v>0</v>
      </c>
      <c r="F81" s="119">
        <f>IF(E80=0,"",(G80/E80)/12*E80)</f>
        <v>28000</v>
      </c>
      <c r="G81" s="120">
        <f>F81</f>
        <v>28000</v>
      </c>
      <c r="H81" s="164" t="s">
        <v>1509</v>
      </c>
      <c r="I81" s="101" t="s">
        <v>516</v>
      </c>
      <c r="J81" s="101" t="str">
        <f>VLOOKUP(I81,[1]Presupuesto!$B$11:$C$565,2,0)</f>
        <v>AGUINALDO Y DECIMO CUARTO MES</v>
      </c>
      <c r="K81" s="98" t="str">
        <f t="shared" si="1"/>
        <v>Gestión Administrativa y  financiera en apoyo al Desarrollo Académico</v>
      </c>
      <c r="L81" s="98" t="s">
        <v>394</v>
      </c>
    </row>
    <row r="82" spans="3:12" ht="15.75" thickBot="1" x14ac:dyDescent="0.3">
      <c r="C82" s="173" t="s">
        <v>59</v>
      </c>
      <c r="D82" s="162"/>
      <c r="E82" s="132">
        <v>0</v>
      </c>
      <c r="F82" s="105">
        <v>18000</v>
      </c>
      <c r="G82" s="105">
        <f>F82</f>
        <v>18000</v>
      </c>
      <c r="H82" s="162" t="s">
        <v>1509</v>
      </c>
      <c r="I82" s="106" t="s">
        <v>519</v>
      </c>
      <c r="J82" s="124" t="str">
        <f>VLOOKUP(I82,[1]Presupuesto!$B$11:$C$565,2,0)</f>
        <v>DECIMOCUARTO MES</v>
      </c>
      <c r="K82" s="106" t="str">
        <f t="shared" si="1"/>
        <v>Gestión Administrativa y  financiera en apoyo al Desarrollo Académico</v>
      </c>
      <c r="L82" s="124" t="s">
        <v>394</v>
      </c>
    </row>
    <row r="84" spans="3:12" ht="15.75" thickBot="1" x14ac:dyDescent="0.3">
      <c r="K84" s="153"/>
    </row>
    <row r="85" spans="3:12" ht="15.75" thickBot="1" x14ac:dyDescent="0.3">
      <c r="C85" s="69" t="s">
        <v>43</v>
      </c>
      <c r="D85" s="30">
        <f>SUM(G92:G160)</f>
        <v>3112715.92</v>
      </c>
      <c r="E85" s="93"/>
      <c r="F85" s="93"/>
      <c r="G85" s="93"/>
      <c r="H85" s="76"/>
      <c r="I85" s="76"/>
      <c r="J85" s="76"/>
      <c r="K85" s="153"/>
    </row>
    <row r="86" spans="3:12" x14ac:dyDescent="0.25">
      <c r="D86" s="31"/>
      <c r="E86" s="93"/>
      <c r="F86" s="93"/>
      <c r="G86" s="93"/>
      <c r="H86" s="76"/>
      <c r="I86" s="76"/>
      <c r="J86" s="76"/>
      <c r="K86" s="153"/>
    </row>
    <row r="87" spans="3:12" x14ac:dyDescent="0.25">
      <c r="D87" s="31"/>
      <c r="E87" s="93"/>
      <c r="F87" s="93"/>
      <c r="G87" s="93"/>
      <c r="H87" s="76"/>
      <c r="I87" s="76"/>
      <c r="J87" s="76"/>
      <c r="K87" s="153"/>
    </row>
    <row r="88" spans="3:12" ht="15.75" x14ac:dyDescent="0.25">
      <c r="C88" s="202" t="s">
        <v>392</v>
      </c>
      <c r="D88" s="370" t="s">
        <v>1608</v>
      </c>
      <c r="E88" s="93"/>
      <c r="F88" s="93"/>
      <c r="G88" s="93"/>
      <c r="H88" s="76"/>
      <c r="I88" s="76"/>
      <c r="J88" s="76"/>
      <c r="K88" s="153"/>
    </row>
    <row r="89" spans="3:12" ht="18.75" x14ac:dyDescent="0.25">
      <c r="C89" s="211" t="str">
        <f>IFERROR(VLOOKUP(D88,'1. Desarrollo e Innov. Curricu.'!$E:$F,2,FALSE),IFERROR(VLOOKUP(D88,'2. Investigación Científica'!$E:$F,2,FALSE),IFERROR(VLOOKUP(D88,'3. Vinculación Univ. Sociedad'!$E:$F,2,FALSE),IFERROR(VLOOKUP(D88,'4. Docencia y Profesorado Univ.'!$E:$F,2,FALSE),IFERROR(VLOOKUP(D88,'5. Estudiantes y Graduados'!$E:$F,2,FALSE),IFERROR(VLOOKUP(D88,'11. Gestion Administrativa'!$E:$F,2,FALSE),IFERROR(VLOOKUP(D88,'13. Gestión Académica'!$E:$F,2,FALSE),IFERROR(VLOOKUP(D88,'8. Asegura. de la Calid. y M'!$E:$F,2,FALSE),IFERROR(VLOOKUP(D88,'6. Gestión del Conocimiento'!$E:$F,2,FALSE),IFERROR(VLOOKUP(D88,'15. Gobernabilidad y Proceso...'!$E:$F,2,FALSE),IFERROR(VLOOKUP(D88,'12. Gestión del Talento Humano'!$E:$F,2,FALSE),IFERROR(VLOOKUP(D88,'14. Internacional... de la E.S.'!$E:$F,2,FALSE),IFERROR(VLOOKUP(D88,'10. Posgrado'!$E:$F,2,FALSE),IFERROR(VLOOKUP(D88,'17. Gestión TIC'!$E:$F,2,FALSE),IFERROR(VLOOKUP(D88,'16. Desa. del Sistema Educ.Sup.'!$E:$F,2,FALSE),IFERROR(VLOOKUP(D88,'9. Cultura de Inno. Insti...'!$E:$F,2,FALSE),VLOOKUP(D88,'7. Lo Esencial de la Reforma U.'!$E:$F,2,0)))))))))))))))))</f>
        <v>Contratación de servicios profesionales</v>
      </c>
      <c r="D89" s="31"/>
      <c r="E89" s="93"/>
      <c r="F89" s="93"/>
      <c r="G89" s="93"/>
      <c r="H89" s="76"/>
      <c r="I89" s="76"/>
      <c r="J89" s="76"/>
      <c r="K89" s="153"/>
    </row>
    <row r="90" spans="3:12" ht="15.75" thickBot="1" x14ac:dyDescent="0.3">
      <c r="C90" s="177"/>
      <c r="D90" s="31"/>
      <c r="E90" s="93"/>
      <c r="F90" s="93"/>
      <c r="G90" s="93"/>
      <c r="H90" s="76"/>
      <c r="I90" s="76"/>
      <c r="J90" s="76"/>
      <c r="K90" s="153"/>
    </row>
    <row r="91" spans="3:12" ht="30.75" thickBot="1" x14ac:dyDescent="0.3">
      <c r="C91" s="134" t="s">
        <v>44</v>
      </c>
      <c r="D91" s="138" t="s">
        <v>55</v>
      </c>
      <c r="E91" s="170" t="s">
        <v>56</v>
      </c>
      <c r="F91" s="138" t="s">
        <v>57</v>
      </c>
      <c r="G91" s="135" t="s">
        <v>27</v>
      </c>
      <c r="H91" s="133" t="s">
        <v>131</v>
      </c>
      <c r="I91" s="136" t="s">
        <v>46</v>
      </c>
      <c r="J91" s="136" t="s">
        <v>132</v>
      </c>
      <c r="K91" s="136" t="s">
        <v>410</v>
      </c>
      <c r="L91" s="136" t="s">
        <v>411</v>
      </c>
    </row>
    <row r="92" spans="3:12" ht="15.75" hidden="1" thickBot="1" x14ac:dyDescent="0.3">
      <c r="C92" s="137" t="s">
        <v>482</v>
      </c>
      <c r="D92" s="199"/>
      <c r="E92" s="152">
        <v>12</v>
      </c>
      <c r="F92" s="305">
        <f>HLOOKUP($C92,$BZ$2:$CM$3,2,0)</f>
        <v>43674.39</v>
      </c>
      <c r="G92" s="113">
        <f>D92*E92*F92</f>
        <v>0</v>
      </c>
      <c r="H92" s="166"/>
      <c r="I92" s="114" t="s">
        <v>496</v>
      </c>
      <c r="J92" s="114" t="str">
        <f>VLOOKUP(I92,Presupuesto!$B$11:$C$565,2,0)</f>
        <v>SUELDOS Y SALARIOS PERMANENTES</v>
      </c>
      <c r="K92" s="219" t="s">
        <v>1364</v>
      </c>
      <c r="L92" s="98" t="s">
        <v>394</v>
      </c>
    </row>
    <row r="93" spans="3:12" hidden="1" x14ac:dyDescent="0.25">
      <c r="C93" s="171" t="s">
        <v>58</v>
      </c>
      <c r="D93" s="163"/>
      <c r="E93" s="154">
        <v>0</v>
      </c>
      <c r="F93" s="100">
        <f>IF(E92=0,"",(G92/E92)/12*E92)</f>
        <v>0</v>
      </c>
      <c r="G93" s="97">
        <f>F93</f>
        <v>0</v>
      </c>
      <c r="H93" s="164"/>
      <c r="I93" s="116" t="s">
        <v>516</v>
      </c>
      <c r="J93" s="116" t="str">
        <f>VLOOKUP(I93,Presupuesto!$B$11:$C$565,2,0)</f>
        <v>AGUINALDO Y DECIMO CUARTO MES</v>
      </c>
      <c r="K93" s="98" t="str">
        <f t="shared" ref="K93:K124" si="2">$K$92</f>
        <v>Gestión Administrativa y  financiera en apoyo al Desarrollo Académico</v>
      </c>
      <c r="L93" s="98" t="s">
        <v>412</v>
      </c>
    </row>
    <row r="94" spans="3:12" ht="15.75" hidden="1"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Gestión Administrativa y  financiera en apoyo al Desarrollo Académico</v>
      </c>
      <c r="L94" s="98" t="s">
        <v>395</v>
      </c>
    </row>
    <row r="95" spans="3:12" ht="15.75" hidden="1" thickBot="1" x14ac:dyDescent="0.3">
      <c r="C95" s="137" t="s">
        <v>483</v>
      </c>
      <c r="D95" s="199"/>
      <c r="E95" s="152">
        <v>12</v>
      </c>
      <c r="F95" s="305">
        <f>HLOOKUP($C95,$BZ$2:$CM$3,2,0)</f>
        <v>39703.99</v>
      </c>
      <c r="G95" s="113">
        <f>D95*E95*F95</f>
        <v>0</v>
      </c>
      <c r="H95" s="166"/>
      <c r="I95" s="114" t="s">
        <v>496</v>
      </c>
      <c r="J95" s="114" t="str">
        <f>VLOOKUP(I95,Presupuesto!$B$11:$C$565,2,0)</f>
        <v>SUELDOS Y SALARIOS PERMANENTES</v>
      </c>
      <c r="K95" s="98" t="str">
        <f t="shared" si="2"/>
        <v>Gestión Administrativa y  financiera en apoyo al Desarrollo Académico</v>
      </c>
      <c r="L95" s="98" t="s">
        <v>395</v>
      </c>
    </row>
    <row r="96" spans="3:12" hidden="1"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Gestión Administrativa y  financiera en apoyo al Desarrollo Académico</v>
      </c>
      <c r="L96" s="98" t="s">
        <v>395</v>
      </c>
    </row>
    <row r="97" spans="3:12" ht="15.75" hidden="1"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Gestión Administrativa y  financiera en apoyo al Desarrollo Académico</v>
      </c>
      <c r="L97" s="98" t="s">
        <v>395</v>
      </c>
    </row>
    <row r="98" spans="3:12" ht="15.75" hidden="1" thickBot="1" x14ac:dyDescent="0.3">
      <c r="C98" s="137" t="s">
        <v>484</v>
      </c>
      <c r="D98" s="199"/>
      <c r="E98" s="152">
        <v>12</v>
      </c>
      <c r="F98" s="305">
        <f>HLOOKUP($C98,$BZ$2:$CM$3,2,0)</f>
        <v>35733.589999999997</v>
      </c>
      <c r="G98" s="113">
        <f>D98*E98*F98</f>
        <v>0</v>
      </c>
      <c r="H98" s="166"/>
      <c r="I98" s="114" t="s">
        <v>496</v>
      </c>
      <c r="J98" s="114" t="str">
        <f>VLOOKUP(I98,Presupuesto!$B$11:$C$565,2,0)</f>
        <v>SUELDOS Y SALARIOS PERMANENTES</v>
      </c>
      <c r="K98" s="98" t="str">
        <f t="shared" si="2"/>
        <v>Gestión Administrativa y  financiera en apoyo al Desarrollo Académico</v>
      </c>
      <c r="L98" s="98" t="s">
        <v>395</v>
      </c>
    </row>
    <row r="99" spans="3:12" hidden="1"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Gestión Administrativa y  financiera en apoyo al Desarrollo Académico</v>
      </c>
      <c r="L99" s="98" t="s">
        <v>395</v>
      </c>
    </row>
    <row r="100" spans="3:12" ht="15.75" hidden="1"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Gestión Administrativa y  financiera en apoyo al Desarrollo Académico</v>
      </c>
      <c r="L100" s="98" t="s">
        <v>395</v>
      </c>
    </row>
    <row r="101" spans="3:12" ht="15.75" hidden="1" thickBot="1" x14ac:dyDescent="0.3">
      <c r="C101" s="137" t="s">
        <v>485</v>
      </c>
      <c r="D101" s="199"/>
      <c r="E101" s="152">
        <v>12</v>
      </c>
      <c r="F101" s="305">
        <f>HLOOKUP($C101,$BZ$2:$CM$3,2,0)</f>
        <v>31763.19</v>
      </c>
      <c r="G101" s="113">
        <f>D101*E101*F101</f>
        <v>0</v>
      </c>
      <c r="H101" s="166"/>
      <c r="I101" s="114" t="s">
        <v>496</v>
      </c>
      <c r="J101" s="114" t="str">
        <f>VLOOKUP(I101,Presupuesto!$B$11:$C$565,2,0)</f>
        <v>SUELDOS Y SALARIOS PERMANENTES</v>
      </c>
      <c r="K101" s="98" t="str">
        <f t="shared" si="2"/>
        <v>Gestión Administrativa y  financiera en apoyo al Desarrollo Académico</v>
      </c>
      <c r="L101" s="98" t="s">
        <v>395</v>
      </c>
    </row>
    <row r="102" spans="3:12" hidden="1"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Gestión Administrativa y  financiera en apoyo al Desarrollo Académico</v>
      </c>
      <c r="L102" s="98" t="s">
        <v>395</v>
      </c>
    </row>
    <row r="103" spans="3:12" ht="15.75" hidden="1"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Gestión Administrativa y  financiera en apoyo al Desarrollo Académico</v>
      </c>
      <c r="L103" s="98" t="s">
        <v>395</v>
      </c>
    </row>
    <row r="104" spans="3:12" ht="15.75" hidden="1" thickBot="1" x14ac:dyDescent="0.3">
      <c r="C104" s="137" t="s">
        <v>486</v>
      </c>
      <c r="D104" s="199"/>
      <c r="E104" s="152">
        <v>12</v>
      </c>
      <c r="F104" s="305">
        <f>HLOOKUP($C104,$BZ$2:$CM$3,2,0)</f>
        <v>29777.99</v>
      </c>
      <c r="G104" s="113">
        <f>D104*E104*F104</f>
        <v>0</v>
      </c>
      <c r="H104" s="166"/>
      <c r="I104" s="114" t="s">
        <v>496</v>
      </c>
      <c r="J104" s="114" t="str">
        <f>VLOOKUP(I104,Presupuesto!$B$11:$C$565,2,0)</f>
        <v>SUELDOS Y SALARIOS PERMANENTES</v>
      </c>
      <c r="K104" s="98" t="str">
        <f t="shared" si="2"/>
        <v>Gestión Administrativa y  financiera en apoyo al Desarrollo Académico</v>
      </c>
      <c r="L104" s="98" t="s">
        <v>395</v>
      </c>
    </row>
    <row r="105" spans="3:12" hidden="1"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Gestión Administrativa y  financiera en apoyo al Desarrollo Académico</v>
      </c>
      <c r="L105" s="98" t="s">
        <v>395</v>
      </c>
    </row>
    <row r="106" spans="3:12" ht="15.75" hidden="1"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Gestión Administrativa y  financiera en apoyo al Desarrollo Académico</v>
      </c>
      <c r="L106" s="98" t="s">
        <v>395</v>
      </c>
    </row>
    <row r="107" spans="3:12" ht="15.75" hidden="1" thickBot="1" x14ac:dyDescent="0.3">
      <c r="C107" s="137" t="s">
        <v>487</v>
      </c>
      <c r="D107" s="199"/>
      <c r="E107" s="152">
        <v>12</v>
      </c>
      <c r="F107" s="305">
        <f>HLOOKUP($C107,$BZ$2:$CM$3,2,0)</f>
        <v>27792.79</v>
      </c>
      <c r="G107" s="113">
        <f>D107*E107*F107</f>
        <v>0</v>
      </c>
      <c r="H107" s="166"/>
      <c r="I107" s="114" t="s">
        <v>496</v>
      </c>
      <c r="J107" s="114" t="str">
        <f>VLOOKUP(I107,Presupuesto!$B$11:$C$565,2,0)</f>
        <v>SUELDOS Y SALARIOS PERMANENTES</v>
      </c>
      <c r="K107" s="98" t="str">
        <f t="shared" si="2"/>
        <v>Gestión Administrativa y  financiera en apoyo al Desarrollo Académico</v>
      </c>
      <c r="L107" s="98" t="s">
        <v>395</v>
      </c>
    </row>
    <row r="108" spans="3:12" hidden="1"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Gestión Administrativa y  financiera en apoyo al Desarrollo Académico</v>
      </c>
      <c r="L108" s="98" t="s">
        <v>395</v>
      </c>
    </row>
    <row r="109" spans="3:12" ht="15.75" hidden="1"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Gestión Administrativa y  financiera en apoyo al Desarrollo Académico</v>
      </c>
      <c r="L109" s="98" t="s">
        <v>395</v>
      </c>
    </row>
    <row r="110" spans="3:12" ht="15.75" hidden="1" thickBot="1" x14ac:dyDescent="0.3">
      <c r="C110" s="137" t="s">
        <v>488</v>
      </c>
      <c r="D110" s="199"/>
      <c r="E110" s="152">
        <v>12</v>
      </c>
      <c r="F110" s="305">
        <f>HLOOKUP($C110,$BZ$2:$CM$3,2,0)</f>
        <v>18859.39</v>
      </c>
      <c r="G110" s="113">
        <f>D110*E110*F110</f>
        <v>0</v>
      </c>
      <c r="H110" s="166"/>
      <c r="I110" s="114" t="s">
        <v>496</v>
      </c>
      <c r="J110" s="114" t="str">
        <f>VLOOKUP(I110,Presupuesto!$B$11:$C$565,2,0)</f>
        <v>SUELDOS Y SALARIOS PERMANENTES</v>
      </c>
      <c r="K110" s="98" t="str">
        <f t="shared" si="2"/>
        <v>Gestión Administrativa y  financiera en apoyo al Desarrollo Académico</v>
      </c>
      <c r="L110" s="98" t="s">
        <v>395</v>
      </c>
    </row>
    <row r="111" spans="3:12" hidden="1"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2"/>
        <v>Gestión Administrativa y  financiera en apoyo al Desarrollo Académico</v>
      </c>
      <c r="L111" s="98" t="s">
        <v>395</v>
      </c>
    </row>
    <row r="112" spans="3:12" ht="15.75" hidden="1"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2"/>
        <v>Gestión Administrativa y  financiera en apoyo al Desarrollo Académico</v>
      </c>
      <c r="L112" s="98" t="s">
        <v>395</v>
      </c>
    </row>
    <row r="113" spans="3:12" ht="15.75" hidden="1" thickBot="1" x14ac:dyDescent="0.3">
      <c r="C113" s="137" t="s">
        <v>489</v>
      </c>
      <c r="D113" s="199"/>
      <c r="E113" s="152">
        <v>12</v>
      </c>
      <c r="F113" s="305">
        <f>HLOOKUP($C113,$BZ$2:$CM$3,2,0)</f>
        <v>17866.8</v>
      </c>
      <c r="G113" s="113">
        <f>D113*E113*F113</f>
        <v>0</v>
      </c>
      <c r="H113" s="166"/>
      <c r="I113" s="114" t="s">
        <v>496</v>
      </c>
      <c r="J113" s="114" t="str">
        <f>VLOOKUP(I113,Presupuesto!$B$11:$C$565,2,0)</f>
        <v>SUELDOS Y SALARIOS PERMANENTES</v>
      </c>
      <c r="K113" s="98" t="str">
        <f t="shared" si="2"/>
        <v>Gestión Administrativa y  financiera en apoyo al Desarrollo Académico</v>
      </c>
      <c r="L113" s="98" t="s">
        <v>395</v>
      </c>
    </row>
    <row r="114" spans="3:12" hidden="1"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2"/>
        <v>Gestión Administrativa y  financiera en apoyo al Desarrollo Académico</v>
      </c>
      <c r="L114" s="98" t="s">
        <v>395</v>
      </c>
    </row>
    <row r="115" spans="3:12" ht="15.75" hidden="1"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2"/>
        <v>Gestión Administrativa y  financiera en apoyo al Desarrollo Académico</v>
      </c>
      <c r="L115" s="98" t="s">
        <v>395</v>
      </c>
    </row>
    <row r="116" spans="3:12" ht="15.75" hidden="1" thickBot="1" x14ac:dyDescent="0.3">
      <c r="C116" s="137" t="s">
        <v>490</v>
      </c>
      <c r="D116" s="199"/>
      <c r="E116" s="152">
        <v>12</v>
      </c>
      <c r="F116" s="305">
        <f>HLOOKUP($C116,$BZ$2:$CM$3,2,0)</f>
        <v>13896.4</v>
      </c>
      <c r="G116" s="113">
        <f>D116*E116*F116</f>
        <v>0</v>
      </c>
      <c r="H116" s="166"/>
      <c r="I116" s="114" t="s">
        <v>496</v>
      </c>
      <c r="J116" s="114" t="str">
        <f>VLOOKUP(I116,Presupuesto!$B$11:$C$565,2,0)</f>
        <v>SUELDOS Y SALARIOS PERMANENTES</v>
      </c>
      <c r="K116" s="98" t="str">
        <f t="shared" si="2"/>
        <v>Gestión Administrativa y  financiera en apoyo al Desarrollo Académico</v>
      </c>
      <c r="L116" s="98" t="s">
        <v>395</v>
      </c>
    </row>
    <row r="117" spans="3:12" hidden="1"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2"/>
        <v>Gestión Administrativa y  financiera en apoyo al Desarrollo Académico</v>
      </c>
      <c r="L117" s="98" t="s">
        <v>395</v>
      </c>
    </row>
    <row r="118" spans="3:12" ht="15.75" hidden="1"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2"/>
        <v>Gestión Administrativa y  financiera en apoyo al Desarrollo Académico</v>
      </c>
      <c r="L118" s="98" t="s">
        <v>395</v>
      </c>
    </row>
    <row r="119" spans="3:12" ht="15.75" hidden="1" thickBot="1" x14ac:dyDescent="0.3">
      <c r="C119" s="137" t="s">
        <v>491</v>
      </c>
      <c r="D119" s="199"/>
      <c r="E119" s="152">
        <v>12</v>
      </c>
      <c r="F119" s="305">
        <f>HLOOKUP($C119,$BZ$2:$CM$3,2,0)</f>
        <v>15004.09</v>
      </c>
      <c r="G119" s="113">
        <f>D119*E119*F119</f>
        <v>0</v>
      </c>
      <c r="H119" s="166"/>
      <c r="I119" s="114" t="s">
        <v>496</v>
      </c>
      <c r="J119" s="114" t="str">
        <f>VLOOKUP(I119,Presupuesto!$B$11:$C$565,2,0)</f>
        <v>SUELDOS Y SALARIOS PERMANENTES</v>
      </c>
      <c r="K119" s="98" t="str">
        <f t="shared" si="2"/>
        <v>Gestión Administrativa y  financiera en apoyo al Desarrollo Académico</v>
      </c>
      <c r="L119" s="98" t="s">
        <v>395</v>
      </c>
    </row>
    <row r="120" spans="3:12" hidden="1" x14ac:dyDescent="0.25">
      <c r="C120" s="171" t="s">
        <v>58</v>
      </c>
      <c r="D120" s="163"/>
      <c r="E120" s="154">
        <v>0</v>
      </c>
      <c r="F120" s="100">
        <f>IF(E119=0,"",(G119/E119)/12*E119)</f>
        <v>0</v>
      </c>
      <c r="G120" s="97">
        <f>F120</f>
        <v>0</v>
      </c>
      <c r="H120" s="164"/>
      <c r="I120" s="116" t="s">
        <v>516</v>
      </c>
      <c r="J120" s="116" t="str">
        <f>VLOOKUP(I120,Presupuesto!$B$11:$C$565,2,0)</f>
        <v>AGUINALDO Y DECIMO CUARTO MES</v>
      </c>
      <c r="K120" s="98" t="str">
        <f t="shared" si="2"/>
        <v>Gestión Administrativa y  financiera en apoyo al Desarrollo Académico</v>
      </c>
      <c r="L120" s="98" t="s">
        <v>395</v>
      </c>
    </row>
    <row r="121" spans="3:12" ht="15.75" hidden="1" thickBot="1" x14ac:dyDescent="0.3">
      <c r="C121" s="172" t="s">
        <v>59</v>
      </c>
      <c r="D121" s="163"/>
      <c r="E121" s="154">
        <v>0</v>
      </c>
      <c r="F121" s="117">
        <f>IF(E119&lt;6,"",((E119-6)/12)*(G119/E119))</f>
        <v>0</v>
      </c>
      <c r="G121" s="97">
        <f>F121</f>
        <v>0</v>
      </c>
      <c r="H121" s="164"/>
      <c r="I121" s="101" t="s">
        <v>519</v>
      </c>
      <c r="J121" s="101" t="str">
        <f>VLOOKUP(I121,Presupuesto!$B$11:$C$565,2,0)</f>
        <v>DECIMOCUARTO MES</v>
      </c>
      <c r="K121" s="98" t="str">
        <f t="shared" si="2"/>
        <v>Gestión Administrativa y  financiera en apoyo al Desarrollo Académico</v>
      </c>
      <c r="L121" s="98" t="s">
        <v>395</v>
      </c>
    </row>
    <row r="122" spans="3:12" ht="15.75" hidden="1" thickBot="1" x14ac:dyDescent="0.3">
      <c r="C122" s="137" t="s">
        <v>492</v>
      </c>
      <c r="D122" s="199"/>
      <c r="E122" s="152">
        <v>12</v>
      </c>
      <c r="F122" s="305">
        <f>HLOOKUP($C122,$BZ$2:$CM$3,2,0)</f>
        <v>13238.9</v>
      </c>
      <c r="G122" s="113">
        <f>D122*E122*F122</f>
        <v>0</v>
      </c>
      <c r="H122" s="166"/>
      <c r="I122" s="114" t="s">
        <v>496</v>
      </c>
      <c r="J122" s="114" t="str">
        <f>VLOOKUP(I122,Presupuesto!$B$11:$C$565,2,0)</f>
        <v>SUELDOS Y SALARIOS PERMANENTES</v>
      </c>
      <c r="K122" s="98" t="str">
        <f t="shared" si="2"/>
        <v>Gestión Administrativa y  financiera en apoyo al Desarrollo Académico</v>
      </c>
      <c r="L122" s="98" t="s">
        <v>395</v>
      </c>
    </row>
    <row r="123" spans="3:12" hidden="1" x14ac:dyDescent="0.25">
      <c r="C123" s="171" t="s">
        <v>58</v>
      </c>
      <c r="D123" s="163"/>
      <c r="E123" s="154">
        <v>0</v>
      </c>
      <c r="F123" s="100">
        <f>IF(E122=0,"",(G122/E122)/12*E122)</f>
        <v>0</v>
      </c>
      <c r="G123" s="97">
        <f>F123</f>
        <v>0</v>
      </c>
      <c r="H123" s="164"/>
      <c r="I123" s="116" t="s">
        <v>516</v>
      </c>
      <c r="J123" s="116" t="str">
        <f>VLOOKUP(I123,Presupuesto!$B$11:$C$565,2,0)</f>
        <v>AGUINALDO Y DECIMO CUARTO MES</v>
      </c>
      <c r="K123" s="98" t="str">
        <f t="shared" si="2"/>
        <v>Gestión Administrativa y  financiera en apoyo al Desarrollo Académico</v>
      </c>
      <c r="L123" s="98" t="s">
        <v>395</v>
      </c>
    </row>
    <row r="124" spans="3:12" ht="15.75" hidden="1" thickBot="1" x14ac:dyDescent="0.3">
      <c r="C124" s="172" t="s">
        <v>59</v>
      </c>
      <c r="D124" s="163"/>
      <c r="E124" s="154">
        <v>0</v>
      </c>
      <c r="F124" s="117">
        <f>IF(E122&lt;6,"",((E122-6)/12)*(G122/E122))</f>
        <v>0</v>
      </c>
      <c r="G124" s="97">
        <f>F124</f>
        <v>0</v>
      </c>
      <c r="H124" s="164"/>
      <c r="I124" s="101" t="s">
        <v>519</v>
      </c>
      <c r="J124" s="101" t="str">
        <f>VLOOKUP(I124,Presupuesto!$B$11:$C$565,2,0)</f>
        <v>DECIMOCUARTO MES</v>
      </c>
      <c r="K124" s="98" t="str">
        <f t="shared" si="2"/>
        <v>Gestión Administrativa y  financiera en apoyo al Desarrollo Académico</v>
      </c>
      <c r="L124" s="98" t="s">
        <v>395</v>
      </c>
    </row>
    <row r="125" spans="3:12" ht="15.75" hidden="1" thickBot="1" x14ac:dyDescent="0.3">
      <c r="C125" s="137" t="s">
        <v>493</v>
      </c>
      <c r="D125" s="199"/>
      <c r="E125" s="152">
        <v>12</v>
      </c>
      <c r="F125" s="305">
        <f>HLOOKUP($C125,$BZ$2:$CM$3,2,0)</f>
        <v>12356.31</v>
      </c>
      <c r="G125" s="113">
        <f>D125*E125*F125</f>
        <v>0</v>
      </c>
      <c r="H125" s="166"/>
      <c r="I125" s="114" t="s">
        <v>496</v>
      </c>
      <c r="J125" s="114" t="str">
        <f>VLOOKUP(I125,Presupuesto!$B$11:$C$565,2,0)</f>
        <v>SUELDOS Y SALARIOS PERMANENTES</v>
      </c>
      <c r="K125" s="98" t="str">
        <f t="shared" ref="K125:K160" si="3">$K$92</f>
        <v>Gestión Administrativa y  financiera en apoyo al Desarrollo Académico</v>
      </c>
      <c r="L125" s="98" t="s">
        <v>395</v>
      </c>
    </row>
    <row r="126" spans="3:12" hidden="1" x14ac:dyDescent="0.25">
      <c r="C126" s="171" t="s">
        <v>58</v>
      </c>
      <c r="D126" s="163"/>
      <c r="E126" s="154">
        <v>0</v>
      </c>
      <c r="F126" s="100">
        <f>IF(E125=0,"",(G125/E125)/12*E125)</f>
        <v>0</v>
      </c>
      <c r="G126" s="97">
        <f>F126</f>
        <v>0</v>
      </c>
      <c r="H126" s="164"/>
      <c r="I126" s="116" t="s">
        <v>516</v>
      </c>
      <c r="J126" s="116" t="str">
        <f>VLOOKUP(I126,Presupuesto!$B$11:$C$565,2,0)</f>
        <v>AGUINALDO Y DECIMO CUARTO MES</v>
      </c>
      <c r="K126" s="98" t="str">
        <f t="shared" si="3"/>
        <v>Gestión Administrativa y  financiera en apoyo al Desarrollo Académico</v>
      </c>
      <c r="L126" s="98" t="s">
        <v>395</v>
      </c>
    </row>
    <row r="127" spans="3:12" ht="15.75" hidden="1" thickBot="1" x14ac:dyDescent="0.3">
      <c r="C127" s="172" t="s">
        <v>59</v>
      </c>
      <c r="D127" s="163"/>
      <c r="E127" s="154">
        <v>0</v>
      </c>
      <c r="F127" s="117">
        <f>IF(E125&lt;6,"",((E125-6)/12)*(G125/E125))</f>
        <v>0</v>
      </c>
      <c r="G127" s="97">
        <f>F127</f>
        <v>0</v>
      </c>
      <c r="H127" s="164"/>
      <c r="I127" s="101" t="s">
        <v>519</v>
      </c>
      <c r="J127" s="101" t="str">
        <f>VLOOKUP(I127,Presupuesto!$B$11:$C$565,2,0)</f>
        <v>DECIMOCUARTO MES</v>
      </c>
      <c r="K127" s="98" t="str">
        <f t="shared" si="3"/>
        <v>Gestión Administrativa y  financiera en apoyo al Desarrollo Académico</v>
      </c>
      <c r="L127" s="98" t="s">
        <v>395</v>
      </c>
    </row>
    <row r="128" spans="3:12" ht="15.75" hidden="1" thickBot="1" x14ac:dyDescent="0.3">
      <c r="C128" s="137" t="s">
        <v>494</v>
      </c>
      <c r="D128" s="199"/>
      <c r="E128" s="152">
        <v>12</v>
      </c>
      <c r="F128" s="305">
        <f>HLOOKUP($C128,$BZ$2:$CM$3,2,0)</f>
        <v>463.22</v>
      </c>
      <c r="G128" s="113">
        <f>D128*E128*F128</f>
        <v>0</v>
      </c>
      <c r="H128" s="166"/>
      <c r="I128" s="114" t="s">
        <v>496</v>
      </c>
      <c r="J128" s="114" t="str">
        <f>VLOOKUP(I128,Presupuesto!$B$11:$C$565,2,0)</f>
        <v>SUELDOS Y SALARIOS PERMANENTES</v>
      </c>
      <c r="K128" s="98" t="str">
        <f t="shared" si="3"/>
        <v>Gestión Administrativa y  financiera en apoyo al Desarrollo Académico</v>
      </c>
      <c r="L128" s="98" t="s">
        <v>395</v>
      </c>
    </row>
    <row r="129" spans="3:12" hidden="1" x14ac:dyDescent="0.25">
      <c r="C129" s="171" t="s">
        <v>58</v>
      </c>
      <c r="D129" s="163"/>
      <c r="E129" s="154">
        <v>0</v>
      </c>
      <c r="F129" s="100">
        <f>IF(E128=0,"",(G128/E128)/12*E128)</f>
        <v>0</v>
      </c>
      <c r="G129" s="97">
        <f>F129</f>
        <v>0</v>
      </c>
      <c r="H129" s="164"/>
      <c r="I129" s="116" t="s">
        <v>516</v>
      </c>
      <c r="J129" s="116" t="str">
        <f>VLOOKUP(I129,Presupuesto!$B$11:$C$565,2,0)</f>
        <v>AGUINALDO Y DECIMO CUARTO MES</v>
      </c>
      <c r="K129" s="98" t="str">
        <f t="shared" si="3"/>
        <v>Gestión Administrativa y  financiera en apoyo al Desarrollo Académico</v>
      </c>
      <c r="L129" s="98" t="s">
        <v>395</v>
      </c>
    </row>
    <row r="130" spans="3:12" ht="15.75" hidden="1" thickBot="1" x14ac:dyDescent="0.3">
      <c r="C130" s="172" t="s">
        <v>59</v>
      </c>
      <c r="D130" s="163"/>
      <c r="E130" s="154">
        <v>0</v>
      </c>
      <c r="F130" s="117">
        <f>IF(E128&lt;6,"",((E128-6)/12)*(G128/E128))</f>
        <v>0</v>
      </c>
      <c r="G130" s="97">
        <f>F130</f>
        <v>0</v>
      </c>
      <c r="H130" s="164"/>
      <c r="I130" s="101" t="s">
        <v>519</v>
      </c>
      <c r="J130" s="101" t="str">
        <f>VLOOKUP(I130,Presupuesto!$B$11:$C$565,2,0)</f>
        <v>DECIMOCUARTO MES</v>
      </c>
      <c r="K130" s="98" t="str">
        <f t="shared" si="3"/>
        <v>Gestión Administrativa y  financiera en apoyo al Desarrollo Académico</v>
      </c>
      <c r="L130" s="98" t="s">
        <v>395</v>
      </c>
    </row>
    <row r="131" spans="3:12" ht="15.75" hidden="1" thickBot="1" x14ac:dyDescent="0.3">
      <c r="C131" s="137" t="s">
        <v>495</v>
      </c>
      <c r="D131" s="199"/>
      <c r="E131" s="152">
        <v>12</v>
      </c>
      <c r="F131" s="305">
        <f>HLOOKUP($C131,$BZ$2:$CM$3,2,0)</f>
        <v>2007.3</v>
      </c>
      <c r="G131" s="113">
        <f>D131*E131*F131</f>
        <v>0</v>
      </c>
      <c r="H131" s="166"/>
      <c r="I131" s="114" t="s">
        <v>496</v>
      </c>
      <c r="J131" s="114" t="str">
        <f>VLOOKUP(I131,Presupuesto!$B$11:$C$565,2,0)</f>
        <v>SUELDOS Y SALARIOS PERMANENTES</v>
      </c>
      <c r="K131" s="98" t="str">
        <f t="shared" si="3"/>
        <v>Gestión Administrativa y  financiera en apoyo al Desarrollo Académico</v>
      </c>
      <c r="L131" s="98" t="s">
        <v>395</v>
      </c>
    </row>
    <row r="132" spans="3:12" hidden="1" x14ac:dyDescent="0.25">
      <c r="C132" s="171" t="s">
        <v>58</v>
      </c>
      <c r="D132" s="163"/>
      <c r="E132" s="154">
        <v>0</v>
      </c>
      <c r="F132" s="100">
        <f>IF(E131=0,"",(G131/E131)/12*E131)</f>
        <v>0</v>
      </c>
      <c r="G132" s="97">
        <f>F132</f>
        <v>0</v>
      </c>
      <c r="H132" s="164"/>
      <c r="I132" s="116" t="s">
        <v>516</v>
      </c>
      <c r="J132" s="116" t="str">
        <f>VLOOKUP(I132,Presupuesto!$B$11:$C$565,2,0)</f>
        <v>AGUINALDO Y DECIMO CUARTO MES</v>
      </c>
      <c r="K132" s="98" t="str">
        <f t="shared" si="3"/>
        <v>Gestión Administrativa y  financiera en apoyo al Desarrollo Académico</v>
      </c>
      <c r="L132" s="98" t="s">
        <v>395</v>
      </c>
    </row>
    <row r="133" spans="3:12" ht="15.75" hidden="1" thickBot="1" x14ac:dyDescent="0.3">
      <c r="C133" s="172" t="s">
        <v>59</v>
      </c>
      <c r="D133" s="163"/>
      <c r="E133" s="154">
        <v>0</v>
      </c>
      <c r="F133" s="117">
        <f>IF(E131&lt;6,"",((E131-6)/12)*(G131/E131))</f>
        <v>0</v>
      </c>
      <c r="G133" s="97">
        <f>F133</f>
        <v>0</v>
      </c>
      <c r="H133" s="164"/>
      <c r="I133" s="101" t="s">
        <v>519</v>
      </c>
      <c r="J133" s="101" t="str">
        <f>VLOOKUP(I133,Presupuesto!$B$11:$C$565,2,0)</f>
        <v>DECIMOCUARTO MES</v>
      </c>
      <c r="K133" s="98" t="str">
        <f t="shared" si="3"/>
        <v>Gestión Administrativa y  financiera en apoyo al Desarrollo Académico</v>
      </c>
      <c r="L133" s="98" t="s">
        <v>395</v>
      </c>
    </row>
    <row r="134" spans="3:12" s="466" customFormat="1" ht="15.75" thickBot="1" x14ac:dyDescent="0.3">
      <c r="C134" s="140" t="s">
        <v>83</v>
      </c>
      <c r="D134" s="199">
        <v>1</v>
      </c>
      <c r="E134" s="152">
        <v>12</v>
      </c>
      <c r="F134" s="139">
        <v>12000</v>
      </c>
      <c r="G134" s="113">
        <f>D134*E134*F134</f>
        <v>144000</v>
      </c>
      <c r="H134" s="166" t="s">
        <v>1509</v>
      </c>
      <c r="I134" s="114" t="s">
        <v>564</v>
      </c>
      <c r="J134" s="114" t="str">
        <f>VLOOKUP(I134,[1]Presupuesto!$B$11:$C$565,2,0)</f>
        <v>CONTRATOS ESPECIALES</v>
      </c>
      <c r="K134" s="98" t="str">
        <f t="shared" si="3"/>
        <v>Gestión Administrativa y  financiera en apoyo al Desarrollo Académico</v>
      </c>
      <c r="L134" s="98" t="s">
        <v>394</v>
      </c>
    </row>
    <row r="135" spans="3:12" s="466" customFormat="1" x14ac:dyDescent="0.25">
      <c r="C135" s="171" t="s">
        <v>58</v>
      </c>
      <c r="D135" s="163"/>
      <c r="E135" s="154">
        <v>0</v>
      </c>
      <c r="F135" s="117">
        <f>IF(E134=0,"",(G134/E134)/12*E134)</f>
        <v>12000</v>
      </c>
      <c r="G135" s="97">
        <f>F135</f>
        <v>12000</v>
      </c>
      <c r="H135" s="164" t="s">
        <v>1509</v>
      </c>
      <c r="I135" s="101" t="s">
        <v>564</v>
      </c>
      <c r="J135" s="101" t="str">
        <f>VLOOKUP(I135,[1]Presupuesto!$B$11:$C$565,2,0)</f>
        <v>CONTRATOS ESPECIALES</v>
      </c>
      <c r="K135" s="98" t="str">
        <f t="shared" si="3"/>
        <v>Gestión Administrativa y  financiera en apoyo al Desarrollo Académico</v>
      </c>
      <c r="L135" s="98" t="s">
        <v>404</v>
      </c>
    </row>
    <row r="136" spans="3:12" s="466" customFormat="1" ht="15.75" thickBot="1" x14ac:dyDescent="0.3">
      <c r="C136" s="172" t="s">
        <v>59</v>
      </c>
      <c r="D136" s="163"/>
      <c r="E136" s="154">
        <v>0</v>
      </c>
      <c r="F136" s="100">
        <v>12000</v>
      </c>
      <c r="G136" s="97">
        <f>F136</f>
        <v>12000</v>
      </c>
      <c r="H136" s="164" t="s">
        <v>1509</v>
      </c>
      <c r="I136" s="101" t="s">
        <v>564</v>
      </c>
      <c r="J136" s="101" t="str">
        <f>VLOOKUP(I136,[1]Presupuesto!$B$11:$C$565,2,0)</f>
        <v>CONTRATOS ESPECIALES</v>
      </c>
      <c r="K136" s="98" t="str">
        <f t="shared" si="3"/>
        <v>Gestión Administrativa y  financiera en apoyo al Desarrollo Académico</v>
      </c>
      <c r="L136" s="98" t="s">
        <v>398</v>
      </c>
    </row>
    <row r="137" spans="3:12" s="466" customFormat="1" ht="15.75" thickBot="1" x14ac:dyDescent="0.3">
      <c r="C137" s="140" t="s">
        <v>83</v>
      </c>
      <c r="D137" s="199">
        <v>3</v>
      </c>
      <c r="E137" s="152">
        <v>12</v>
      </c>
      <c r="F137" s="139">
        <v>18000</v>
      </c>
      <c r="G137" s="113">
        <f>D137*E137*F137</f>
        <v>648000</v>
      </c>
      <c r="H137" s="166" t="s">
        <v>1509</v>
      </c>
      <c r="I137" s="114" t="s">
        <v>564</v>
      </c>
      <c r="J137" s="114" t="str">
        <f>VLOOKUP(I137,[1]Presupuesto!$B$11:$C$565,2,0)</f>
        <v>CONTRATOS ESPECIALES</v>
      </c>
      <c r="K137" s="98" t="str">
        <f t="shared" si="3"/>
        <v>Gestión Administrativa y  financiera en apoyo al Desarrollo Académico</v>
      </c>
      <c r="L137" s="98" t="s">
        <v>394</v>
      </c>
    </row>
    <row r="138" spans="3:12" s="466" customFormat="1" x14ac:dyDescent="0.25">
      <c r="C138" s="171" t="s">
        <v>58</v>
      </c>
      <c r="D138" s="163"/>
      <c r="E138" s="154">
        <v>0</v>
      </c>
      <c r="F138" s="117">
        <f>IF(E137=0,"",(G137/E137)/12*E137)</f>
        <v>54000</v>
      </c>
      <c r="G138" s="97">
        <f>F138</f>
        <v>54000</v>
      </c>
      <c r="H138" s="164" t="s">
        <v>1509</v>
      </c>
      <c r="I138" s="101" t="s">
        <v>564</v>
      </c>
      <c r="J138" s="101" t="str">
        <f>VLOOKUP(I138,[1]Presupuesto!$B$11:$C$565,2,0)</f>
        <v>CONTRATOS ESPECIALES</v>
      </c>
      <c r="K138" s="98" t="str">
        <f t="shared" si="3"/>
        <v>Gestión Administrativa y  financiera en apoyo al Desarrollo Académico</v>
      </c>
      <c r="L138" s="98" t="s">
        <v>404</v>
      </c>
    </row>
    <row r="139" spans="3:12" s="466" customFormat="1" ht="15.75" thickBot="1" x14ac:dyDescent="0.3">
      <c r="C139" s="172" t="s">
        <v>59</v>
      </c>
      <c r="D139" s="163"/>
      <c r="E139" s="154">
        <v>0</v>
      </c>
      <c r="F139" s="100">
        <v>54000</v>
      </c>
      <c r="G139" s="97">
        <f>F139</f>
        <v>54000</v>
      </c>
      <c r="H139" s="164" t="s">
        <v>1509</v>
      </c>
      <c r="I139" s="101" t="s">
        <v>564</v>
      </c>
      <c r="J139" s="101" t="str">
        <f>VLOOKUP(I139,[1]Presupuesto!$B$11:$C$565,2,0)</f>
        <v>CONTRATOS ESPECIALES</v>
      </c>
      <c r="K139" s="98" t="str">
        <f t="shared" si="3"/>
        <v>Gestión Administrativa y  financiera en apoyo al Desarrollo Académico</v>
      </c>
      <c r="L139" s="98" t="s">
        <v>398</v>
      </c>
    </row>
    <row r="140" spans="3:12" s="466" customFormat="1" ht="15.75" thickBot="1" x14ac:dyDescent="0.3">
      <c r="C140" s="140" t="s">
        <v>83</v>
      </c>
      <c r="D140" s="199">
        <v>1</v>
      </c>
      <c r="E140" s="152">
        <v>12</v>
      </c>
      <c r="F140" s="139">
        <v>26000</v>
      </c>
      <c r="G140" s="113">
        <f>D140*E140*F140</f>
        <v>312000</v>
      </c>
      <c r="H140" s="166" t="s">
        <v>1509</v>
      </c>
      <c r="I140" s="114" t="s">
        <v>564</v>
      </c>
      <c r="J140" s="114" t="str">
        <f>VLOOKUP(I140,[1]Presupuesto!$B$11:$C$565,2,0)</f>
        <v>CONTRATOS ESPECIALES</v>
      </c>
      <c r="K140" s="98" t="str">
        <f t="shared" si="3"/>
        <v>Gestión Administrativa y  financiera en apoyo al Desarrollo Académico</v>
      </c>
      <c r="L140" s="98" t="s">
        <v>394</v>
      </c>
    </row>
    <row r="141" spans="3:12" s="466" customFormat="1" x14ac:dyDescent="0.25">
      <c r="C141" s="171" t="s">
        <v>58</v>
      </c>
      <c r="D141" s="163"/>
      <c r="E141" s="154">
        <v>0</v>
      </c>
      <c r="F141" s="117">
        <f>IF(E140=0,"",(G140/E140)/12*E140)</f>
        <v>26000</v>
      </c>
      <c r="G141" s="97">
        <f>F141</f>
        <v>26000</v>
      </c>
      <c r="H141" s="164" t="s">
        <v>1509</v>
      </c>
      <c r="I141" s="101" t="s">
        <v>564</v>
      </c>
      <c r="J141" s="101" t="str">
        <f>VLOOKUP(I141,[1]Presupuesto!$B$11:$C$565,2,0)</f>
        <v>CONTRATOS ESPECIALES</v>
      </c>
      <c r="K141" s="98" t="str">
        <f t="shared" si="3"/>
        <v>Gestión Administrativa y  financiera en apoyo al Desarrollo Académico</v>
      </c>
      <c r="L141" s="98" t="s">
        <v>404</v>
      </c>
    </row>
    <row r="142" spans="3:12" s="466" customFormat="1" ht="15.75" thickBot="1" x14ac:dyDescent="0.3">
      <c r="C142" s="172" t="s">
        <v>59</v>
      </c>
      <c r="D142" s="163"/>
      <c r="E142" s="154">
        <v>0</v>
      </c>
      <c r="F142" s="100">
        <v>26000</v>
      </c>
      <c r="G142" s="97">
        <f>F142</f>
        <v>26000</v>
      </c>
      <c r="H142" s="164" t="s">
        <v>1509</v>
      </c>
      <c r="I142" s="101" t="s">
        <v>564</v>
      </c>
      <c r="J142" s="101" t="str">
        <f>VLOOKUP(I142,[1]Presupuesto!$B$11:$C$565,2,0)</f>
        <v>CONTRATOS ESPECIALES</v>
      </c>
      <c r="K142" s="98" t="str">
        <f t="shared" si="3"/>
        <v>Gestión Administrativa y  financiera en apoyo al Desarrollo Académico</v>
      </c>
      <c r="L142" s="98" t="s">
        <v>398</v>
      </c>
    </row>
    <row r="143" spans="3:12" s="466" customFormat="1" ht="15.75" thickBot="1" x14ac:dyDescent="0.3">
      <c r="C143" s="140" t="s">
        <v>83</v>
      </c>
      <c r="D143" s="199">
        <v>1</v>
      </c>
      <c r="E143" s="152">
        <v>12</v>
      </c>
      <c r="F143" s="139">
        <v>42000</v>
      </c>
      <c r="G143" s="113">
        <f>D143*E143*F143</f>
        <v>504000</v>
      </c>
      <c r="H143" s="166" t="s">
        <v>1509</v>
      </c>
      <c r="I143" s="114" t="s">
        <v>564</v>
      </c>
      <c r="J143" s="114" t="str">
        <f>VLOOKUP(I143,[1]Presupuesto!$B$11:$C$565,2,0)</f>
        <v>CONTRATOS ESPECIALES</v>
      </c>
      <c r="K143" s="98" t="str">
        <f t="shared" si="3"/>
        <v>Gestión Administrativa y  financiera en apoyo al Desarrollo Académico</v>
      </c>
      <c r="L143" s="98" t="s">
        <v>394</v>
      </c>
    </row>
    <row r="144" spans="3:12" s="466" customFormat="1" x14ac:dyDescent="0.25">
      <c r="C144" s="171" t="s">
        <v>58</v>
      </c>
      <c r="D144" s="163"/>
      <c r="E144" s="154">
        <v>0</v>
      </c>
      <c r="F144" s="117">
        <f>IF(E143=0,"",(G143/E143)/12*E143)</f>
        <v>42000</v>
      </c>
      <c r="G144" s="97">
        <f>F144</f>
        <v>42000</v>
      </c>
      <c r="H144" s="164" t="s">
        <v>1509</v>
      </c>
      <c r="I144" s="101" t="s">
        <v>564</v>
      </c>
      <c r="J144" s="101" t="str">
        <f>VLOOKUP(I144,[1]Presupuesto!$B$11:$C$565,2,0)</f>
        <v>CONTRATOS ESPECIALES</v>
      </c>
      <c r="K144" s="98" t="str">
        <f t="shared" si="3"/>
        <v>Gestión Administrativa y  financiera en apoyo al Desarrollo Académico</v>
      </c>
      <c r="L144" s="98" t="s">
        <v>404</v>
      </c>
    </row>
    <row r="145" spans="3:12" s="466" customFormat="1" ht="15.75" thickBot="1" x14ac:dyDescent="0.3">
      <c r="C145" s="172" t="s">
        <v>59</v>
      </c>
      <c r="D145" s="163"/>
      <c r="E145" s="154">
        <v>0</v>
      </c>
      <c r="F145" s="100">
        <v>42000</v>
      </c>
      <c r="G145" s="97">
        <f>F145</f>
        <v>42000</v>
      </c>
      <c r="H145" s="164" t="s">
        <v>1509</v>
      </c>
      <c r="I145" s="101" t="s">
        <v>564</v>
      </c>
      <c r="J145" s="101" t="str">
        <f>VLOOKUP(I145,[1]Presupuesto!$B$11:$C$565,2,0)</f>
        <v>CONTRATOS ESPECIALES</v>
      </c>
      <c r="K145" s="98" t="str">
        <f t="shared" si="3"/>
        <v>Gestión Administrativa y  financiera en apoyo al Desarrollo Académico</v>
      </c>
      <c r="L145" s="98" t="s">
        <v>398</v>
      </c>
    </row>
    <row r="146" spans="3:12" s="466" customFormat="1" ht="15.75" thickBot="1" x14ac:dyDescent="0.3">
      <c r="C146" s="140" t="s">
        <v>83</v>
      </c>
      <c r="D146" s="199">
        <v>2</v>
      </c>
      <c r="E146" s="152">
        <v>12</v>
      </c>
      <c r="F146" s="139">
        <v>24000</v>
      </c>
      <c r="G146" s="113">
        <f>D146*E146*F146</f>
        <v>576000</v>
      </c>
      <c r="H146" s="166" t="s">
        <v>1509</v>
      </c>
      <c r="I146" s="114" t="s">
        <v>564</v>
      </c>
      <c r="J146" s="114" t="str">
        <f>VLOOKUP(I146,[1]Presupuesto!$B$11:$C$565,2,0)</f>
        <v>CONTRATOS ESPECIALES</v>
      </c>
      <c r="K146" s="98" t="str">
        <f t="shared" si="3"/>
        <v>Gestión Administrativa y  financiera en apoyo al Desarrollo Académico</v>
      </c>
      <c r="L146" s="98" t="s">
        <v>394</v>
      </c>
    </row>
    <row r="147" spans="3:12" s="466" customFormat="1" x14ac:dyDescent="0.25">
      <c r="C147" s="171" t="s">
        <v>58</v>
      </c>
      <c r="D147" s="163"/>
      <c r="E147" s="154">
        <v>0</v>
      </c>
      <c r="F147" s="117">
        <f>IF(E146=0,"",(G146/E146)/12*E146)</f>
        <v>48000</v>
      </c>
      <c r="G147" s="97">
        <f>F147</f>
        <v>48000</v>
      </c>
      <c r="H147" s="164" t="s">
        <v>1509</v>
      </c>
      <c r="I147" s="101" t="s">
        <v>564</v>
      </c>
      <c r="J147" s="101" t="str">
        <f>VLOOKUP(I147,[1]Presupuesto!$B$11:$C$565,2,0)</f>
        <v>CONTRATOS ESPECIALES</v>
      </c>
      <c r="K147" s="98" t="str">
        <f t="shared" si="3"/>
        <v>Gestión Administrativa y  financiera en apoyo al Desarrollo Académico</v>
      </c>
      <c r="L147" s="98" t="s">
        <v>404</v>
      </c>
    </row>
    <row r="148" spans="3:12" s="466" customFormat="1" ht="15.75" thickBot="1" x14ac:dyDescent="0.3">
      <c r="C148" s="172" t="s">
        <v>59</v>
      </c>
      <c r="D148" s="163"/>
      <c r="E148" s="154">
        <v>0</v>
      </c>
      <c r="F148" s="100">
        <v>48000</v>
      </c>
      <c r="G148" s="97">
        <f>F148</f>
        <v>48000</v>
      </c>
      <c r="H148" s="164" t="s">
        <v>1509</v>
      </c>
      <c r="I148" s="101" t="s">
        <v>564</v>
      </c>
      <c r="J148" s="101" t="str">
        <f>VLOOKUP(I148,[1]Presupuesto!$B$11:$C$565,2,0)</f>
        <v>CONTRATOS ESPECIALES</v>
      </c>
      <c r="K148" s="98" t="str">
        <f t="shared" si="3"/>
        <v>Gestión Administrativa y  financiera en apoyo al Desarrollo Académico</v>
      </c>
      <c r="L148" s="98" t="s">
        <v>398</v>
      </c>
    </row>
    <row r="149" spans="3:12" s="466" customFormat="1" ht="15.75" thickBot="1" x14ac:dyDescent="0.3">
      <c r="C149" s="140" t="s">
        <v>83</v>
      </c>
      <c r="D149" s="199">
        <v>1</v>
      </c>
      <c r="E149" s="152">
        <v>12</v>
      </c>
      <c r="F149" s="139">
        <v>22000</v>
      </c>
      <c r="G149" s="113">
        <f>D149*E149*F149</f>
        <v>264000</v>
      </c>
      <c r="H149" s="166" t="s">
        <v>1509</v>
      </c>
      <c r="I149" s="114" t="s">
        <v>564</v>
      </c>
      <c r="J149" s="114" t="str">
        <f>VLOOKUP(I149,[1]Presupuesto!$B$11:$C$565,2,0)</f>
        <v>CONTRATOS ESPECIALES</v>
      </c>
      <c r="K149" s="98" t="str">
        <f t="shared" si="3"/>
        <v>Gestión Administrativa y  financiera en apoyo al Desarrollo Académico</v>
      </c>
      <c r="L149" s="98" t="s">
        <v>394</v>
      </c>
    </row>
    <row r="150" spans="3:12" s="466" customFormat="1" x14ac:dyDescent="0.25">
      <c r="C150" s="171" t="s">
        <v>58</v>
      </c>
      <c r="D150" s="163"/>
      <c r="E150" s="154">
        <v>0</v>
      </c>
      <c r="F150" s="117">
        <f>IF(E149=0,"",(G149/E149)/12*E149)</f>
        <v>22000</v>
      </c>
      <c r="G150" s="97">
        <f>F150</f>
        <v>22000</v>
      </c>
      <c r="H150" s="164" t="s">
        <v>1509</v>
      </c>
      <c r="I150" s="101" t="s">
        <v>564</v>
      </c>
      <c r="J150" s="101" t="str">
        <f>VLOOKUP(I150,[1]Presupuesto!$B$11:$C$565,2,0)</f>
        <v>CONTRATOS ESPECIALES</v>
      </c>
      <c r="K150" s="98" t="str">
        <f t="shared" si="3"/>
        <v>Gestión Administrativa y  financiera en apoyo al Desarrollo Académico</v>
      </c>
      <c r="L150" s="98" t="s">
        <v>404</v>
      </c>
    </row>
    <row r="151" spans="3:12" s="466" customFormat="1" ht="15.75" thickBot="1" x14ac:dyDescent="0.3">
      <c r="C151" s="172" t="s">
        <v>59</v>
      </c>
      <c r="D151" s="163"/>
      <c r="E151" s="154">
        <v>0</v>
      </c>
      <c r="F151" s="100">
        <v>22000</v>
      </c>
      <c r="G151" s="97">
        <f>F151</f>
        <v>22000</v>
      </c>
      <c r="H151" s="164" t="s">
        <v>1509</v>
      </c>
      <c r="I151" s="101" t="s">
        <v>564</v>
      </c>
      <c r="J151" s="101" t="str">
        <f>VLOOKUP(I151,[1]Presupuesto!$B$11:$C$565,2,0)</f>
        <v>CONTRATOS ESPECIALES</v>
      </c>
      <c r="K151" s="98" t="str">
        <f t="shared" si="3"/>
        <v>Gestión Administrativa y  financiera en apoyo al Desarrollo Académico</v>
      </c>
      <c r="L151" s="98" t="s">
        <v>398</v>
      </c>
    </row>
    <row r="152" spans="3:12" ht="15.75" thickBot="1" x14ac:dyDescent="0.3">
      <c r="C152" s="140" t="s">
        <v>83</v>
      </c>
      <c r="D152" s="199">
        <v>2</v>
      </c>
      <c r="E152" s="152">
        <v>12</v>
      </c>
      <c r="F152" s="139">
        <v>9168.42</v>
      </c>
      <c r="G152" s="113">
        <f>D152*E152*F152</f>
        <v>220042.08000000002</v>
      </c>
      <c r="H152" s="166" t="s">
        <v>1509</v>
      </c>
      <c r="I152" s="114" t="s">
        <v>564</v>
      </c>
      <c r="J152" s="114" t="str">
        <f>VLOOKUP(I152,[1]Presupuesto!$B$11:$C$565,2,0)</f>
        <v>CONTRATOS ESPECIALES</v>
      </c>
      <c r="K152" s="98" t="str">
        <f t="shared" si="3"/>
        <v>Gestión Administrativa y  financiera en apoyo al Desarrollo Académico</v>
      </c>
      <c r="L152" s="98" t="s">
        <v>394</v>
      </c>
    </row>
    <row r="153" spans="3:12" x14ac:dyDescent="0.25">
      <c r="C153" s="171" t="s">
        <v>58</v>
      </c>
      <c r="D153" s="163"/>
      <c r="E153" s="154">
        <v>0</v>
      </c>
      <c r="F153" s="117">
        <f>IF(E152=0,"",(G152/E152)/12*E152)</f>
        <v>18336.84</v>
      </c>
      <c r="G153" s="97">
        <f>F153</f>
        <v>18336.84</v>
      </c>
      <c r="H153" s="164" t="s">
        <v>1509</v>
      </c>
      <c r="I153" s="101" t="s">
        <v>564</v>
      </c>
      <c r="J153" s="101" t="str">
        <f>VLOOKUP(I153,[1]Presupuesto!$B$11:$C$565,2,0)</f>
        <v>CONTRATOS ESPECIALES</v>
      </c>
      <c r="K153" s="98" t="str">
        <f t="shared" si="3"/>
        <v>Gestión Administrativa y  financiera en apoyo al Desarrollo Académico</v>
      </c>
      <c r="L153" s="98" t="s">
        <v>404</v>
      </c>
    </row>
    <row r="154" spans="3:12" x14ac:dyDescent="0.25">
      <c r="C154" s="172" t="s">
        <v>59</v>
      </c>
      <c r="D154" s="163"/>
      <c r="E154" s="154">
        <v>0</v>
      </c>
      <c r="F154" s="100">
        <v>18337</v>
      </c>
      <c r="G154" s="97">
        <f>F154</f>
        <v>18337</v>
      </c>
      <c r="H154" s="164" t="s">
        <v>1509</v>
      </c>
      <c r="I154" s="101" t="s">
        <v>564</v>
      </c>
      <c r="J154" s="101" t="str">
        <f>VLOOKUP(I154,[1]Presupuesto!$B$11:$C$565,2,0)</f>
        <v>CONTRATOS ESPECIALES</v>
      </c>
      <c r="K154" s="98" t="str">
        <f t="shared" si="3"/>
        <v>Gestión Administrativa y  financiera en apoyo al Desarrollo Académico</v>
      </c>
      <c r="L154" s="98" t="s">
        <v>398</v>
      </c>
    </row>
    <row r="155" spans="3:12" ht="15.75" hidden="1" thickBot="1" x14ac:dyDescent="0.3">
      <c r="C155" s="140" t="s">
        <v>60</v>
      </c>
      <c r="D155" s="199"/>
      <c r="E155" s="152">
        <v>12</v>
      </c>
      <c r="F155" s="118">
        <v>30000</v>
      </c>
      <c r="G155" s="113">
        <f>D155*E155*F155</f>
        <v>0</v>
      </c>
      <c r="H155" s="166"/>
      <c r="I155" s="114" t="s">
        <v>705</v>
      </c>
      <c r="J155" s="114" t="str">
        <f>VLOOKUP(I155,Presupuesto!$B$11:$C$565,2,0)</f>
        <v>OTROS SERVICIOS TECNICOS Y PROFESIONALES</v>
      </c>
      <c r="K155" s="98" t="str">
        <f t="shared" si="3"/>
        <v>Gestión Administrativa y  financiera en apoyo al Desarrollo Académico</v>
      </c>
      <c r="L155" s="98" t="s">
        <v>394</v>
      </c>
    </row>
    <row r="156" spans="3:12" hidden="1" x14ac:dyDescent="0.25">
      <c r="C156" s="171" t="s">
        <v>58</v>
      </c>
      <c r="D156" s="163"/>
      <c r="E156" s="154">
        <v>0</v>
      </c>
      <c r="F156" s="100">
        <v>0</v>
      </c>
      <c r="G156" s="97">
        <f>F156</f>
        <v>0</v>
      </c>
      <c r="H156" s="164"/>
      <c r="I156" s="101" t="s">
        <v>705</v>
      </c>
      <c r="J156" s="101" t="str">
        <f>VLOOKUP(I156,Presupuesto!$B$11:$C$565,2,0)</f>
        <v>OTROS SERVICIOS TECNICOS Y PROFESIONALES</v>
      </c>
      <c r="K156" s="98" t="str">
        <f t="shared" si="3"/>
        <v>Gestión Administrativa y  financiera en apoyo al Desarrollo Académico</v>
      </c>
      <c r="L156" s="98" t="s">
        <v>394</v>
      </c>
    </row>
    <row r="157" spans="3:12" ht="15.75" hidden="1" thickBot="1" x14ac:dyDescent="0.3">
      <c r="C157" s="172" t="s">
        <v>59</v>
      </c>
      <c r="D157" s="163"/>
      <c r="E157" s="154">
        <v>0</v>
      </c>
      <c r="F157" s="100">
        <v>0</v>
      </c>
      <c r="G157" s="97">
        <f>F157</f>
        <v>0</v>
      </c>
      <c r="H157" s="164"/>
      <c r="I157" s="101" t="s">
        <v>705</v>
      </c>
      <c r="J157" s="101" t="str">
        <f>VLOOKUP(I157,Presupuesto!$B$11:$C$565,2,0)</f>
        <v>OTROS SERVICIOS TECNICOS Y PROFESIONALES</v>
      </c>
      <c r="K157" s="98" t="str">
        <f t="shared" si="3"/>
        <v>Gestión Administrativa y  financiera en apoyo al Desarrollo Académico</v>
      </c>
      <c r="L157" s="98" t="s">
        <v>394</v>
      </c>
    </row>
    <row r="158" spans="3:12" ht="15.75" hidden="1" thickBot="1" x14ac:dyDescent="0.3">
      <c r="C158" s="140" t="s">
        <v>61</v>
      </c>
      <c r="D158" s="199"/>
      <c r="E158" s="152">
        <v>12</v>
      </c>
      <c r="F158" s="118">
        <v>30000</v>
      </c>
      <c r="G158" s="113">
        <f>D158*E158*F158</f>
        <v>0</v>
      </c>
      <c r="H158" s="166"/>
      <c r="I158" s="114" t="s">
        <v>496</v>
      </c>
      <c r="J158" s="114" t="str">
        <f>VLOOKUP(I158,Presupuesto!$B$11:$C$565,2,0)</f>
        <v>SUELDOS Y SALARIOS PERMANENTES</v>
      </c>
      <c r="K158" s="98" t="str">
        <f t="shared" si="3"/>
        <v>Gestión Administrativa y  financiera en apoyo al Desarrollo Académico</v>
      </c>
      <c r="L158" s="98" t="s">
        <v>394</v>
      </c>
    </row>
    <row r="159" spans="3:12" hidden="1" x14ac:dyDescent="0.25">
      <c r="C159" s="171" t="s">
        <v>58</v>
      </c>
      <c r="D159" s="169"/>
      <c r="E159" s="131">
        <v>0</v>
      </c>
      <c r="F159" s="119">
        <f>IF(E158=0,"",(G158/E158)/12*E158)</f>
        <v>0</v>
      </c>
      <c r="G159" s="120">
        <f>F159</f>
        <v>0</v>
      </c>
      <c r="H159" s="164"/>
      <c r="I159" s="101" t="s">
        <v>516</v>
      </c>
      <c r="J159" s="101" t="str">
        <f>VLOOKUP(I159,Presupuesto!$B$11:$C$565,2,0)</f>
        <v>AGUINALDO Y DECIMO CUARTO MES</v>
      </c>
      <c r="K159" s="98" t="str">
        <f t="shared" si="3"/>
        <v>Gestión Administrativa y  financiera en apoyo al Desarrollo Académico</v>
      </c>
      <c r="L159" s="98" t="s">
        <v>394</v>
      </c>
    </row>
    <row r="160" spans="3:12" ht="15.75" hidden="1" thickBot="1" x14ac:dyDescent="0.3">
      <c r="C160" s="173" t="s">
        <v>59</v>
      </c>
      <c r="D160" s="162"/>
      <c r="E160" s="132">
        <v>0</v>
      </c>
      <c r="F160" s="105">
        <f>IF(E158&lt;6,"",((E158-6)/12)*(G158/E158))</f>
        <v>0</v>
      </c>
      <c r="G160" s="105">
        <f>F160</f>
        <v>0</v>
      </c>
      <c r="H160" s="162"/>
      <c r="I160" s="106" t="s">
        <v>519</v>
      </c>
      <c r="J160" s="124" t="str">
        <f>VLOOKUP(I160,Presupuesto!$B$11:$C$565,2,0)</f>
        <v>DECIMOCUARTO MES</v>
      </c>
      <c r="K160" s="106" t="str">
        <f t="shared" si="3"/>
        <v>Gestión Administrativa y  financiera en apoyo al Desarrollo Académico</v>
      </c>
      <c r="L160" s="124" t="s">
        <v>394</v>
      </c>
    </row>
    <row r="162" spans="3:12" ht="15.75" thickBot="1" x14ac:dyDescent="0.3">
      <c r="K162" s="153"/>
    </row>
    <row r="163" spans="3:12" ht="15.75" thickBot="1" x14ac:dyDescent="0.3">
      <c r="C163" s="69" t="s">
        <v>43</v>
      </c>
      <c r="D163" s="30">
        <f>SUM(G170:G220)</f>
        <v>616000</v>
      </c>
      <c r="E163" s="93"/>
      <c r="F163" s="93"/>
      <c r="G163" s="93"/>
      <c r="H163" s="76"/>
      <c r="I163" s="76"/>
      <c r="J163" s="76"/>
      <c r="K163" s="153"/>
    </row>
    <row r="164" spans="3:12" x14ac:dyDescent="0.25">
      <c r="D164" s="31"/>
      <c r="E164" s="93"/>
      <c r="F164" s="93"/>
      <c r="G164" s="93"/>
      <c r="H164" s="76"/>
      <c r="I164" s="76"/>
      <c r="J164" s="76"/>
      <c r="K164" s="153"/>
    </row>
    <row r="165" spans="3:12" x14ac:dyDescent="0.25">
      <c r="D165" s="31"/>
      <c r="E165" s="93"/>
      <c r="F165" s="93"/>
      <c r="G165" s="93"/>
      <c r="H165" s="76"/>
      <c r="I165" s="76"/>
      <c r="J165" s="76"/>
      <c r="K165" s="153"/>
    </row>
    <row r="166" spans="3:12" ht="15.75" x14ac:dyDescent="0.25">
      <c r="C166" s="202" t="s">
        <v>392</v>
      </c>
      <c r="D166" s="370" t="s">
        <v>1608</v>
      </c>
      <c r="E166" s="93"/>
      <c r="F166" s="93"/>
      <c r="G166" s="93"/>
      <c r="H166" s="76"/>
      <c r="I166" s="76"/>
      <c r="J166" s="76"/>
      <c r="K166" s="153"/>
    </row>
    <row r="167" spans="3:12" ht="18.75" x14ac:dyDescent="0.25">
      <c r="C167" s="211" t="str">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Contratación de servicios profesionales</v>
      </c>
      <c r="D167" s="31"/>
      <c r="E167" s="93"/>
      <c r="F167" s="93"/>
      <c r="G167" s="93"/>
      <c r="H167" s="76"/>
      <c r="I167" s="76"/>
      <c r="J167" s="76"/>
      <c r="K167" s="153"/>
    </row>
    <row r="168" spans="3:12" ht="15.75" thickBot="1" x14ac:dyDescent="0.3">
      <c r="C168" s="177"/>
      <c r="D168" s="31"/>
      <c r="E168" s="93"/>
      <c r="F168" s="93"/>
      <c r="G168" s="93"/>
      <c r="H168" s="76"/>
      <c r="I168" s="76"/>
      <c r="J168" s="76"/>
      <c r="K168" s="153"/>
    </row>
    <row r="169" spans="3:12" ht="30.75" thickBot="1" x14ac:dyDescent="0.3">
      <c r="C169" s="134" t="s">
        <v>44</v>
      </c>
      <c r="D169" s="138" t="s">
        <v>55</v>
      </c>
      <c r="E169" s="170" t="s">
        <v>56</v>
      </c>
      <c r="F169" s="138" t="s">
        <v>57</v>
      </c>
      <c r="G169" s="135" t="s">
        <v>27</v>
      </c>
      <c r="H169" s="133" t="s">
        <v>131</v>
      </c>
      <c r="I169" s="136" t="s">
        <v>46</v>
      </c>
      <c r="J169" s="136" t="s">
        <v>132</v>
      </c>
      <c r="K169" s="136" t="s">
        <v>410</v>
      </c>
      <c r="L169" s="136" t="s">
        <v>411</v>
      </c>
    </row>
    <row r="170" spans="3:12" ht="15.75" hidden="1" thickBot="1" x14ac:dyDescent="0.3">
      <c r="C170" s="137" t="s">
        <v>482</v>
      </c>
      <c r="D170" s="199"/>
      <c r="E170" s="152">
        <v>12</v>
      </c>
      <c r="F170" s="305">
        <f>HLOOKUP($C170,$BZ$2:$CM$3,2,0)</f>
        <v>43674.39</v>
      </c>
      <c r="G170" s="113">
        <f>D170*E170*F170</f>
        <v>0</v>
      </c>
      <c r="H170" s="166"/>
      <c r="I170" s="114" t="s">
        <v>496</v>
      </c>
      <c r="J170" s="114" t="str">
        <f>VLOOKUP(I170,Presupuesto!$B$11:$C$565,2,0)</f>
        <v>SUELDOS Y SALARIOS PERMANENTES</v>
      </c>
      <c r="K170" s="219" t="s">
        <v>1364</v>
      </c>
      <c r="L170" s="98" t="s">
        <v>394</v>
      </c>
    </row>
    <row r="171" spans="3:12" hidden="1"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ref="K171:K202" si="4">$K$170</f>
        <v>Gestión Administrativa y  financiera en apoyo al Desarrollo Académico</v>
      </c>
      <c r="L171" s="98" t="s">
        <v>412</v>
      </c>
    </row>
    <row r="172" spans="3:12" ht="15.75" hidden="1"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4"/>
        <v>Gestión Administrativa y  financiera en apoyo al Desarrollo Académico</v>
      </c>
      <c r="L172" s="98" t="s">
        <v>395</v>
      </c>
    </row>
    <row r="173" spans="3:12" ht="15.75" hidden="1" thickBot="1" x14ac:dyDescent="0.3">
      <c r="C173" s="137" t="s">
        <v>483</v>
      </c>
      <c r="D173" s="199"/>
      <c r="E173" s="152">
        <v>12</v>
      </c>
      <c r="F173" s="305">
        <f>HLOOKUP($C173,$BZ$2:$CM$3,2,0)</f>
        <v>39703.99</v>
      </c>
      <c r="G173" s="113">
        <f>D173*E173*F173</f>
        <v>0</v>
      </c>
      <c r="H173" s="166"/>
      <c r="I173" s="114" t="s">
        <v>496</v>
      </c>
      <c r="J173" s="114" t="str">
        <f>VLOOKUP(I173,Presupuesto!$B$11:$C$565,2,0)</f>
        <v>SUELDOS Y SALARIOS PERMANENTES</v>
      </c>
      <c r="K173" s="98" t="str">
        <f t="shared" si="4"/>
        <v>Gestión Administrativa y  financiera en apoyo al Desarrollo Académico</v>
      </c>
      <c r="L173" s="98" t="s">
        <v>395</v>
      </c>
    </row>
    <row r="174" spans="3:12" hidden="1"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4"/>
        <v>Gestión Administrativa y  financiera en apoyo al Desarrollo Académico</v>
      </c>
      <c r="L174" s="98" t="s">
        <v>395</v>
      </c>
    </row>
    <row r="175" spans="3:12" ht="15.75" hidden="1"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4"/>
        <v>Gestión Administrativa y  financiera en apoyo al Desarrollo Académico</v>
      </c>
      <c r="L175" s="98" t="s">
        <v>395</v>
      </c>
    </row>
    <row r="176" spans="3:12" ht="15.75" hidden="1" thickBot="1" x14ac:dyDescent="0.3">
      <c r="C176" s="137" t="s">
        <v>484</v>
      </c>
      <c r="D176" s="199"/>
      <c r="E176" s="152">
        <v>12</v>
      </c>
      <c r="F176" s="305">
        <f>HLOOKUP($C176,$BZ$2:$CM$3,2,0)</f>
        <v>35733.589999999997</v>
      </c>
      <c r="G176" s="113">
        <f>D176*E176*F176</f>
        <v>0</v>
      </c>
      <c r="H176" s="166"/>
      <c r="I176" s="114" t="s">
        <v>496</v>
      </c>
      <c r="J176" s="114" t="str">
        <f>VLOOKUP(I176,Presupuesto!$B$11:$C$565,2,0)</f>
        <v>SUELDOS Y SALARIOS PERMANENTES</v>
      </c>
      <c r="K176" s="98" t="str">
        <f t="shared" si="4"/>
        <v>Gestión Administrativa y  financiera en apoyo al Desarrollo Académico</v>
      </c>
      <c r="L176" s="98" t="s">
        <v>395</v>
      </c>
    </row>
    <row r="177" spans="3:12" hidden="1"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4"/>
        <v>Gestión Administrativa y  financiera en apoyo al Desarrollo Académico</v>
      </c>
      <c r="L177" s="98" t="s">
        <v>395</v>
      </c>
    </row>
    <row r="178" spans="3:12" ht="15.75" hidden="1"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4"/>
        <v>Gestión Administrativa y  financiera en apoyo al Desarrollo Académico</v>
      </c>
      <c r="L178" s="98" t="s">
        <v>395</v>
      </c>
    </row>
    <row r="179" spans="3:12" ht="15.75" hidden="1" thickBot="1" x14ac:dyDescent="0.3">
      <c r="C179" s="137" t="s">
        <v>485</v>
      </c>
      <c r="D179" s="199"/>
      <c r="E179" s="152">
        <v>12</v>
      </c>
      <c r="F179" s="305">
        <f>HLOOKUP($C179,$BZ$2:$CM$3,2,0)</f>
        <v>31763.19</v>
      </c>
      <c r="G179" s="113">
        <f>D179*E179*F179</f>
        <v>0</v>
      </c>
      <c r="H179" s="166"/>
      <c r="I179" s="114" t="s">
        <v>496</v>
      </c>
      <c r="J179" s="114" t="str">
        <f>VLOOKUP(I179,Presupuesto!$B$11:$C$565,2,0)</f>
        <v>SUELDOS Y SALARIOS PERMANENTES</v>
      </c>
      <c r="K179" s="98" t="str">
        <f t="shared" si="4"/>
        <v>Gestión Administrativa y  financiera en apoyo al Desarrollo Académico</v>
      </c>
      <c r="L179" s="98" t="s">
        <v>395</v>
      </c>
    </row>
    <row r="180" spans="3:12" hidden="1" x14ac:dyDescent="0.25">
      <c r="C180" s="171" t="s">
        <v>58</v>
      </c>
      <c r="D180" s="163"/>
      <c r="E180" s="154">
        <v>0</v>
      </c>
      <c r="F180" s="100">
        <f>IF(E179=0,"",(G179/E179)/12*E179)</f>
        <v>0</v>
      </c>
      <c r="G180" s="97">
        <f>F180</f>
        <v>0</v>
      </c>
      <c r="H180" s="164"/>
      <c r="I180" s="116" t="s">
        <v>516</v>
      </c>
      <c r="J180" s="116" t="str">
        <f>VLOOKUP(I180,Presupuesto!$B$11:$C$565,2,0)</f>
        <v>AGUINALDO Y DECIMO CUARTO MES</v>
      </c>
      <c r="K180" s="98" t="str">
        <f t="shared" si="4"/>
        <v>Gestión Administrativa y  financiera en apoyo al Desarrollo Académico</v>
      </c>
      <c r="L180" s="98" t="s">
        <v>395</v>
      </c>
    </row>
    <row r="181" spans="3:12" ht="15.75" hidden="1" thickBot="1" x14ac:dyDescent="0.3">
      <c r="C181" s="172" t="s">
        <v>59</v>
      </c>
      <c r="D181" s="163"/>
      <c r="E181" s="154">
        <v>0</v>
      </c>
      <c r="F181" s="117">
        <f>IF(E179&lt;6,"",((E179-6)/12)*(G179/E179))</f>
        <v>0</v>
      </c>
      <c r="G181" s="97">
        <f>F181</f>
        <v>0</v>
      </c>
      <c r="H181" s="164"/>
      <c r="I181" s="101" t="s">
        <v>519</v>
      </c>
      <c r="J181" s="101" t="str">
        <f>VLOOKUP(I181,Presupuesto!$B$11:$C$565,2,0)</f>
        <v>DECIMOCUARTO MES</v>
      </c>
      <c r="K181" s="98" t="str">
        <f t="shared" si="4"/>
        <v>Gestión Administrativa y  financiera en apoyo al Desarrollo Académico</v>
      </c>
      <c r="L181" s="98" t="s">
        <v>395</v>
      </c>
    </row>
    <row r="182" spans="3:12" ht="15.75" hidden="1" thickBot="1" x14ac:dyDescent="0.3">
      <c r="C182" s="137" t="s">
        <v>486</v>
      </c>
      <c r="D182" s="199"/>
      <c r="E182" s="152">
        <v>12</v>
      </c>
      <c r="F182" s="305">
        <f>HLOOKUP($C182,$BZ$2:$CM$3,2,0)</f>
        <v>29777.99</v>
      </c>
      <c r="G182" s="113">
        <f>D182*E182*F182</f>
        <v>0</v>
      </c>
      <c r="H182" s="166"/>
      <c r="I182" s="114" t="s">
        <v>496</v>
      </c>
      <c r="J182" s="114" t="str">
        <f>VLOOKUP(I182,Presupuesto!$B$11:$C$565,2,0)</f>
        <v>SUELDOS Y SALARIOS PERMANENTES</v>
      </c>
      <c r="K182" s="98" t="str">
        <f t="shared" si="4"/>
        <v>Gestión Administrativa y  financiera en apoyo al Desarrollo Académico</v>
      </c>
      <c r="L182" s="98" t="s">
        <v>395</v>
      </c>
    </row>
    <row r="183" spans="3:12" hidden="1" x14ac:dyDescent="0.25">
      <c r="C183" s="171" t="s">
        <v>58</v>
      </c>
      <c r="D183" s="163"/>
      <c r="E183" s="154">
        <v>0</v>
      </c>
      <c r="F183" s="100">
        <f>IF(E182=0,"",(G182/E182)/12*E182)</f>
        <v>0</v>
      </c>
      <c r="G183" s="97">
        <f>F183</f>
        <v>0</v>
      </c>
      <c r="H183" s="164"/>
      <c r="I183" s="116" t="s">
        <v>516</v>
      </c>
      <c r="J183" s="116" t="str">
        <f>VLOOKUP(I183,Presupuesto!$B$11:$C$565,2,0)</f>
        <v>AGUINALDO Y DECIMO CUARTO MES</v>
      </c>
      <c r="K183" s="98" t="str">
        <f t="shared" si="4"/>
        <v>Gestión Administrativa y  financiera en apoyo al Desarrollo Académico</v>
      </c>
      <c r="L183" s="98" t="s">
        <v>395</v>
      </c>
    </row>
    <row r="184" spans="3:12" ht="15.75" hidden="1" thickBot="1" x14ac:dyDescent="0.3">
      <c r="C184" s="172" t="s">
        <v>59</v>
      </c>
      <c r="D184" s="163"/>
      <c r="E184" s="154">
        <v>0</v>
      </c>
      <c r="F184" s="117">
        <f>IF(E182&lt;6,"",((E182-6)/12)*(G182/E182))</f>
        <v>0</v>
      </c>
      <c r="G184" s="97">
        <f>F184</f>
        <v>0</v>
      </c>
      <c r="H184" s="164"/>
      <c r="I184" s="101" t="s">
        <v>519</v>
      </c>
      <c r="J184" s="101" t="str">
        <f>VLOOKUP(I184,Presupuesto!$B$11:$C$565,2,0)</f>
        <v>DECIMOCUARTO MES</v>
      </c>
      <c r="K184" s="98" t="str">
        <f t="shared" si="4"/>
        <v>Gestión Administrativa y  financiera en apoyo al Desarrollo Académico</v>
      </c>
      <c r="L184" s="98" t="s">
        <v>395</v>
      </c>
    </row>
    <row r="185" spans="3:12" ht="15.75" hidden="1" thickBot="1" x14ac:dyDescent="0.3">
      <c r="C185" s="137" t="s">
        <v>487</v>
      </c>
      <c r="D185" s="199"/>
      <c r="E185" s="152">
        <v>12</v>
      </c>
      <c r="F185" s="305">
        <f>HLOOKUP($C185,$BZ$2:$CM$3,2,0)</f>
        <v>27792.79</v>
      </c>
      <c r="G185" s="113">
        <f>D185*E185*F185</f>
        <v>0</v>
      </c>
      <c r="H185" s="166"/>
      <c r="I185" s="114" t="s">
        <v>496</v>
      </c>
      <c r="J185" s="114" t="str">
        <f>VLOOKUP(I185,Presupuesto!$B$11:$C$565,2,0)</f>
        <v>SUELDOS Y SALARIOS PERMANENTES</v>
      </c>
      <c r="K185" s="98" t="str">
        <f t="shared" si="4"/>
        <v>Gestión Administrativa y  financiera en apoyo al Desarrollo Académico</v>
      </c>
      <c r="L185" s="98" t="s">
        <v>395</v>
      </c>
    </row>
    <row r="186" spans="3:12" hidden="1" x14ac:dyDescent="0.25">
      <c r="C186" s="171" t="s">
        <v>58</v>
      </c>
      <c r="D186" s="163"/>
      <c r="E186" s="154">
        <v>0</v>
      </c>
      <c r="F186" s="100">
        <f>IF(E185=0,"",(G185/E185)/12*E185)</f>
        <v>0</v>
      </c>
      <c r="G186" s="97">
        <f>F186</f>
        <v>0</v>
      </c>
      <c r="H186" s="164"/>
      <c r="I186" s="116" t="s">
        <v>516</v>
      </c>
      <c r="J186" s="116" t="str">
        <f>VLOOKUP(I186,Presupuesto!$B$11:$C$565,2,0)</f>
        <v>AGUINALDO Y DECIMO CUARTO MES</v>
      </c>
      <c r="K186" s="98" t="str">
        <f t="shared" si="4"/>
        <v>Gestión Administrativa y  financiera en apoyo al Desarrollo Académico</v>
      </c>
      <c r="L186" s="98" t="s">
        <v>395</v>
      </c>
    </row>
    <row r="187" spans="3:12" ht="15.75" hidden="1" thickBot="1" x14ac:dyDescent="0.3">
      <c r="C187" s="172" t="s">
        <v>59</v>
      </c>
      <c r="D187" s="163"/>
      <c r="E187" s="154">
        <v>0</v>
      </c>
      <c r="F187" s="117">
        <f>IF(E185&lt;6,"",((E185-6)/12)*(G185/E185))</f>
        <v>0</v>
      </c>
      <c r="G187" s="97">
        <f>F187</f>
        <v>0</v>
      </c>
      <c r="H187" s="164"/>
      <c r="I187" s="101" t="s">
        <v>519</v>
      </c>
      <c r="J187" s="101" t="str">
        <f>VLOOKUP(I187,Presupuesto!$B$11:$C$565,2,0)</f>
        <v>DECIMOCUARTO MES</v>
      </c>
      <c r="K187" s="98" t="str">
        <f t="shared" si="4"/>
        <v>Gestión Administrativa y  financiera en apoyo al Desarrollo Académico</v>
      </c>
      <c r="L187" s="98" t="s">
        <v>395</v>
      </c>
    </row>
    <row r="188" spans="3:12" ht="15.75" hidden="1" thickBot="1" x14ac:dyDescent="0.3">
      <c r="C188" s="137" t="s">
        <v>488</v>
      </c>
      <c r="D188" s="199"/>
      <c r="E188" s="152">
        <v>12</v>
      </c>
      <c r="F188" s="305">
        <f>HLOOKUP($C188,$BZ$2:$CM$3,2,0)</f>
        <v>18859.39</v>
      </c>
      <c r="G188" s="113">
        <f>D188*E188*F188</f>
        <v>0</v>
      </c>
      <c r="H188" s="166"/>
      <c r="I188" s="114" t="s">
        <v>496</v>
      </c>
      <c r="J188" s="114" t="str">
        <f>VLOOKUP(I188,Presupuesto!$B$11:$C$565,2,0)</f>
        <v>SUELDOS Y SALARIOS PERMANENTES</v>
      </c>
      <c r="K188" s="98" t="str">
        <f t="shared" si="4"/>
        <v>Gestión Administrativa y  financiera en apoyo al Desarrollo Académico</v>
      </c>
      <c r="L188" s="98" t="s">
        <v>395</v>
      </c>
    </row>
    <row r="189" spans="3:12" hidden="1" x14ac:dyDescent="0.25">
      <c r="C189" s="171" t="s">
        <v>58</v>
      </c>
      <c r="D189" s="163"/>
      <c r="E189" s="154">
        <v>0</v>
      </c>
      <c r="F189" s="100">
        <f>IF(E188=0,"",(G188/E188)/12*E188)</f>
        <v>0</v>
      </c>
      <c r="G189" s="97">
        <f>F189</f>
        <v>0</v>
      </c>
      <c r="H189" s="164"/>
      <c r="I189" s="116" t="s">
        <v>516</v>
      </c>
      <c r="J189" s="116" t="str">
        <f>VLOOKUP(I189,Presupuesto!$B$11:$C$565,2,0)</f>
        <v>AGUINALDO Y DECIMO CUARTO MES</v>
      </c>
      <c r="K189" s="98" t="str">
        <f t="shared" si="4"/>
        <v>Gestión Administrativa y  financiera en apoyo al Desarrollo Académico</v>
      </c>
      <c r="L189" s="98" t="s">
        <v>395</v>
      </c>
    </row>
    <row r="190" spans="3:12" ht="15.75" hidden="1" thickBot="1" x14ac:dyDescent="0.3">
      <c r="C190" s="172" t="s">
        <v>59</v>
      </c>
      <c r="D190" s="163"/>
      <c r="E190" s="154">
        <v>0</v>
      </c>
      <c r="F190" s="117">
        <f>IF(E188&lt;6,"",((E188-6)/12)*(G188/E188))</f>
        <v>0</v>
      </c>
      <c r="G190" s="97">
        <f>F190</f>
        <v>0</v>
      </c>
      <c r="H190" s="164"/>
      <c r="I190" s="101" t="s">
        <v>519</v>
      </c>
      <c r="J190" s="101" t="str">
        <f>VLOOKUP(I190,Presupuesto!$B$11:$C$565,2,0)</f>
        <v>DECIMOCUARTO MES</v>
      </c>
      <c r="K190" s="98" t="str">
        <f t="shared" si="4"/>
        <v>Gestión Administrativa y  financiera en apoyo al Desarrollo Académico</v>
      </c>
      <c r="L190" s="98" t="s">
        <v>395</v>
      </c>
    </row>
    <row r="191" spans="3:12" ht="15.75" hidden="1" thickBot="1" x14ac:dyDescent="0.3">
      <c r="C191" s="137" t="s">
        <v>489</v>
      </c>
      <c r="D191" s="199"/>
      <c r="E191" s="152">
        <v>12</v>
      </c>
      <c r="F191" s="305">
        <f>HLOOKUP($C191,$BZ$2:$CM$3,2,0)</f>
        <v>17866.8</v>
      </c>
      <c r="G191" s="113">
        <f>D191*E191*F191</f>
        <v>0</v>
      </c>
      <c r="H191" s="166"/>
      <c r="I191" s="114" t="s">
        <v>496</v>
      </c>
      <c r="J191" s="114" t="str">
        <f>VLOOKUP(I191,Presupuesto!$B$11:$C$565,2,0)</f>
        <v>SUELDOS Y SALARIOS PERMANENTES</v>
      </c>
      <c r="K191" s="98" t="str">
        <f t="shared" si="4"/>
        <v>Gestión Administrativa y  financiera en apoyo al Desarrollo Académico</v>
      </c>
      <c r="L191" s="98" t="s">
        <v>395</v>
      </c>
    </row>
    <row r="192" spans="3:12" hidden="1" x14ac:dyDescent="0.25">
      <c r="C192" s="171" t="s">
        <v>58</v>
      </c>
      <c r="D192" s="163"/>
      <c r="E192" s="154">
        <v>0</v>
      </c>
      <c r="F192" s="100">
        <f>IF(E191=0,"",(G191/E191)/12*E191)</f>
        <v>0</v>
      </c>
      <c r="G192" s="97">
        <f>F192</f>
        <v>0</v>
      </c>
      <c r="H192" s="164"/>
      <c r="I192" s="116" t="s">
        <v>516</v>
      </c>
      <c r="J192" s="116" t="str">
        <f>VLOOKUP(I192,Presupuesto!$B$11:$C$565,2,0)</f>
        <v>AGUINALDO Y DECIMO CUARTO MES</v>
      </c>
      <c r="K192" s="98" t="str">
        <f t="shared" si="4"/>
        <v>Gestión Administrativa y  financiera en apoyo al Desarrollo Académico</v>
      </c>
      <c r="L192" s="98" t="s">
        <v>395</v>
      </c>
    </row>
    <row r="193" spans="3:12" ht="15.75" hidden="1" thickBot="1" x14ac:dyDescent="0.3">
      <c r="C193" s="172" t="s">
        <v>59</v>
      </c>
      <c r="D193" s="163"/>
      <c r="E193" s="154">
        <v>0</v>
      </c>
      <c r="F193" s="117">
        <f>IF(E191&lt;6,"",((E191-6)/12)*(G191/E191))</f>
        <v>0</v>
      </c>
      <c r="G193" s="97">
        <f>F193</f>
        <v>0</v>
      </c>
      <c r="H193" s="164"/>
      <c r="I193" s="101" t="s">
        <v>519</v>
      </c>
      <c r="J193" s="101" t="str">
        <f>VLOOKUP(I193,Presupuesto!$B$11:$C$565,2,0)</f>
        <v>DECIMOCUARTO MES</v>
      </c>
      <c r="K193" s="98" t="str">
        <f t="shared" si="4"/>
        <v>Gestión Administrativa y  financiera en apoyo al Desarrollo Académico</v>
      </c>
      <c r="L193" s="98" t="s">
        <v>395</v>
      </c>
    </row>
    <row r="194" spans="3:12" ht="15.75" hidden="1" thickBot="1" x14ac:dyDescent="0.3">
      <c r="C194" s="137" t="s">
        <v>490</v>
      </c>
      <c r="D194" s="199"/>
      <c r="E194" s="152">
        <v>12</v>
      </c>
      <c r="F194" s="305">
        <f>HLOOKUP($C194,$BZ$2:$CM$3,2,0)</f>
        <v>13896.4</v>
      </c>
      <c r="G194" s="113">
        <f>D194*E194*F194</f>
        <v>0</v>
      </c>
      <c r="H194" s="166"/>
      <c r="I194" s="114" t="s">
        <v>496</v>
      </c>
      <c r="J194" s="114" t="str">
        <f>VLOOKUP(I194,Presupuesto!$B$11:$C$565,2,0)</f>
        <v>SUELDOS Y SALARIOS PERMANENTES</v>
      </c>
      <c r="K194" s="98" t="str">
        <f t="shared" si="4"/>
        <v>Gestión Administrativa y  financiera en apoyo al Desarrollo Académico</v>
      </c>
      <c r="L194" s="98" t="s">
        <v>395</v>
      </c>
    </row>
    <row r="195" spans="3:12" hidden="1" x14ac:dyDescent="0.25">
      <c r="C195" s="171" t="s">
        <v>58</v>
      </c>
      <c r="D195" s="163"/>
      <c r="E195" s="154">
        <v>0</v>
      </c>
      <c r="F195" s="100">
        <f>IF(E194=0,"",(G194/E194)/12*E194)</f>
        <v>0</v>
      </c>
      <c r="G195" s="97">
        <f>F195</f>
        <v>0</v>
      </c>
      <c r="H195" s="164"/>
      <c r="I195" s="116" t="s">
        <v>516</v>
      </c>
      <c r="J195" s="116" t="str">
        <f>VLOOKUP(I195,Presupuesto!$B$11:$C$565,2,0)</f>
        <v>AGUINALDO Y DECIMO CUARTO MES</v>
      </c>
      <c r="K195" s="98" t="str">
        <f t="shared" si="4"/>
        <v>Gestión Administrativa y  financiera en apoyo al Desarrollo Académico</v>
      </c>
      <c r="L195" s="98" t="s">
        <v>395</v>
      </c>
    </row>
    <row r="196" spans="3:12" ht="15.75" hidden="1" thickBot="1" x14ac:dyDescent="0.3">
      <c r="C196" s="172" t="s">
        <v>59</v>
      </c>
      <c r="D196" s="163"/>
      <c r="E196" s="154">
        <v>0</v>
      </c>
      <c r="F196" s="117">
        <f>IF(E194&lt;6,"",((E194-6)/12)*(G194/E194))</f>
        <v>0</v>
      </c>
      <c r="G196" s="97">
        <f>F196</f>
        <v>0</v>
      </c>
      <c r="H196" s="164"/>
      <c r="I196" s="101" t="s">
        <v>519</v>
      </c>
      <c r="J196" s="101" t="str">
        <f>VLOOKUP(I196,Presupuesto!$B$11:$C$565,2,0)</f>
        <v>DECIMOCUARTO MES</v>
      </c>
      <c r="K196" s="98" t="str">
        <f t="shared" si="4"/>
        <v>Gestión Administrativa y  financiera en apoyo al Desarrollo Académico</v>
      </c>
      <c r="L196" s="98" t="s">
        <v>395</v>
      </c>
    </row>
    <row r="197" spans="3:12" ht="15.75" hidden="1" thickBot="1" x14ac:dyDescent="0.3">
      <c r="C197" s="137" t="s">
        <v>491</v>
      </c>
      <c r="D197" s="199"/>
      <c r="E197" s="152">
        <v>12</v>
      </c>
      <c r="F197" s="305">
        <f>HLOOKUP($C197,$BZ$2:$CM$3,2,0)</f>
        <v>15004.09</v>
      </c>
      <c r="G197" s="113">
        <f>D197*E197*F197</f>
        <v>0</v>
      </c>
      <c r="H197" s="166"/>
      <c r="I197" s="114" t="s">
        <v>496</v>
      </c>
      <c r="J197" s="114" t="str">
        <f>VLOOKUP(I197,Presupuesto!$B$11:$C$565,2,0)</f>
        <v>SUELDOS Y SALARIOS PERMANENTES</v>
      </c>
      <c r="K197" s="98" t="str">
        <f t="shared" si="4"/>
        <v>Gestión Administrativa y  financiera en apoyo al Desarrollo Académico</v>
      </c>
      <c r="L197" s="98" t="s">
        <v>395</v>
      </c>
    </row>
    <row r="198" spans="3:12" hidden="1"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si="4"/>
        <v>Gestión Administrativa y  financiera en apoyo al Desarrollo Académico</v>
      </c>
      <c r="L198" s="98" t="s">
        <v>395</v>
      </c>
    </row>
    <row r="199" spans="3:12" ht="15.75" hidden="1"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4"/>
        <v>Gestión Administrativa y  financiera en apoyo al Desarrollo Académico</v>
      </c>
      <c r="L199" s="98" t="s">
        <v>395</v>
      </c>
    </row>
    <row r="200" spans="3:12" ht="15.75" hidden="1" thickBot="1" x14ac:dyDescent="0.3">
      <c r="C200" s="137" t="s">
        <v>492</v>
      </c>
      <c r="D200" s="199"/>
      <c r="E200" s="152">
        <v>12</v>
      </c>
      <c r="F200" s="305">
        <f>HLOOKUP($C200,$BZ$2:$CM$3,2,0)</f>
        <v>13238.9</v>
      </c>
      <c r="G200" s="113">
        <f>D200*E200*F200</f>
        <v>0</v>
      </c>
      <c r="H200" s="166"/>
      <c r="I200" s="114" t="s">
        <v>496</v>
      </c>
      <c r="J200" s="114" t="str">
        <f>VLOOKUP(I200,Presupuesto!$B$11:$C$565,2,0)</f>
        <v>SUELDOS Y SALARIOS PERMANENTES</v>
      </c>
      <c r="K200" s="98" t="str">
        <f t="shared" si="4"/>
        <v>Gestión Administrativa y  financiera en apoyo al Desarrollo Académico</v>
      </c>
      <c r="L200" s="98" t="s">
        <v>395</v>
      </c>
    </row>
    <row r="201" spans="3:12" hidden="1"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4"/>
        <v>Gestión Administrativa y  financiera en apoyo al Desarrollo Académico</v>
      </c>
      <c r="L201" s="98" t="s">
        <v>395</v>
      </c>
    </row>
    <row r="202" spans="3:12" ht="15.75" hidden="1"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4"/>
        <v>Gestión Administrativa y  financiera en apoyo al Desarrollo Académico</v>
      </c>
      <c r="L202" s="98" t="s">
        <v>395</v>
      </c>
    </row>
    <row r="203" spans="3:12" ht="15.75" hidden="1" thickBot="1" x14ac:dyDescent="0.3">
      <c r="C203" s="137" t="s">
        <v>493</v>
      </c>
      <c r="D203" s="199"/>
      <c r="E203" s="152">
        <v>12</v>
      </c>
      <c r="F203" s="305">
        <f>HLOOKUP($C203,$BZ$2:$CM$3,2,0)</f>
        <v>12356.31</v>
      </c>
      <c r="G203" s="113">
        <f>D203*E203*F203</f>
        <v>0</v>
      </c>
      <c r="H203" s="166"/>
      <c r="I203" s="114" t="s">
        <v>496</v>
      </c>
      <c r="J203" s="114" t="str">
        <f>VLOOKUP(I203,Presupuesto!$B$11:$C$565,2,0)</f>
        <v>SUELDOS Y SALARIOS PERMANENTES</v>
      </c>
      <c r="K203" s="98" t="str">
        <f t="shared" ref="K203:K220" si="5">$K$170</f>
        <v>Gestión Administrativa y  financiera en apoyo al Desarrollo Académico</v>
      </c>
      <c r="L203" s="98" t="s">
        <v>395</v>
      </c>
    </row>
    <row r="204" spans="3:12" hidden="1"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5"/>
        <v>Gestión Administrativa y  financiera en apoyo al Desarrollo Académico</v>
      </c>
      <c r="L204" s="98" t="s">
        <v>395</v>
      </c>
    </row>
    <row r="205" spans="3:12" ht="15.75" hidden="1"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5"/>
        <v>Gestión Administrativa y  financiera en apoyo al Desarrollo Académico</v>
      </c>
      <c r="L205" s="98" t="s">
        <v>395</v>
      </c>
    </row>
    <row r="206" spans="3:12" ht="15.75" hidden="1" thickBot="1" x14ac:dyDescent="0.3">
      <c r="C206" s="137" t="s">
        <v>494</v>
      </c>
      <c r="D206" s="199"/>
      <c r="E206" s="152">
        <v>12</v>
      </c>
      <c r="F206" s="305">
        <f>HLOOKUP($C206,$BZ$2:$CM$3,2,0)</f>
        <v>463.22</v>
      </c>
      <c r="G206" s="113">
        <f>D206*E206*F206</f>
        <v>0</v>
      </c>
      <c r="H206" s="166"/>
      <c r="I206" s="114" t="s">
        <v>496</v>
      </c>
      <c r="J206" s="114" t="str">
        <f>VLOOKUP(I206,Presupuesto!$B$11:$C$565,2,0)</f>
        <v>SUELDOS Y SALARIOS PERMANENTES</v>
      </c>
      <c r="K206" s="98" t="str">
        <f t="shared" si="5"/>
        <v>Gestión Administrativa y  financiera en apoyo al Desarrollo Académico</v>
      </c>
      <c r="L206" s="98" t="s">
        <v>395</v>
      </c>
    </row>
    <row r="207" spans="3:12" hidden="1"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5"/>
        <v>Gestión Administrativa y  financiera en apoyo al Desarrollo Académico</v>
      </c>
      <c r="L207" s="98" t="s">
        <v>395</v>
      </c>
    </row>
    <row r="208" spans="3:12" ht="15.75" hidden="1"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5"/>
        <v>Gestión Administrativa y  financiera en apoyo al Desarrollo Académico</v>
      </c>
      <c r="L208" s="98" t="s">
        <v>395</v>
      </c>
    </row>
    <row r="209" spans="3:12" ht="15.75" hidden="1" thickBot="1" x14ac:dyDescent="0.3">
      <c r="C209" s="137" t="s">
        <v>495</v>
      </c>
      <c r="D209" s="199"/>
      <c r="E209" s="152">
        <v>12</v>
      </c>
      <c r="F209" s="305">
        <f>HLOOKUP($C209,$BZ$2:$CM$3,2,0)</f>
        <v>2007.3</v>
      </c>
      <c r="G209" s="113">
        <f>D209*E209*F209</f>
        <v>0</v>
      </c>
      <c r="H209" s="166"/>
      <c r="I209" s="114" t="s">
        <v>496</v>
      </c>
      <c r="J209" s="114" t="str">
        <f>VLOOKUP(I209,Presupuesto!$B$11:$C$565,2,0)</f>
        <v>SUELDOS Y SALARIOS PERMANENTES</v>
      </c>
      <c r="K209" s="98" t="str">
        <f t="shared" si="5"/>
        <v>Gestión Administrativa y  financiera en apoyo al Desarrollo Académico</v>
      </c>
      <c r="L209" s="98" t="s">
        <v>395</v>
      </c>
    </row>
    <row r="210" spans="3:12" hidden="1"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5"/>
        <v>Gestión Administrativa y  financiera en apoyo al Desarrollo Académico</v>
      </c>
      <c r="L210" s="98" t="s">
        <v>395</v>
      </c>
    </row>
    <row r="211" spans="3:12" ht="15.75" hidden="1"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5"/>
        <v>Gestión Administrativa y  financiera en apoyo al Desarrollo Académico</v>
      </c>
      <c r="L211" s="98" t="s">
        <v>395</v>
      </c>
    </row>
    <row r="212" spans="3:12" ht="15.75" hidden="1" thickBot="1" x14ac:dyDescent="0.3">
      <c r="C212" s="140" t="s">
        <v>83</v>
      </c>
      <c r="D212" s="199"/>
      <c r="E212" s="152">
        <v>12</v>
      </c>
      <c r="F212" s="139">
        <v>30000</v>
      </c>
      <c r="G212" s="113">
        <f>D212*E212*F212</f>
        <v>0</v>
      </c>
      <c r="H212" s="166"/>
      <c r="I212" s="114" t="s">
        <v>564</v>
      </c>
      <c r="J212" s="114" t="str">
        <f>VLOOKUP(I212,Presupuesto!$B$11:$C$565,2,0)</f>
        <v>CONTRATOS ESPECIALES</v>
      </c>
      <c r="K212" s="98" t="str">
        <f t="shared" si="5"/>
        <v>Gestión Administrativa y  financiera en apoyo al Desarrollo Académico</v>
      </c>
      <c r="L212" s="98" t="s">
        <v>395</v>
      </c>
    </row>
    <row r="213" spans="3:12" hidden="1" x14ac:dyDescent="0.25">
      <c r="C213" s="171" t="s">
        <v>58</v>
      </c>
      <c r="D213" s="163"/>
      <c r="E213" s="154">
        <v>0</v>
      </c>
      <c r="F213" s="117">
        <f>IF(E212=0,"",(G212/E212)/12*E212)</f>
        <v>0</v>
      </c>
      <c r="G213" s="97">
        <f>F213</f>
        <v>0</v>
      </c>
      <c r="H213" s="164"/>
      <c r="I213" s="101" t="s">
        <v>564</v>
      </c>
      <c r="J213" s="101" t="str">
        <f>VLOOKUP(I213,Presupuesto!$B$11:$C$565,2,0)</f>
        <v>CONTRATOS ESPECIALES</v>
      </c>
      <c r="K213" s="98" t="str">
        <f t="shared" si="5"/>
        <v>Gestión Administrativa y  financiera en apoyo al Desarrollo Académico</v>
      </c>
      <c r="L213" s="98" t="s">
        <v>394</v>
      </c>
    </row>
    <row r="214" spans="3:12" ht="15.75" hidden="1" thickBot="1" x14ac:dyDescent="0.3">
      <c r="C214" s="172" t="s">
        <v>59</v>
      </c>
      <c r="D214" s="163"/>
      <c r="E214" s="154">
        <v>0</v>
      </c>
      <c r="F214" s="100">
        <f>IF(E212&lt;6,"",((E212-6)/12)*(G212/E212))</f>
        <v>0</v>
      </c>
      <c r="G214" s="97">
        <f>F214</f>
        <v>0</v>
      </c>
      <c r="H214" s="164"/>
      <c r="I214" s="101" t="s">
        <v>564</v>
      </c>
      <c r="J214" s="101" t="str">
        <f>VLOOKUP(I214,Presupuesto!$B$11:$C$565,2,0)</f>
        <v>CONTRATOS ESPECIALES</v>
      </c>
      <c r="K214" s="98" t="str">
        <f t="shared" si="5"/>
        <v>Gestión Administrativa y  financiera en apoyo al Desarrollo Académico</v>
      </c>
      <c r="L214" s="98" t="s">
        <v>399</v>
      </c>
    </row>
    <row r="215" spans="3:12" ht="15.75" hidden="1" thickBot="1" x14ac:dyDescent="0.3">
      <c r="C215" s="140" t="s">
        <v>60</v>
      </c>
      <c r="D215" s="199"/>
      <c r="E215" s="152">
        <v>12</v>
      </c>
      <c r="F215" s="118">
        <v>30000</v>
      </c>
      <c r="G215" s="113">
        <f>D215*E215*F215</f>
        <v>0</v>
      </c>
      <c r="H215" s="166"/>
      <c r="I215" s="114" t="s">
        <v>705</v>
      </c>
      <c r="J215" s="114" t="str">
        <f>VLOOKUP(I215,Presupuesto!$B$11:$C$565,2,0)</f>
        <v>OTROS SERVICIOS TECNICOS Y PROFESIONALES</v>
      </c>
      <c r="K215" s="98" t="str">
        <f t="shared" si="5"/>
        <v>Gestión Administrativa y  financiera en apoyo al Desarrollo Académico</v>
      </c>
      <c r="L215" s="98" t="s">
        <v>394</v>
      </c>
    </row>
    <row r="216" spans="3:12" hidden="1" x14ac:dyDescent="0.25">
      <c r="C216" s="171" t="s">
        <v>58</v>
      </c>
      <c r="D216" s="163"/>
      <c r="E216" s="154">
        <v>0</v>
      </c>
      <c r="F216" s="100">
        <v>0</v>
      </c>
      <c r="G216" s="97">
        <f>F216</f>
        <v>0</v>
      </c>
      <c r="H216" s="164"/>
      <c r="I216" s="101" t="s">
        <v>705</v>
      </c>
      <c r="J216" s="101" t="str">
        <f>VLOOKUP(I216,Presupuesto!$B$11:$C$565,2,0)</f>
        <v>OTROS SERVICIOS TECNICOS Y PROFESIONALES</v>
      </c>
      <c r="K216" s="98" t="str">
        <f t="shared" si="5"/>
        <v>Gestión Administrativa y  financiera en apoyo al Desarrollo Académico</v>
      </c>
      <c r="L216" s="98" t="s">
        <v>394</v>
      </c>
    </row>
    <row r="217" spans="3:12" ht="15.75" hidden="1" thickBot="1" x14ac:dyDescent="0.3">
      <c r="C217" s="172" t="s">
        <v>59</v>
      </c>
      <c r="D217" s="163"/>
      <c r="E217" s="154">
        <v>0</v>
      </c>
      <c r="F217" s="100">
        <v>0</v>
      </c>
      <c r="G217" s="97">
        <f>F217</f>
        <v>0</v>
      </c>
      <c r="H217" s="164"/>
      <c r="I217" s="101" t="s">
        <v>705</v>
      </c>
      <c r="J217" s="101" t="str">
        <f>VLOOKUP(I217,Presupuesto!$B$11:$C$565,2,0)</f>
        <v>OTROS SERVICIOS TECNICOS Y PROFESIONALES</v>
      </c>
      <c r="K217" s="98" t="str">
        <f t="shared" si="5"/>
        <v>Gestión Administrativa y  financiera en apoyo al Desarrollo Académico</v>
      </c>
      <c r="L217" s="98" t="s">
        <v>394</v>
      </c>
    </row>
    <row r="218" spans="3:12" ht="15.75" thickBot="1" x14ac:dyDescent="0.3">
      <c r="C218" s="140" t="s">
        <v>61</v>
      </c>
      <c r="D218" s="199">
        <v>4</v>
      </c>
      <c r="E218" s="152">
        <v>12</v>
      </c>
      <c r="F218" s="118">
        <v>11000</v>
      </c>
      <c r="G218" s="113">
        <f>D218*E218*F218</f>
        <v>528000</v>
      </c>
      <c r="H218" s="166" t="s">
        <v>1509</v>
      </c>
      <c r="I218" s="114" t="s">
        <v>496</v>
      </c>
      <c r="J218" s="114" t="str">
        <f>VLOOKUP(I218,[1]Presupuesto!$B$11:$C$565,2,0)</f>
        <v>SUELDOS Y SALARIOS PERMANENTES</v>
      </c>
      <c r="K218" s="98" t="str">
        <f t="shared" si="5"/>
        <v>Gestión Administrativa y  financiera en apoyo al Desarrollo Académico</v>
      </c>
      <c r="L218" s="98" t="s">
        <v>394</v>
      </c>
    </row>
    <row r="219" spans="3:12" x14ac:dyDescent="0.25">
      <c r="C219" s="171" t="s">
        <v>58</v>
      </c>
      <c r="D219" s="169"/>
      <c r="E219" s="131">
        <v>0</v>
      </c>
      <c r="F219" s="119">
        <f>IF(E218=0,"",(G218/E218)/12*E218)</f>
        <v>44000</v>
      </c>
      <c r="G219" s="120">
        <f>F219</f>
        <v>44000</v>
      </c>
      <c r="H219" s="164" t="s">
        <v>1509</v>
      </c>
      <c r="I219" s="101" t="s">
        <v>516</v>
      </c>
      <c r="J219" s="101" t="str">
        <f>VLOOKUP(I219,[1]Presupuesto!$B$11:$C$565,2,0)</f>
        <v>AGUINALDO Y DECIMO CUARTO MES</v>
      </c>
      <c r="K219" s="98" t="str">
        <f t="shared" si="5"/>
        <v>Gestión Administrativa y  financiera en apoyo al Desarrollo Académico</v>
      </c>
      <c r="L219" s="98" t="s">
        <v>404</v>
      </c>
    </row>
    <row r="220" spans="3:12" ht="15.75" thickBot="1" x14ac:dyDescent="0.3">
      <c r="C220" s="173" t="s">
        <v>59</v>
      </c>
      <c r="D220" s="162"/>
      <c r="E220" s="132">
        <v>0</v>
      </c>
      <c r="F220" s="105">
        <v>44000</v>
      </c>
      <c r="G220" s="105">
        <f>F220</f>
        <v>44000</v>
      </c>
      <c r="H220" s="162" t="s">
        <v>1509</v>
      </c>
      <c r="I220" s="106" t="s">
        <v>519</v>
      </c>
      <c r="J220" s="124" t="str">
        <f>VLOOKUP(I220,[1]Presupuesto!$B$11:$C$565,2,0)</f>
        <v>DECIMOCUARTO MES</v>
      </c>
      <c r="K220" s="106" t="str">
        <f t="shared" si="5"/>
        <v>Gestión Administrativa y  financiera en apoyo al Desarrollo Académico</v>
      </c>
      <c r="L220" s="98" t="s">
        <v>398</v>
      </c>
    </row>
    <row r="222" spans="3:12" ht="15.75" thickBot="1" x14ac:dyDescent="0.3">
      <c r="K222" s="153"/>
    </row>
    <row r="223" spans="3:12" ht="15.75" thickBot="1" x14ac:dyDescent="0.3">
      <c r="C223" s="69" t="s">
        <v>43</v>
      </c>
      <c r="D223" s="30">
        <f>SUM(G230:G280)</f>
        <v>1470000</v>
      </c>
      <c r="E223" s="93"/>
      <c r="F223" s="93"/>
      <c r="G223" s="93"/>
      <c r="H223" s="76"/>
      <c r="I223" s="76"/>
      <c r="J223" s="76"/>
      <c r="K223" s="153"/>
    </row>
    <row r="224" spans="3:12" x14ac:dyDescent="0.25">
      <c r="D224" s="31"/>
      <c r="E224" s="93"/>
      <c r="F224" s="93"/>
      <c r="G224" s="93"/>
      <c r="H224" s="76"/>
      <c r="I224" s="76"/>
      <c r="J224" s="76"/>
      <c r="K224" s="153"/>
    </row>
    <row r="225" spans="3:12" x14ac:dyDescent="0.25">
      <c r="D225" s="31"/>
      <c r="E225" s="93"/>
      <c r="F225" s="93"/>
      <c r="G225" s="93"/>
      <c r="H225" s="76"/>
      <c r="I225" s="76"/>
      <c r="J225" s="76"/>
      <c r="K225" s="153"/>
    </row>
    <row r="226" spans="3:12" ht="15.75" x14ac:dyDescent="0.25">
      <c r="C226" s="202" t="s">
        <v>392</v>
      </c>
      <c r="D226" s="370" t="s">
        <v>1608</v>
      </c>
      <c r="E226" s="93"/>
      <c r="F226" s="93"/>
      <c r="G226" s="93"/>
      <c r="H226" s="76"/>
      <c r="I226" s="76"/>
      <c r="J226" s="76"/>
      <c r="K226" s="153"/>
    </row>
    <row r="227" spans="3:12" ht="18.75" x14ac:dyDescent="0.25">
      <c r="C227" s="211" t="str">
        <f>IFERROR(VLOOKUP(D226,'1. Desarrollo e Innov. Curricu.'!$E:$F,2,FALSE),IFERROR(VLOOKUP(D226,'2. Investigación Científica'!$E:$F,2,FALSE),IFERROR(VLOOKUP(D226,'3. Vinculación Univ. Sociedad'!$E:$F,2,FALSE),IFERROR(VLOOKUP(D226,'4. Docencia y Profesorado Univ.'!$E:$F,2,FALSE),IFERROR(VLOOKUP(D226,'5. Estudiantes y Graduados'!$E:$F,2,FALSE),IFERROR(VLOOKUP(D226,'11. Gestion Administrativa'!$E:$F,2,FALSE),IFERROR(VLOOKUP(D226,'13. Gestión Académica'!$E:$F,2,FALSE),IFERROR(VLOOKUP(D226,'8. Asegura. de la Calid. y M'!$E:$F,2,FALSE),IFERROR(VLOOKUP(D226,'6. Gestión del Conocimiento'!$E:$F,2,FALSE),IFERROR(VLOOKUP(D226,'15. Gobernabilidad y Proceso...'!$E:$F,2,FALSE),IFERROR(VLOOKUP(D226,'12. Gestión del Talento Humano'!$E:$F,2,FALSE),IFERROR(VLOOKUP(D226,'14. Internacional... de la E.S.'!$E:$F,2,FALSE),IFERROR(VLOOKUP(D226,'10. Posgrado'!$E:$F,2,FALSE),IFERROR(VLOOKUP(D226,'17. Gestión TIC'!$E:$F,2,FALSE),IFERROR(VLOOKUP(D226,'16. Desa. del Sistema Educ.Sup.'!$E:$F,2,FALSE),IFERROR(VLOOKUP(D226,'9. Cultura de Inno. Insti...'!$E:$F,2,FALSE),VLOOKUP(D226,'7. Lo Esencial de la Reforma U.'!$E:$F,2,0)))))))))))))))))</f>
        <v>Contratación de servicios profesionales</v>
      </c>
      <c r="D227" s="31"/>
      <c r="E227" s="93"/>
      <c r="F227" s="93"/>
      <c r="G227" s="93"/>
      <c r="H227" s="76"/>
      <c r="I227" s="76"/>
      <c r="J227" s="76"/>
      <c r="K227" s="153"/>
    </row>
    <row r="228" spans="3:12" ht="15.75" thickBot="1" x14ac:dyDescent="0.3">
      <c r="C228" s="177"/>
      <c r="D228" s="31"/>
      <c r="E228" s="93"/>
      <c r="F228" s="93"/>
      <c r="G228" s="93"/>
      <c r="H228" s="76"/>
      <c r="I228" s="76"/>
      <c r="J228" s="76"/>
      <c r="K228" s="153"/>
    </row>
    <row r="229" spans="3:12" ht="30.75" thickBot="1" x14ac:dyDescent="0.3">
      <c r="C229" s="134" t="s">
        <v>44</v>
      </c>
      <c r="D229" s="138" t="s">
        <v>55</v>
      </c>
      <c r="E229" s="170" t="s">
        <v>56</v>
      </c>
      <c r="F229" s="138" t="s">
        <v>57</v>
      </c>
      <c r="G229" s="135" t="s">
        <v>27</v>
      </c>
      <c r="H229" s="133" t="s">
        <v>131</v>
      </c>
      <c r="I229" s="136" t="s">
        <v>46</v>
      </c>
      <c r="J229" s="136" t="s">
        <v>132</v>
      </c>
      <c r="K229" s="136" t="s">
        <v>410</v>
      </c>
      <c r="L229" s="136" t="s">
        <v>411</v>
      </c>
    </row>
    <row r="230" spans="3:12" ht="15.75" hidden="1" thickBot="1" x14ac:dyDescent="0.3">
      <c r="C230" s="137" t="s">
        <v>482</v>
      </c>
      <c r="D230" s="199"/>
      <c r="E230" s="152">
        <v>12</v>
      </c>
      <c r="F230" s="305">
        <f>HLOOKUP($C230,$BZ$2:$CM$3,2,0)</f>
        <v>43674.39</v>
      </c>
      <c r="G230" s="113">
        <f>D230*E230*F230</f>
        <v>0</v>
      </c>
      <c r="H230" s="166"/>
      <c r="I230" s="114" t="s">
        <v>496</v>
      </c>
      <c r="J230" s="114" t="str">
        <f>VLOOKUP(I230,Presupuesto!$B$11:$C$565,2,0)</f>
        <v>SUELDOS Y SALARIOS PERMANENTES</v>
      </c>
      <c r="K230" s="219" t="s">
        <v>1364</v>
      </c>
      <c r="L230" s="98" t="s">
        <v>394</v>
      </c>
    </row>
    <row r="231" spans="3:12" hidden="1"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ref="K231:K262" si="6">$K$230</f>
        <v>Gestión Administrativa y  financiera en apoyo al Desarrollo Académico</v>
      </c>
      <c r="L231" s="98" t="s">
        <v>412</v>
      </c>
    </row>
    <row r="232" spans="3:12" ht="15.75" hidden="1"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6"/>
        <v>Gestión Administrativa y  financiera en apoyo al Desarrollo Académico</v>
      </c>
      <c r="L232" s="98" t="s">
        <v>395</v>
      </c>
    </row>
    <row r="233" spans="3:12" ht="15.75" hidden="1" thickBot="1" x14ac:dyDescent="0.3">
      <c r="C233" s="137" t="s">
        <v>483</v>
      </c>
      <c r="D233" s="199"/>
      <c r="E233" s="152">
        <v>12</v>
      </c>
      <c r="F233" s="305">
        <f>HLOOKUP($C233,$BZ$2:$CM$3,2,0)</f>
        <v>39703.99</v>
      </c>
      <c r="G233" s="113">
        <f>D233*E233*F233</f>
        <v>0</v>
      </c>
      <c r="H233" s="166"/>
      <c r="I233" s="114" t="s">
        <v>496</v>
      </c>
      <c r="J233" s="114" t="str">
        <f>VLOOKUP(I233,Presupuesto!$B$11:$C$565,2,0)</f>
        <v>SUELDOS Y SALARIOS PERMANENTES</v>
      </c>
      <c r="K233" s="98" t="str">
        <f t="shared" si="6"/>
        <v>Gestión Administrativa y  financiera en apoyo al Desarrollo Académico</v>
      </c>
      <c r="L233" s="98" t="s">
        <v>395</v>
      </c>
    </row>
    <row r="234" spans="3:12" hidden="1"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6"/>
        <v>Gestión Administrativa y  financiera en apoyo al Desarrollo Académico</v>
      </c>
      <c r="L234" s="98" t="s">
        <v>395</v>
      </c>
    </row>
    <row r="235" spans="3:12" ht="15.75" hidden="1"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6"/>
        <v>Gestión Administrativa y  financiera en apoyo al Desarrollo Académico</v>
      </c>
      <c r="L235" s="98" t="s">
        <v>395</v>
      </c>
    </row>
    <row r="236" spans="3:12" ht="15.75" hidden="1" thickBot="1" x14ac:dyDescent="0.3">
      <c r="C236" s="137" t="s">
        <v>484</v>
      </c>
      <c r="D236" s="199"/>
      <c r="E236" s="152">
        <v>12</v>
      </c>
      <c r="F236" s="305">
        <f>HLOOKUP($C236,$BZ$2:$CM$3,2,0)</f>
        <v>35733.589999999997</v>
      </c>
      <c r="G236" s="113">
        <f>D236*E236*F236</f>
        <v>0</v>
      </c>
      <c r="H236" s="166"/>
      <c r="I236" s="114" t="s">
        <v>496</v>
      </c>
      <c r="J236" s="114" t="str">
        <f>VLOOKUP(I236,Presupuesto!$B$11:$C$565,2,0)</f>
        <v>SUELDOS Y SALARIOS PERMANENTES</v>
      </c>
      <c r="K236" s="98" t="str">
        <f t="shared" si="6"/>
        <v>Gestión Administrativa y  financiera en apoyo al Desarrollo Académico</v>
      </c>
      <c r="L236" s="98" t="s">
        <v>395</v>
      </c>
    </row>
    <row r="237" spans="3:12" hidden="1"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6"/>
        <v>Gestión Administrativa y  financiera en apoyo al Desarrollo Académico</v>
      </c>
      <c r="L237" s="98" t="s">
        <v>395</v>
      </c>
    </row>
    <row r="238" spans="3:12" ht="15.75" hidden="1"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6"/>
        <v>Gestión Administrativa y  financiera en apoyo al Desarrollo Académico</v>
      </c>
      <c r="L238" s="98" t="s">
        <v>395</v>
      </c>
    </row>
    <row r="239" spans="3:12" ht="15.75" hidden="1" thickBot="1" x14ac:dyDescent="0.3">
      <c r="C239" s="137" t="s">
        <v>485</v>
      </c>
      <c r="D239" s="199"/>
      <c r="E239" s="152">
        <v>12</v>
      </c>
      <c r="F239" s="305">
        <f>HLOOKUP($C239,$BZ$2:$CM$3,2,0)</f>
        <v>31763.19</v>
      </c>
      <c r="G239" s="113">
        <f>D239*E239*F239</f>
        <v>0</v>
      </c>
      <c r="H239" s="166"/>
      <c r="I239" s="114" t="s">
        <v>496</v>
      </c>
      <c r="J239" s="114" t="str">
        <f>VLOOKUP(I239,Presupuesto!$B$11:$C$565,2,0)</f>
        <v>SUELDOS Y SALARIOS PERMANENTES</v>
      </c>
      <c r="K239" s="98" t="str">
        <f t="shared" si="6"/>
        <v>Gestión Administrativa y  financiera en apoyo al Desarrollo Académico</v>
      </c>
      <c r="L239" s="98" t="s">
        <v>395</v>
      </c>
    </row>
    <row r="240" spans="3:12" hidden="1" x14ac:dyDescent="0.25">
      <c r="C240" s="171" t="s">
        <v>58</v>
      </c>
      <c r="D240" s="163"/>
      <c r="E240" s="154">
        <v>0</v>
      </c>
      <c r="F240" s="100">
        <f>IF(E239=0,"",(G239/E239)/12*E239)</f>
        <v>0</v>
      </c>
      <c r="G240" s="97">
        <f>F240</f>
        <v>0</v>
      </c>
      <c r="H240" s="164"/>
      <c r="I240" s="116" t="s">
        <v>516</v>
      </c>
      <c r="J240" s="116" t="str">
        <f>VLOOKUP(I240,Presupuesto!$B$11:$C$565,2,0)</f>
        <v>AGUINALDO Y DECIMO CUARTO MES</v>
      </c>
      <c r="K240" s="98" t="str">
        <f t="shared" si="6"/>
        <v>Gestión Administrativa y  financiera en apoyo al Desarrollo Académico</v>
      </c>
      <c r="L240" s="98" t="s">
        <v>395</v>
      </c>
    </row>
    <row r="241" spans="3:12" ht="15.75" hidden="1" thickBot="1" x14ac:dyDescent="0.3">
      <c r="C241" s="172" t="s">
        <v>59</v>
      </c>
      <c r="D241" s="163"/>
      <c r="E241" s="154">
        <v>0</v>
      </c>
      <c r="F241" s="117">
        <f>IF(E239&lt;6,"",((E239-6)/12)*(G239/E239))</f>
        <v>0</v>
      </c>
      <c r="G241" s="97">
        <f>F241</f>
        <v>0</v>
      </c>
      <c r="H241" s="164"/>
      <c r="I241" s="101" t="s">
        <v>519</v>
      </c>
      <c r="J241" s="101" t="str">
        <f>VLOOKUP(I241,Presupuesto!$B$11:$C$565,2,0)</f>
        <v>DECIMOCUARTO MES</v>
      </c>
      <c r="K241" s="98" t="str">
        <f t="shared" si="6"/>
        <v>Gestión Administrativa y  financiera en apoyo al Desarrollo Académico</v>
      </c>
      <c r="L241" s="98" t="s">
        <v>395</v>
      </c>
    </row>
    <row r="242" spans="3:12" ht="15.75" hidden="1" thickBot="1" x14ac:dyDescent="0.3">
      <c r="C242" s="137" t="s">
        <v>486</v>
      </c>
      <c r="D242" s="199"/>
      <c r="E242" s="152">
        <v>12</v>
      </c>
      <c r="F242" s="305">
        <f>HLOOKUP($C242,$BZ$2:$CM$3,2,0)</f>
        <v>29777.99</v>
      </c>
      <c r="G242" s="113">
        <f>D242*E242*F242</f>
        <v>0</v>
      </c>
      <c r="H242" s="166"/>
      <c r="I242" s="114" t="s">
        <v>496</v>
      </c>
      <c r="J242" s="114" t="str">
        <f>VLOOKUP(I242,Presupuesto!$B$11:$C$565,2,0)</f>
        <v>SUELDOS Y SALARIOS PERMANENTES</v>
      </c>
      <c r="K242" s="98" t="str">
        <f t="shared" si="6"/>
        <v>Gestión Administrativa y  financiera en apoyo al Desarrollo Académico</v>
      </c>
      <c r="L242" s="98" t="s">
        <v>395</v>
      </c>
    </row>
    <row r="243" spans="3:12" hidden="1" x14ac:dyDescent="0.25">
      <c r="C243" s="171" t="s">
        <v>58</v>
      </c>
      <c r="D243" s="163"/>
      <c r="E243" s="154">
        <v>0</v>
      </c>
      <c r="F243" s="100">
        <f>IF(E242=0,"",(G242/E242)/12*E242)</f>
        <v>0</v>
      </c>
      <c r="G243" s="97">
        <f>F243</f>
        <v>0</v>
      </c>
      <c r="H243" s="164"/>
      <c r="I243" s="116" t="s">
        <v>516</v>
      </c>
      <c r="J243" s="116" t="str">
        <f>VLOOKUP(I243,Presupuesto!$B$11:$C$565,2,0)</f>
        <v>AGUINALDO Y DECIMO CUARTO MES</v>
      </c>
      <c r="K243" s="98" t="str">
        <f t="shared" si="6"/>
        <v>Gestión Administrativa y  financiera en apoyo al Desarrollo Académico</v>
      </c>
      <c r="L243" s="98" t="s">
        <v>395</v>
      </c>
    </row>
    <row r="244" spans="3:12" ht="15.75" hidden="1" thickBot="1" x14ac:dyDescent="0.3">
      <c r="C244" s="172" t="s">
        <v>59</v>
      </c>
      <c r="D244" s="163"/>
      <c r="E244" s="154">
        <v>0</v>
      </c>
      <c r="F244" s="117">
        <f>IF(E242&lt;6,"",((E242-6)/12)*(G242/E242))</f>
        <v>0</v>
      </c>
      <c r="G244" s="97">
        <f>F244</f>
        <v>0</v>
      </c>
      <c r="H244" s="164"/>
      <c r="I244" s="101" t="s">
        <v>519</v>
      </c>
      <c r="J244" s="101" t="str">
        <f>VLOOKUP(I244,Presupuesto!$B$11:$C$565,2,0)</f>
        <v>DECIMOCUARTO MES</v>
      </c>
      <c r="K244" s="98" t="str">
        <f t="shared" si="6"/>
        <v>Gestión Administrativa y  financiera en apoyo al Desarrollo Académico</v>
      </c>
      <c r="L244" s="98" t="s">
        <v>395</v>
      </c>
    </row>
    <row r="245" spans="3:12" ht="15.75" hidden="1" thickBot="1" x14ac:dyDescent="0.3">
      <c r="C245" s="137" t="s">
        <v>487</v>
      </c>
      <c r="D245" s="199"/>
      <c r="E245" s="152">
        <v>12</v>
      </c>
      <c r="F245" s="305">
        <f>HLOOKUP($C245,$BZ$2:$CM$3,2,0)</f>
        <v>27792.79</v>
      </c>
      <c r="G245" s="113">
        <f>D245*E245*F245</f>
        <v>0</v>
      </c>
      <c r="H245" s="166"/>
      <c r="I245" s="114" t="s">
        <v>496</v>
      </c>
      <c r="J245" s="114" t="str">
        <f>VLOOKUP(I245,Presupuesto!$B$11:$C$565,2,0)</f>
        <v>SUELDOS Y SALARIOS PERMANENTES</v>
      </c>
      <c r="K245" s="98" t="str">
        <f t="shared" si="6"/>
        <v>Gestión Administrativa y  financiera en apoyo al Desarrollo Académico</v>
      </c>
      <c r="L245" s="98" t="s">
        <v>395</v>
      </c>
    </row>
    <row r="246" spans="3:12" hidden="1" x14ac:dyDescent="0.25">
      <c r="C246" s="171" t="s">
        <v>58</v>
      </c>
      <c r="D246" s="163"/>
      <c r="E246" s="154">
        <v>0</v>
      </c>
      <c r="F246" s="100">
        <f>IF(E245=0,"",(G245/E245)/12*E245)</f>
        <v>0</v>
      </c>
      <c r="G246" s="97">
        <f>F246</f>
        <v>0</v>
      </c>
      <c r="H246" s="164"/>
      <c r="I246" s="116" t="s">
        <v>516</v>
      </c>
      <c r="J246" s="116" t="str">
        <f>VLOOKUP(I246,Presupuesto!$B$11:$C$565,2,0)</f>
        <v>AGUINALDO Y DECIMO CUARTO MES</v>
      </c>
      <c r="K246" s="98" t="str">
        <f t="shared" si="6"/>
        <v>Gestión Administrativa y  financiera en apoyo al Desarrollo Académico</v>
      </c>
      <c r="L246" s="98" t="s">
        <v>395</v>
      </c>
    </row>
    <row r="247" spans="3:12" ht="15.75" hidden="1" thickBot="1" x14ac:dyDescent="0.3">
      <c r="C247" s="172" t="s">
        <v>59</v>
      </c>
      <c r="D247" s="163"/>
      <c r="E247" s="154">
        <v>0</v>
      </c>
      <c r="F247" s="117">
        <f>IF(E245&lt;6,"",((E245-6)/12)*(G245/E245))</f>
        <v>0</v>
      </c>
      <c r="G247" s="97">
        <f>F247</f>
        <v>0</v>
      </c>
      <c r="H247" s="164"/>
      <c r="I247" s="101" t="s">
        <v>519</v>
      </c>
      <c r="J247" s="101" t="str">
        <f>VLOOKUP(I247,Presupuesto!$B$11:$C$565,2,0)</f>
        <v>DECIMOCUARTO MES</v>
      </c>
      <c r="K247" s="98" t="str">
        <f t="shared" si="6"/>
        <v>Gestión Administrativa y  financiera en apoyo al Desarrollo Académico</v>
      </c>
      <c r="L247" s="98" t="s">
        <v>395</v>
      </c>
    </row>
    <row r="248" spans="3:12" ht="15.75" hidden="1" thickBot="1" x14ac:dyDescent="0.3">
      <c r="C248" s="137" t="s">
        <v>488</v>
      </c>
      <c r="D248" s="199"/>
      <c r="E248" s="152">
        <v>12</v>
      </c>
      <c r="F248" s="305">
        <f>HLOOKUP($C248,$BZ$2:$CM$3,2,0)</f>
        <v>18859.39</v>
      </c>
      <c r="G248" s="113">
        <f>D248*E248*F248</f>
        <v>0</v>
      </c>
      <c r="H248" s="166"/>
      <c r="I248" s="114" t="s">
        <v>496</v>
      </c>
      <c r="J248" s="114" t="str">
        <f>VLOOKUP(I248,Presupuesto!$B$11:$C$565,2,0)</f>
        <v>SUELDOS Y SALARIOS PERMANENTES</v>
      </c>
      <c r="K248" s="98" t="str">
        <f t="shared" si="6"/>
        <v>Gestión Administrativa y  financiera en apoyo al Desarrollo Académico</v>
      </c>
      <c r="L248" s="98" t="s">
        <v>395</v>
      </c>
    </row>
    <row r="249" spans="3:12" hidden="1" x14ac:dyDescent="0.25">
      <c r="C249" s="171" t="s">
        <v>58</v>
      </c>
      <c r="D249" s="163"/>
      <c r="E249" s="154">
        <v>0</v>
      </c>
      <c r="F249" s="100">
        <f>IF(E248=0,"",(G248/E248)/12*E248)</f>
        <v>0</v>
      </c>
      <c r="G249" s="97">
        <f>F249</f>
        <v>0</v>
      </c>
      <c r="H249" s="164"/>
      <c r="I249" s="116" t="s">
        <v>516</v>
      </c>
      <c r="J249" s="116" t="str">
        <f>VLOOKUP(I249,Presupuesto!$B$11:$C$565,2,0)</f>
        <v>AGUINALDO Y DECIMO CUARTO MES</v>
      </c>
      <c r="K249" s="98" t="str">
        <f t="shared" si="6"/>
        <v>Gestión Administrativa y  financiera en apoyo al Desarrollo Académico</v>
      </c>
      <c r="L249" s="98" t="s">
        <v>395</v>
      </c>
    </row>
    <row r="250" spans="3:12" ht="15.75" hidden="1" thickBot="1" x14ac:dyDescent="0.3">
      <c r="C250" s="172" t="s">
        <v>59</v>
      </c>
      <c r="D250" s="163"/>
      <c r="E250" s="154">
        <v>0</v>
      </c>
      <c r="F250" s="117">
        <f>IF(E248&lt;6,"",((E248-6)/12)*(G248/E248))</f>
        <v>0</v>
      </c>
      <c r="G250" s="97">
        <f>F250</f>
        <v>0</v>
      </c>
      <c r="H250" s="164"/>
      <c r="I250" s="101" t="s">
        <v>519</v>
      </c>
      <c r="J250" s="101" t="str">
        <f>VLOOKUP(I250,Presupuesto!$B$11:$C$565,2,0)</f>
        <v>DECIMOCUARTO MES</v>
      </c>
      <c r="K250" s="98" t="str">
        <f t="shared" si="6"/>
        <v>Gestión Administrativa y  financiera en apoyo al Desarrollo Académico</v>
      </c>
      <c r="L250" s="98" t="s">
        <v>395</v>
      </c>
    </row>
    <row r="251" spans="3:12" ht="15.75" hidden="1" thickBot="1" x14ac:dyDescent="0.3">
      <c r="C251" s="137" t="s">
        <v>489</v>
      </c>
      <c r="D251" s="199"/>
      <c r="E251" s="152">
        <v>12</v>
      </c>
      <c r="F251" s="305">
        <f>HLOOKUP($C251,$BZ$2:$CM$3,2,0)</f>
        <v>17866.8</v>
      </c>
      <c r="G251" s="113">
        <f>D251*E251*F251</f>
        <v>0</v>
      </c>
      <c r="H251" s="166"/>
      <c r="I251" s="114" t="s">
        <v>496</v>
      </c>
      <c r="J251" s="114" t="str">
        <f>VLOOKUP(I251,Presupuesto!$B$11:$C$565,2,0)</f>
        <v>SUELDOS Y SALARIOS PERMANENTES</v>
      </c>
      <c r="K251" s="98" t="str">
        <f t="shared" si="6"/>
        <v>Gestión Administrativa y  financiera en apoyo al Desarrollo Académico</v>
      </c>
      <c r="L251" s="98" t="s">
        <v>395</v>
      </c>
    </row>
    <row r="252" spans="3:12" hidden="1" x14ac:dyDescent="0.25">
      <c r="C252" s="171" t="s">
        <v>58</v>
      </c>
      <c r="D252" s="163"/>
      <c r="E252" s="154">
        <v>0</v>
      </c>
      <c r="F252" s="100">
        <f>IF(E251=0,"",(G251/E251)/12*E251)</f>
        <v>0</v>
      </c>
      <c r="G252" s="97">
        <f>F252</f>
        <v>0</v>
      </c>
      <c r="H252" s="164"/>
      <c r="I252" s="116" t="s">
        <v>516</v>
      </c>
      <c r="J252" s="116" t="str">
        <f>VLOOKUP(I252,Presupuesto!$B$11:$C$565,2,0)</f>
        <v>AGUINALDO Y DECIMO CUARTO MES</v>
      </c>
      <c r="K252" s="98" t="str">
        <f t="shared" si="6"/>
        <v>Gestión Administrativa y  financiera en apoyo al Desarrollo Académico</v>
      </c>
      <c r="L252" s="98" t="s">
        <v>395</v>
      </c>
    </row>
    <row r="253" spans="3:12" ht="15.75" hidden="1" thickBot="1" x14ac:dyDescent="0.3">
      <c r="C253" s="172" t="s">
        <v>59</v>
      </c>
      <c r="D253" s="163"/>
      <c r="E253" s="154">
        <v>0</v>
      </c>
      <c r="F253" s="117">
        <f>IF(E251&lt;6,"",((E251-6)/12)*(G251/E251))</f>
        <v>0</v>
      </c>
      <c r="G253" s="97">
        <f>F253</f>
        <v>0</v>
      </c>
      <c r="H253" s="164"/>
      <c r="I253" s="101" t="s">
        <v>519</v>
      </c>
      <c r="J253" s="101" t="str">
        <f>VLOOKUP(I253,Presupuesto!$B$11:$C$565,2,0)</f>
        <v>DECIMOCUARTO MES</v>
      </c>
      <c r="K253" s="98" t="str">
        <f t="shared" si="6"/>
        <v>Gestión Administrativa y  financiera en apoyo al Desarrollo Académico</v>
      </c>
      <c r="L253" s="98" t="s">
        <v>395</v>
      </c>
    </row>
    <row r="254" spans="3:12" ht="15.75" hidden="1" thickBot="1" x14ac:dyDescent="0.3">
      <c r="C254" s="137" t="s">
        <v>490</v>
      </c>
      <c r="D254" s="199"/>
      <c r="E254" s="152">
        <v>12</v>
      </c>
      <c r="F254" s="305">
        <f>HLOOKUP($C254,$BZ$2:$CM$3,2,0)</f>
        <v>13896.4</v>
      </c>
      <c r="G254" s="113">
        <f>D254*E254*F254</f>
        <v>0</v>
      </c>
      <c r="H254" s="166"/>
      <c r="I254" s="114" t="s">
        <v>496</v>
      </c>
      <c r="J254" s="114" t="str">
        <f>VLOOKUP(I254,Presupuesto!$B$11:$C$565,2,0)</f>
        <v>SUELDOS Y SALARIOS PERMANENTES</v>
      </c>
      <c r="K254" s="98" t="str">
        <f t="shared" si="6"/>
        <v>Gestión Administrativa y  financiera en apoyo al Desarrollo Académico</v>
      </c>
      <c r="L254" s="98" t="s">
        <v>395</v>
      </c>
    </row>
    <row r="255" spans="3:12" hidden="1" x14ac:dyDescent="0.25">
      <c r="C255" s="171" t="s">
        <v>58</v>
      </c>
      <c r="D255" s="163"/>
      <c r="E255" s="154">
        <v>0</v>
      </c>
      <c r="F255" s="100">
        <f>IF(E254=0,"",(G254/E254)/12*E254)</f>
        <v>0</v>
      </c>
      <c r="G255" s="97">
        <f>F255</f>
        <v>0</v>
      </c>
      <c r="H255" s="164"/>
      <c r="I255" s="116" t="s">
        <v>516</v>
      </c>
      <c r="J255" s="116" t="str">
        <f>VLOOKUP(I255,Presupuesto!$B$11:$C$565,2,0)</f>
        <v>AGUINALDO Y DECIMO CUARTO MES</v>
      </c>
      <c r="K255" s="98" t="str">
        <f t="shared" si="6"/>
        <v>Gestión Administrativa y  financiera en apoyo al Desarrollo Académico</v>
      </c>
      <c r="L255" s="98" t="s">
        <v>395</v>
      </c>
    </row>
    <row r="256" spans="3:12" ht="15.75" hidden="1" thickBot="1" x14ac:dyDescent="0.3">
      <c r="C256" s="172" t="s">
        <v>59</v>
      </c>
      <c r="D256" s="163"/>
      <c r="E256" s="154">
        <v>0</v>
      </c>
      <c r="F256" s="117">
        <f>IF(E254&lt;6,"",((E254-6)/12)*(G254/E254))</f>
        <v>0</v>
      </c>
      <c r="G256" s="97">
        <f>F256</f>
        <v>0</v>
      </c>
      <c r="H256" s="164"/>
      <c r="I256" s="101" t="s">
        <v>519</v>
      </c>
      <c r="J256" s="101" t="str">
        <f>VLOOKUP(I256,Presupuesto!$B$11:$C$565,2,0)</f>
        <v>DECIMOCUARTO MES</v>
      </c>
      <c r="K256" s="98" t="str">
        <f t="shared" si="6"/>
        <v>Gestión Administrativa y  financiera en apoyo al Desarrollo Académico</v>
      </c>
      <c r="L256" s="98" t="s">
        <v>395</v>
      </c>
    </row>
    <row r="257" spans="3:12" ht="15.75" hidden="1" thickBot="1" x14ac:dyDescent="0.3">
      <c r="C257" s="137" t="s">
        <v>491</v>
      </c>
      <c r="D257" s="199"/>
      <c r="E257" s="152">
        <v>12</v>
      </c>
      <c r="F257" s="305">
        <f>HLOOKUP($C257,$BZ$2:$CM$3,2,0)</f>
        <v>15004.09</v>
      </c>
      <c r="G257" s="113">
        <f>D257*E257*F257</f>
        <v>0</v>
      </c>
      <c r="H257" s="166"/>
      <c r="I257" s="114" t="s">
        <v>496</v>
      </c>
      <c r="J257" s="114" t="str">
        <f>VLOOKUP(I257,Presupuesto!$B$11:$C$565,2,0)</f>
        <v>SUELDOS Y SALARIOS PERMANENTES</v>
      </c>
      <c r="K257" s="98" t="str">
        <f t="shared" si="6"/>
        <v>Gestión Administrativa y  financiera en apoyo al Desarrollo Académico</v>
      </c>
      <c r="L257" s="98" t="s">
        <v>395</v>
      </c>
    </row>
    <row r="258" spans="3:12" hidden="1"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si="6"/>
        <v>Gestión Administrativa y  financiera en apoyo al Desarrollo Académico</v>
      </c>
      <c r="L258" s="98" t="s">
        <v>395</v>
      </c>
    </row>
    <row r="259" spans="3:12" ht="15.75" hidden="1"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6"/>
        <v>Gestión Administrativa y  financiera en apoyo al Desarrollo Académico</v>
      </c>
      <c r="L259" s="98" t="s">
        <v>395</v>
      </c>
    </row>
    <row r="260" spans="3:12" ht="15.75" hidden="1" thickBot="1" x14ac:dyDescent="0.3">
      <c r="C260" s="137" t="s">
        <v>492</v>
      </c>
      <c r="D260" s="199"/>
      <c r="E260" s="152">
        <v>12</v>
      </c>
      <c r="F260" s="305">
        <f>HLOOKUP($C260,$BZ$2:$CM$3,2,0)</f>
        <v>13238.9</v>
      </c>
      <c r="G260" s="113">
        <f>D260*E260*F260</f>
        <v>0</v>
      </c>
      <c r="H260" s="166"/>
      <c r="I260" s="114" t="s">
        <v>496</v>
      </c>
      <c r="J260" s="114" t="str">
        <f>VLOOKUP(I260,Presupuesto!$B$11:$C$565,2,0)</f>
        <v>SUELDOS Y SALARIOS PERMANENTES</v>
      </c>
      <c r="K260" s="98" t="str">
        <f t="shared" si="6"/>
        <v>Gestión Administrativa y  financiera en apoyo al Desarrollo Académico</v>
      </c>
      <c r="L260" s="98" t="s">
        <v>395</v>
      </c>
    </row>
    <row r="261" spans="3:12" hidden="1"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6"/>
        <v>Gestión Administrativa y  financiera en apoyo al Desarrollo Académico</v>
      </c>
      <c r="L261" s="98" t="s">
        <v>395</v>
      </c>
    </row>
    <row r="262" spans="3:12" ht="15.75" hidden="1"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6"/>
        <v>Gestión Administrativa y  financiera en apoyo al Desarrollo Académico</v>
      </c>
      <c r="L262" s="98" t="s">
        <v>395</v>
      </c>
    </row>
    <row r="263" spans="3:12" ht="15.75" hidden="1" thickBot="1" x14ac:dyDescent="0.3">
      <c r="C263" s="137" t="s">
        <v>493</v>
      </c>
      <c r="D263" s="199"/>
      <c r="E263" s="152">
        <v>12</v>
      </c>
      <c r="F263" s="305">
        <f>HLOOKUP($C263,$BZ$2:$CM$3,2,0)</f>
        <v>12356.31</v>
      </c>
      <c r="G263" s="113">
        <f>D263*E263*F263</f>
        <v>0</v>
      </c>
      <c r="H263" s="166"/>
      <c r="I263" s="114" t="s">
        <v>496</v>
      </c>
      <c r="J263" s="114" t="str">
        <f>VLOOKUP(I263,Presupuesto!$B$11:$C$565,2,0)</f>
        <v>SUELDOS Y SALARIOS PERMANENTES</v>
      </c>
      <c r="K263" s="98" t="str">
        <f t="shared" ref="K263:K280" si="7">$K$230</f>
        <v>Gestión Administrativa y  financiera en apoyo al Desarrollo Académico</v>
      </c>
      <c r="L263" s="98" t="s">
        <v>395</v>
      </c>
    </row>
    <row r="264" spans="3:12" hidden="1"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7"/>
        <v>Gestión Administrativa y  financiera en apoyo al Desarrollo Académico</v>
      </c>
      <c r="L264" s="98" t="s">
        <v>395</v>
      </c>
    </row>
    <row r="265" spans="3:12" ht="15.75" hidden="1"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7"/>
        <v>Gestión Administrativa y  financiera en apoyo al Desarrollo Académico</v>
      </c>
      <c r="L265" s="98" t="s">
        <v>395</v>
      </c>
    </row>
    <row r="266" spans="3:12" ht="15.75" hidden="1" thickBot="1" x14ac:dyDescent="0.3">
      <c r="C266" s="137" t="s">
        <v>494</v>
      </c>
      <c r="D266" s="199"/>
      <c r="E266" s="152">
        <v>12</v>
      </c>
      <c r="F266" s="305">
        <f>HLOOKUP($C266,$BZ$2:$CM$3,2,0)</f>
        <v>463.22</v>
      </c>
      <c r="G266" s="113">
        <f>D266*E266*F266</f>
        <v>0</v>
      </c>
      <c r="H266" s="166"/>
      <c r="I266" s="114" t="s">
        <v>496</v>
      </c>
      <c r="J266" s="114" t="str">
        <f>VLOOKUP(I266,Presupuesto!$B$11:$C$565,2,0)</f>
        <v>SUELDOS Y SALARIOS PERMANENTES</v>
      </c>
      <c r="K266" s="98" t="str">
        <f t="shared" si="7"/>
        <v>Gestión Administrativa y  financiera en apoyo al Desarrollo Académico</v>
      </c>
      <c r="L266" s="98" t="s">
        <v>395</v>
      </c>
    </row>
    <row r="267" spans="3:12" hidden="1"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7"/>
        <v>Gestión Administrativa y  financiera en apoyo al Desarrollo Académico</v>
      </c>
      <c r="L267" s="98" t="s">
        <v>395</v>
      </c>
    </row>
    <row r="268" spans="3:12" ht="15.75" hidden="1"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7"/>
        <v>Gestión Administrativa y  financiera en apoyo al Desarrollo Académico</v>
      </c>
      <c r="L268" s="98" t="s">
        <v>395</v>
      </c>
    </row>
    <row r="269" spans="3:12" ht="15.75" hidden="1" thickBot="1" x14ac:dyDescent="0.3">
      <c r="C269" s="137" t="s">
        <v>495</v>
      </c>
      <c r="D269" s="199"/>
      <c r="E269" s="152">
        <v>12</v>
      </c>
      <c r="F269" s="305">
        <f>HLOOKUP($C269,$BZ$2:$CM$3,2,0)</f>
        <v>2007.3</v>
      </c>
      <c r="G269" s="113">
        <f>D269*E269*F269</f>
        <v>0</v>
      </c>
      <c r="H269" s="166"/>
      <c r="I269" s="114" t="s">
        <v>496</v>
      </c>
      <c r="J269" s="114" t="str">
        <f>VLOOKUP(I269,Presupuesto!$B$11:$C$565,2,0)</f>
        <v>SUELDOS Y SALARIOS PERMANENTES</v>
      </c>
      <c r="K269" s="98" t="str">
        <f t="shared" si="7"/>
        <v>Gestión Administrativa y  financiera en apoyo al Desarrollo Académico</v>
      </c>
      <c r="L269" s="98" t="s">
        <v>395</v>
      </c>
    </row>
    <row r="270" spans="3:12" hidden="1"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7"/>
        <v>Gestión Administrativa y  financiera en apoyo al Desarrollo Académico</v>
      </c>
      <c r="L270" s="98" t="s">
        <v>395</v>
      </c>
    </row>
    <row r="271" spans="3:12" ht="15.75" hidden="1"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7"/>
        <v>Gestión Administrativa y  financiera en apoyo al Desarrollo Académico</v>
      </c>
      <c r="L271" s="98" t="s">
        <v>395</v>
      </c>
    </row>
    <row r="272" spans="3:12" ht="15.75" thickBot="1" x14ac:dyDescent="0.3">
      <c r="C272" s="140" t="s">
        <v>83</v>
      </c>
      <c r="D272" s="199">
        <v>3</v>
      </c>
      <c r="E272" s="152">
        <v>12</v>
      </c>
      <c r="F272" s="139">
        <v>35000</v>
      </c>
      <c r="G272" s="113">
        <f>D272*E272*F272</f>
        <v>1260000</v>
      </c>
      <c r="H272" s="166" t="s">
        <v>1509</v>
      </c>
      <c r="I272" s="114" t="s">
        <v>564</v>
      </c>
      <c r="J272" s="114" t="str">
        <f>VLOOKUP(I272,[1]Presupuesto!$B$11:$C$565,2,0)</f>
        <v>CONTRATOS ESPECIALES</v>
      </c>
      <c r="K272" s="98" t="str">
        <f t="shared" si="7"/>
        <v>Gestión Administrativa y  financiera en apoyo al Desarrollo Académico</v>
      </c>
      <c r="L272" s="98" t="s">
        <v>394</v>
      </c>
    </row>
    <row r="273" spans="3:12" x14ac:dyDescent="0.25">
      <c r="C273" s="171" t="s">
        <v>58</v>
      </c>
      <c r="D273" s="163"/>
      <c r="E273" s="154">
        <v>0</v>
      </c>
      <c r="F273" s="117">
        <f>IF(E272=0,"",(G272/E272)/12*E272)</f>
        <v>105000</v>
      </c>
      <c r="G273" s="97">
        <f>F273</f>
        <v>105000</v>
      </c>
      <c r="H273" s="164" t="s">
        <v>1509</v>
      </c>
      <c r="I273" s="101" t="s">
        <v>564</v>
      </c>
      <c r="J273" s="101" t="str">
        <f>VLOOKUP(I273,[1]Presupuesto!$B$11:$C$565,2,0)</f>
        <v>CONTRATOS ESPECIALES</v>
      </c>
      <c r="K273" s="98" t="str">
        <f t="shared" si="7"/>
        <v>Gestión Administrativa y  financiera en apoyo al Desarrollo Académico</v>
      </c>
      <c r="L273" s="98" t="s">
        <v>404</v>
      </c>
    </row>
    <row r="274" spans="3:12" ht="15.75" thickBot="1" x14ac:dyDescent="0.3">
      <c r="C274" s="173" t="s">
        <v>59</v>
      </c>
      <c r="D274" s="162"/>
      <c r="E274" s="132">
        <v>0</v>
      </c>
      <c r="F274" s="104">
        <v>105000</v>
      </c>
      <c r="G274" s="105">
        <f>F274</f>
        <v>105000</v>
      </c>
      <c r="H274" s="162" t="s">
        <v>1509</v>
      </c>
      <c r="I274" s="124" t="s">
        <v>564</v>
      </c>
      <c r="J274" s="124" t="str">
        <f>VLOOKUP(I274,[1]Presupuesto!$B$11:$C$565,2,0)</f>
        <v>CONTRATOS ESPECIALES</v>
      </c>
      <c r="K274" s="124" t="str">
        <f t="shared" si="7"/>
        <v>Gestión Administrativa y  financiera en apoyo al Desarrollo Académico</v>
      </c>
      <c r="L274" s="124" t="s">
        <v>398</v>
      </c>
    </row>
    <row r="275" spans="3:12" ht="15.75" hidden="1" thickBot="1" x14ac:dyDescent="0.3">
      <c r="C275" s="546" t="s">
        <v>60</v>
      </c>
      <c r="D275" s="547"/>
      <c r="E275" s="548">
        <v>12</v>
      </c>
      <c r="F275" s="123">
        <v>30000</v>
      </c>
      <c r="G275" s="549">
        <f>D275*E275*F275</f>
        <v>0</v>
      </c>
      <c r="H275" s="550"/>
      <c r="I275" s="551" t="s">
        <v>705</v>
      </c>
      <c r="J275" s="551" t="str">
        <f>VLOOKUP(I275,Presupuesto!$B$11:$C$565,2,0)</f>
        <v>OTROS SERVICIOS TECNICOS Y PROFESIONALES</v>
      </c>
      <c r="K275" s="98" t="str">
        <f t="shared" si="7"/>
        <v>Gestión Administrativa y  financiera en apoyo al Desarrollo Académico</v>
      </c>
      <c r="L275" s="98" t="s">
        <v>394</v>
      </c>
    </row>
    <row r="276" spans="3:12" hidden="1" x14ac:dyDescent="0.25">
      <c r="C276" s="171" t="s">
        <v>58</v>
      </c>
      <c r="D276" s="163"/>
      <c r="E276" s="154">
        <v>0</v>
      </c>
      <c r="F276" s="100">
        <v>0</v>
      </c>
      <c r="G276" s="97">
        <f>F276</f>
        <v>0</v>
      </c>
      <c r="H276" s="164"/>
      <c r="I276" s="101" t="s">
        <v>705</v>
      </c>
      <c r="J276" s="101" t="str">
        <f>VLOOKUP(I276,Presupuesto!$B$11:$C$565,2,0)</f>
        <v>OTROS SERVICIOS TECNICOS Y PROFESIONALES</v>
      </c>
      <c r="K276" s="98" t="str">
        <f t="shared" si="7"/>
        <v>Gestión Administrativa y  financiera en apoyo al Desarrollo Académico</v>
      </c>
      <c r="L276" s="98" t="s">
        <v>394</v>
      </c>
    </row>
    <row r="277" spans="3:12" ht="15.75" hidden="1" thickBot="1" x14ac:dyDescent="0.3">
      <c r="C277" s="172" t="s">
        <v>59</v>
      </c>
      <c r="D277" s="163"/>
      <c r="E277" s="154">
        <v>0</v>
      </c>
      <c r="F277" s="100">
        <v>0</v>
      </c>
      <c r="G277" s="97">
        <f>F277</f>
        <v>0</v>
      </c>
      <c r="H277" s="164"/>
      <c r="I277" s="101" t="s">
        <v>705</v>
      </c>
      <c r="J277" s="101" t="str">
        <f>VLOOKUP(I277,Presupuesto!$B$11:$C$565,2,0)</f>
        <v>OTROS SERVICIOS TECNICOS Y PROFESIONALES</v>
      </c>
      <c r="K277" s="98" t="str">
        <f t="shared" si="7"/>
        <v>Gestión Administrativa y  financiera en apoyo al Desarrollo Académico</v>
      </c>
      <c r="L277" s="98" t="s">
        <v>394</v>
      </c>
    </row>
    <row r="278" spans="3:12" ht="15.75" hidden="1" thickBot="1" x14ac:dyDescent="0.3">
      <c r="C278" s="140" t="s">
        <v>61</v>
      </c>
      <c r="D278" s="199"/>
      <c r="E278" s="152">
        <v>12</v>
      </c>
      <c r="F278" s="118">
        <v>30000</v>
      </c>
      <c r="G278" s="113">
        <f>D278*E278*F278</f>
        <v>0</v>
      </c>
      <c r="H278" s="166"/>
      <c r="I278" s="114" t="s">
        <v>496</v>
      </c>
      <c r="J278" s="114" t="str">
        <f>VLOOKUP(I278,Presupuesto!$B$11:$C$565,2,0)</f>
        <v>SUELDOS Y SALARIOS PERMANENTES</v>
      </c>
      <c r="K278" s="98" t="str">
        <f t="shared" si="7"/>
        <v>Gestión Administrativa y  financiera en apoyo al Desarrollo Académico</v>
      </c>
      <c r="L278" s="98" t="s">
        <v>394</v>
      </c>
    </row>
    <row r="279" spans="3:12" hidden="1" x14ac:dyDescent="0.25">
      <c r="C279" s="171" t="s">
        <v>58</v>
      </c>
      <c r="D279" s="169"/>
      <c r="E279" s="131">
        <v>0</v>
      </c>
      <c r="F279" s="119">
        <f>IF(E278=0,"",(G278/E278)/12*E278)</f>
        <v>0</v>
      </c>
      <c r="G279" s="120">
        <f>F279</f>
        <v>0</v>
      </c>
      <c r="H279" s="164"/>
      <c r="I279" s="101" t="s">
        <v>516</v>
      </c>
      <c r="J279" s="101" t="str">
        <f>VLOOKUP(I279,Presupuesto!$B$11:$C$565,2,0)</f>
        <v>AGUINALDO Y DECIMO CUARTO MES</v>
      </c>
      <c r="K279" s="98" t="str">
        <f t="shared" si="7"/>
        <v>Gestión Administrativa y  financiera en apoyo al Desarrollo Académico</v>
      </c>
      <c r="L279" s="98" t="s">
        <v>394</v>
      </c>
    </row>
    <row r="280" spans="3:12" ht="15.75" hidden="1" thickBot="1" x14ac:dyDescent="0.3">
      <c r="C280" s="173" t="s">
        <v>59</v>
      </c>
      <c r="D280" s="162"/>
      <c r="E280" s="132">
        <v>0</v>
      </c>
      <c r="F280" s="105">
        <f>IF(E278&lt;6,"",((E278-6)/12)*(G278/E278))</f>
        <v>0</v>
      </c>
      <c r="G280" s="105">
        <f>F280</f>
        <v>0</v>
      </c>
      <c r="H280" s="162"/>
      <c r="I280" s="106" t="s">
        <v>519</v>
      </c>
      <c r="J280" s="124" t="str">
        <f>VLOOKUP(I280,Presupuesto!$B$11:$C$565,2,0)</f>
        <v>DECIMOCUARTO MES</v>
      </c>
      <c r="K280" s="106" t="str">
        <f t="shared" si="7"/>
        <v>Gestión Administrativa y  financiera en apoyo al Desarrollo Académico</v>
      </c>
      <c r="L280" s="124" t="s">
        <v>394</v>
      </c>
    </row>
    <row r="282" spans="3:12" ht="15.75" thickBot="1" x14ac:dyDescent="0.3">
      <c r="K282" s="153"/>
    </row>
    <row r="283" spans="3:12" ht="15.75" thickBot="1" x14ac:dyDescent="0.3">
      <c r="C283" s="69" t="s">
        <v>43</v>
      </c>
      <c r="D283" s="30">
        <f>SUM(G290:G340)</f>
        <v>448000</v>
      </c>
      <c r="E283" s="93"/>
      <c r="F283" s="93"/>
      <c r="G283" s="93"/>
      <c r="H283" s="76"/>
      <c r="I283" s="76"/>
      <c r="J283" s="76"/>
      <c r="K283" s="153"/>
    </row>
    <row r="284" spans="3:12" x14ac:dyDescent="0.25">
      <c r="D284" s="31"/>
      <c r="E284" s="93"/>
      <c r="F284" s="93"/>
      <c r="G284" s="93"/>
      <c r="H284" s="76"/>
      <c r="I284" s="76"/>
      <c r="J284" s="76"/>
      <c r="K284" s="153"/>
    </row>
    <row r="285" spans="3:12" x14ac:dyDescent="0.25">
      <c r="D285" s="31"/>
      <c r="E285" s="93"/>
      <c r="F285" s="93"/>
      <c r="G285" s="93"/>
      <c r="H285" s="76"/>
      <c r="I285" s="76"/>
      <c r="J285" s="76"/>
      <c r="K285" s="153"/>
    </row>
    <row r="286" spans="3:12" ht="15.75" x14ac:dyDescent="0.25">
      <c r="C286" s="202" t="s">
        <v>392</v>
      </c>
      <c r="D286" s="370" t="s">
        <v>1608</v>
      </c>
      <c r="E286" s="93"/>
      <c r="F286" s="93"/>
      <c r="G286" s="93"/>
      <c r="H286" s="76"/>
      <c r="I286" s="76"/>
      <c r="J286" s="76"/>
      <c r="K286" s="153"/>
    </row>
    <row r="287" spans="3:12" ht="18.75" x14ac:dyDescent="0.25">
      <c r="C287" s="211" t="str">
        <f>IFERROR(VLOOKUP(D286,'1. Desarrollo e Innov. Curricu.'!$E:$F,2,FALSE),IFERROR(VLOOKUP(D286,'2. Investigación Científica'!$E:$F,2,FALSE),IFERROR(VLOOKUP(D286,'3. Vinculación Univ. Sociedad'!$E:$F,2,FALSE),IFERROR(VLOOKUP(D286,'4. Docencia y Profesorado Univ.'!$E:$F,2,FALSE),IFERROR(VLOOKUP(D286,'5. Estudiantes y Graduados'!$E:$F,2,FALSE),IFERROR(VLOOKUP(D286,'11. Gestion Administrativa'!$E:$F,2,FALSE),IFERROR(VLOOKUP(D286,'13. Gestión Académica'!$E:$F,2,FALSE),IFERROR(VLOOKUP(D286,'8. Asegura. de la Calid. y M'!$E:$F,2,FALSE),IFERROR(VLOOKUP(D286,'6. Gestión del Conocimiento'!$E:$F,2,FALSE),IFERROR(VLOOKUP(D286,'15. Gobernabilidad y Proceso...'!$E:$F,2,FALSE),IFERROR(VLOOKUP(D286,'12. Gestión del Talento Humano'!$E:$F,2,FALSE),IFERROR(VLOOKUP(D286,'14. Internacional... de la E.S.'!$E:$F,2,FALSE),IFERROR(VLOOKUP(D286,'10. Posgrado'!$E:$F,2,FALSE),IFERROR(VLOOKUP(D286,'17. Gestión TIC'!$E:$F,2,FALSE),IFERROR(VLOOKUP(D286,'16. Desa. del Sistema Educ.Sup.'!$E:$F,2,FALSE),IFERROR(VLOOKUP(D286,'9. Cultura de Inno. Insti...'!$E:$F,2,FALSE),VLOOKUP(D286,'7. Lo Esencial de la Reforma U.'!$E:$F,2,0)))))))))))))))))</f>
        <v>Contratación de servicios profesionales</v>
      </c>
      <c r="D287" s="31"/>
      <c r="E287" s="93"/>
      <c r="F287" s="93"/>
      <c r="G287" s="93"/>
      <c r="H287" s="76"/>
      <c r="I287" s="76"/>
      <c r="J287" s="76"/>
      <c r="K287" s="153"/>
    </row>
    <row r="288" spans="3:12" ht="15.75" thickBot="1" x14ac:dyDescent="0.3">
      <c r="C288" s="177"/>
      <c r="D288" s="31"/>
      <c r="E288" s="93"/>
      <c r="F288" s="93"/>
      <c r="G288" s="93"/>
      <c r="H288" s="76"/>
      <c r="I288" s="76"/>
      <c r="J288" s="76"/>
      <c r="K288" s="153"/>
    </row>
    <row r="289" spans="3:12" ht="30.75" thickBot="1" x14ac:dyDescent="0.3">
      <c r="C289" s="134" t="s">
        <v>44</v>
      </c>
      <c r="D289" s="138" t="s">
        <v>55</v>
      </c>
      <c r="E289" s="170" t="s">
        <v>56</v>
      </c>
      <c r="F289" s="138" t="s">
        <v>57</v>
      </c>
      <c r="G289" s="135" t="s">
        <v>27</v>
      </c>
      <c r="H289" s="133" t="s">
        <v>131</v>
      </c>
      <c r="I289" s="136" t="s">
        <v>46</v>
      </c>
      <c r="J289" s="136" t="s">
        <v>132</v>
      </c>
      <c r="K289" s="136" t="s">
        <v>410</v>
      </c>
      <c r="L289" s="136" t="s">
        <v>411</v>
      </c>
    </row>
    <row r="290" spans="3:12" ht="15.75" hidden="1" thickBot="1" x14ac:dyDescent="0.3">
      <c r="C290" s="137" t="s">
        <v>482</v>
      </c>
      <c r="D290" s="199"/>
      <c r="E290" s="152">
        <v>12</v>
      </c>
      <c r="F290" s="305">
        <f>HLOOKUP($C290,$BZ$2:$CM$3,2,0)</f>
        <v>43674.39</v>
      </c>
      <c r="G290" s="113">
        <f>D290*E290*F290</f>
        <v>0</v>
      </c>
      <c r="H290" s="166"/>
      <c r="I290" s="114" t="s">
        <v>496</v>
      </c>
      <c r="J290" s="114" t="str">
        <f>VLOOKUP(I290,Presupuesto!$B$11:$C$565,2,0)</f>
        <v>SUELDOS Y SALARIOS PERMANENTES</v>
      </c>
      <c r="K290" s="219" t="s">
        <v>1364</v>
      </c>
      <c r="L290" s="98" t="s">
        <v>394</v>
      </c>
    </row>
    <row r="291" spans="3:12" hidden="1"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ref="K291:K322" si="8">$K$290</f>
        <v>Gestión Administrativa y  financiera en apoyo al Desarrollo Académico</v>
      </c>
      <c r="L291" s="98" t="s">
        <v>412</v>
      </c>
    </row>
    <row r="292" spans="3:12" ht="15.75" hidden="1"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8"/>
        <v>Gestión Administrativa y  financiera en apoyo al Desarrollo Académico</v>
      </c>
      <c r="L292" s="98" t="s">
        <v>395</v>
      </c>
    </row>
    <row r="293" spans="3:12" ht="15.75" hidden="1" thickBot="1" x14ac:dyDescent="0.3">
      <c r="C293" s="137" t="s">
        <v>483</v>
      </c>
      <c r="D293" s="199"/>
      <c r="E293" s="152">
        <v>12</v>
      </c>
      <c r="F293" s="305">
        <f>HLOOKUP($C293,$BZ$2:$CM$3,2,0)</f>
        <v>39703.99</v>
      </c>
      <c r="G293" s="113">
        <f>D293*E293*F293</f>
        <v>0</v>
      </c>
      <c r="H293" s="166"/>
      <c r="I293" s="114" t="s">
        <v>496</v>
      </c>
      <c r="J293" s="114" t="str">
        <f>VLOOKUP(I293,Presupuesto!$B$11:$C$565,2,0)</f>
        <v>SUELDOS Y SALARIOS PERMANENTES</v>
      </c>
      <c r="K293" s="98" t="str">
        <f t="shared" si="8"/>
        <v>Gestión Administrativa y  financiera en apoyo al Desarrollo Académico</v>
      </c>
      <c r="L293" s="98" t="s">
        <v>395</v>
      </c>
    </row>
    <row r="294" spans="3:12" hidden="1"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8"/>
        <v>Gestión Administrativa y  financiera en apoyo al Desarrollo Académico</v>
      </c>
      <c r="L294" s="98" t="s">
        <v>395</v>
      </c>
    </row>
    <row r="295" spans="3:12" ht="15.75" hidden="1"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8"/>
        <v>Gestión Administrativa y  financiera en apoyo al Desarrollo Académico</v>
      </c>
      <c r="L295" s="98" t="s">
        <v>395</v>
      </c>
    </row>
    <row r="296" spans="3:12" ht="15.75" hidden="1" thickBot="1" x14ac:dyDescent="0.3">
      <c r="C296" s="137" t="s">
        <v>484</v>
      </c>
      <c r="D296" s="199"/>
      <c r="E296" s="152">
        <v>12</v>
      </c>
      <c r="F296" s="305">
        <f>HLOOKUP($C296,$BZ$2:$CM$3,2,0)</f>
        <v>35733.589999999997</v>
      </c>
      <c r="G296" s="113">
        <f>D296*E296*F296</f>
        <v>0</v>
      </c>
      <c r="H296" s="166"/>
      <c r="I296" s="114" t="s">
        <v>496</v>
      </c>
      <c r="J296" s="114" t="str">
        <f>VLOOKUP(I296,Presupuesto!$B$11:$C$565,2,0)</f>
        <v>SUELDOS Y SALARIOS PERMANENTES</v>
      </c>
      <c r="K296" s="98" t="str">
        <f t="shared" si="8"/>
        <v>Gestión Administrativa y  financiera en apoyo al Desarrollo Académico</v>
      </c>
      <c r="L296" s="98" t="s">
        <v>395</v>
      </c>
    </row>
    <row r="297" spans="3:12" hidden="1"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8"/>
        <v>Gestión Administrativa y  financiera en apoyo al Desarrollo Académico</v>
      </c>
      <c r="L297" s="98" t="s">
        <v>395</v>
      </c>
    </row>
    <row r="298" spans="3:12" ht="15.75" hidden="1"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8"/>
        <v>Gestión Administrativa y  financiera en apoyo al Desarrollo Académico</v>
      </c>
      <c r="L298" s="98" t="s">
        <v>395</v>
      </c>
    </row>
    <row r="299" spans="3:12" ht="15.75" hidden="1" thickBot="1" x14ac:dyDescent="0.3">
      <c r="C299" s="137" t="s">
        <v>485</v>
      </c>
      <c r="D299" s="199"/>
      <c r="E299" s="152">
        <v>12</v>
      </c>
      <c r="F299" s="305">
        <f>HLOOKUP($C299,$BZ$2:$CM$3,2,0)</f>
        <v>31763.19</v>
      </c>
      <c r="G299" s="113">
        <f>D299*E299*F299</f>
        <v>0</v>
      </c>
      <c r="H299" s="166"/>
      <c r="I299" s="114" t="s">
        <v>496</v>
      </c>
      <c r="J299" s="114" t="str">
        <f>VLOOKUP(I299,Presupuesto!$B$11:$C$565,2,0)</f>
        <v>SUELDOS Y SALARIOS PERMANENTES</v>
      </c>
      <c r="K299" s="98" t="str">
        <f t="shared" si="8"/>
        <v>Gestión Administrativa y  financiera en apoyo al Desarrollo Académico</v>
      </c>
      <c r="L299" s="98" t="s">
        <v>395</v>
      </c>
    </row>
    <row r="300" spans="3:12" hidden="1" x14ac:dyDescent="0.25">
      <c r="C300" s="171" t="s">
        <v>58</v>
      </c>
      <c r="D300" s="163"/>
      <c r="E300" s="154">
        <v>0</v>
      </c>
      <c r="F300" s="100">
        <f>IF(E299=0,"",(G299/E299)/12*E299)</f>
        <v>0</v>
      </c>
      <c r="G300" s="97">
        <f>F300</f>
        <v>0</v>
      </c>
      <c r="H300" s="164"/>
      <c r="I300" s="116" t="s">
        <v>516</v>
      </c>
      <c r="J300" s="116" t="str">
        <f>VLOOKUP(I300,Presupuesto!$B$11:$C$565,2,0)</f>
        <v>AGUINALDO Y DECIMO CUARTO MES</v>
      </c>
      <c r="K300" s="98" t="str">
        <f t="shared" si="8"/>
        <v>Gestión Administrativa y  financiera en apoyo al Desarrollo Académico</v>
      </c>
      <c r="L300" s="98" t="s">
        <v>395</v>
      </c>
    </row>
    <row r="301" spans="3:12" ht="15.75" hidden="1" thickBot="1" x14ac:dyDescent="0.3">
      <c r="C301" s="172" t="s">
        <v>59</v>
      </c>
      <c r="D301" s="163"/>
      <c r="E301" s="154">
        <v>0</v>
      </c>
      <c r="F301" s="117">
        <f>IF(E299&lt;6,"",((E299-6)/12)*(G299/E299))</f>
        <v>0</v>
      </c>
      <c r="G301" s="97">
        <f>F301</f>
        <v>0</v>
      </c>
      <c r="H301" s="164"/>
      <c r="I301" s="101" t="s">
        <v>519</v>
      </c>
      <c r="J301" s="101" t="str">
        <f>VLOOKUP(I301,Presupuesto!$B$11:$C$565,2,0)</f>
        <v>DECIMOCUARTO MES</v>
      </c>
      <c r="K301" s="98" t="str">
        <f t="shared" si="8"/>
        <v>Gestión Administrativa y  financiera en apoyo al Desarrollo Académico</v>
      </c>
      <c r="L301" s="98" t="s">
        <v>395</v>
      </c>
    </row>
    <row r="302" spans="3:12" ht="15.75" hidden="1" thickBot="1" x14ac:dyDescent="0.3">
      <c r="C302" s="137" t="s">
        <v>486</v>
      </c>
      <c r="D302" s="199"/>
      <c r="E302" s="152">
        <v>12</v>
      </c>
      <c r="F302" s="305">
        <f>HLOOKUP($C302,$BZ$2:$CM$3,2,0)</f>
        <v>29777.99</v>
      </c>
      <c r="G302" s="113">
        <f>D302*E302*F302</f>
        <v>0</v>
      </c>
      <c r="H302" s="166"/>
      <c r="I302" s="114" t="s">
        <v>496</v>
      </c>
      <c r="J302" s="114" t="str">
        <f>VLOOKUP(I302,Presupuesto!$B$11:$C$565,2,0)</f>
        <v>SUELDOS Y SALARIOS PERMANENTES</v>
      </c>
      <c r="K302" s="98" t="str">
        <f t="shared" si="8"/>
        <v>Gestión Administrativa y  financiera en apoyo al Desarrollo Académico</v>
      </c>
      <c r="L302" s="98" t="s">
        <v>395</v>
      </c>
    </row>
    <row r="303" spans="3:12" hidden="1" x14ac:dyDescent="0.25">
      <c r="C303" s="171" t="s">
        <v>58</v>
      </c>
      <c r="D303" s="163"/>
      <c r="E303" s="154">
        <v>0</v>
      </c>
      <c r="F303" s="100">
        <f>IF(E302=0,"",(G302/E302)/12*E302)</f>
        <v>0</v>
      </c>
      <c r="G303" s="97">
        <f>F303</f>
        <v>0</v>
      </c>
      <c r="H303" s="164"/>
      <c r="I303" s="116" t="s">
        <v>516</v>
      </c>
      <c r="J303" s="116" t="str">
        <f>VLOOKUP(I303,Presupuesto!$B$11:$C$565,2,0)</f>
        <v>AGUINALDO Y DECIMO CUARTO MES</v>
      </c>
      <c r="K303" s="98" t="str">
        <f t="shared" si="8"/>
        <v>Gestión Administrativa y  financiera en apoyo al Desarrollo Académico</v>
      </c>
      <c r="L303" s="98" t="s">
        <v>395</v>
      </c>
    </row>
    <row r="304" spans="3:12" ht="15.75" hidden="1" thickBot="1" x14ac:dyDescent="0.3">
      <c r="C304" s="172" t="s">
        <v>59</v>
      </c>
      <c r="D304" s="163"/>
      <c r="E304" s="154">
        <v>0</v>
      </c>
      <c r="F304" s="117">
        <f>IF(E302&lt;6,"",((E302-6)/12)*(G302/E302))</f>
        <v>0</v>
      </c>
      <c r="G304" s="97">
        <f>F304</f>
        <v>0</v>
      </c>
      <c r="H304" s="164"/>
      <c r="I304" s="101" t="s">
        <v>519</v>
      </c>
      <c r="J304" s="101" t="str">
        <f>VLOOKUP(I304,Presupuesto!$B$11:$C$565,2,0)</f>
        <v>DECIMOCUARTO MES</v>
      </c>
      <c r="K304" s="98" t="str">
        <f t="shared" si="8"/>
        <v>Gestión Administrativa y  financiera en apoyo al Desarrollo Académico</v>
      </c>
      <c r="L304" s="98" t="s">
        <v>395</v>
      </c>
    </row>
    <row r="305" spans="3:12" ht="15.75" hidden="1" thickBot="1" x14ac:dyDescent="0.3">
      <c r="C305" s="137" t="s">
        <v>487</v>
      </c>
      <c r="D305" s="199"/>
      <c r="E305" s="152">
        <v>12</v>
      </c>
      <c r="F305" s="305">
        <f>HLOOKUP($C305,$BZ$2:$CM$3,2,0)</f>
        <v>27792.79</v>
      </c>
      <c r="G305" s="113">
        <f>D305*E305*F305</f>
        <v>0</v>
      </c>
      <c r="H305" s="166"/>
      <c r="I305" s="114" t="s">
        <v>496</v>
      </c>
      <c r="J305" s="114" t="str">
        <f>VLOOKUP(I305,Presupuesto!$B$11:$C$565,2,0)</f>
        <v>SUELDOS Y SALARIOS PERMANENTES</v>
      </c>
      <c r="K305" s="98" t="str">
        <f t="shared" si="8"/>
        <v>Gestión Administrativa y  financiera en apoyo al Desarrollo Académico</v>
      </c>
      <c r="L305" s="98" t="s">
        <v>395</v>
      </c>
    </row>
    <row r="306" spans="3:12" hidden="1" x14ac:dyDescent="0.25">
      <c r="C306" s="171" t="s">
        <v>58</v>
      </c>
      <c r="D306" s="163"/>
      <c r="E306" s="154">
        <v>0</v>
      </c>
      <c r="F306" s="100">
        <f>IF(E305=0,"",(G305/E305)/12*E305)</f>
        <v>0</v>
      </c>
      <c r="G306" s="97">
        <f>F306</f>
        <v>0</v>
      </c>
      <c r="H306" s="164"/>
      <c r="I306" s="116" t="s">
        <v>516</v>
      </c>
      <c r="J306" s="116" t="str">
        <f>VLOOKUP(I306,Presupuesto!$B$11:$C$565,2,0)</f>
        <v>AGUINALDO Y DECIMO CUARTO MES</v>
      </c>
      <c r="K306" s="98" t="str">
        <f t="shared" si="8"/>
        <v>Gestión Administrativa y  financiera en apoyo al Desarrollo Académico</v>
      </c>
      <c r="L306" s="98" t="s">
        <v>395</v>
      </c>
    </row>
    <row r="307" spans="3:12" ht="15.75" hidden="1" thickBot="1" x14ac:dyDescent="0.3">
      <c r="C307" s="172" t="s">
        <v>59</v>
      </c>
      <c r="D307" s="163"/>
      <c r="E307" s="154">
        <v>0</v>
      </c>
      <c r="F307" s="117">
        <f>IF(E305&lt;6,"",((E305-6)/12)*(G305/E305))</f>
        <v>0</v>
      </c>
      <c r="G307" s="97">
        <f>F307</f>
        <v>0</v>
      </c>
      <c r="H307" s="164"/>
      <c r="I307" s="101" t="s">
        <v>519</v>
      </c>
      <c r="J307" s="101" t="str">
        <f>VLOOKUP(I307,Presupuesto!$B$11:$C$565,2,0)</f>
        <v>DECIMOCUARTO MES</v>
      </c>
      <c r="K307" s="98" t="str">
        <f t="shared" si="8"/>
        <v>Gestión Administrativa y  financiera en apoyo al Desarrollo Académico</v>
      </c>
      <c r="L307" s="98" t="s">
        <v>395</v>
      </c>
    </row>
    <row r="308" spans="3:12" ht="15.75" hidden="1" thickBot="1" x14ac:dyDescent="0.3">
      <c r="C308" s="137" t="s">
        <v>488</v>
      </c>
      <c r="D308" s="199"/>
      <c r="E308" s="152">
        <v>12</v>
      </c>
      <c r="F308" s="305">
        <f>HLOOKUP($C308,$BZ$2:$CM$3,2,0)</f>
        <v>18859.39</v>
      </c>
      <c r="G308" s="113">
        <f>D308*E308*F308</f>
        <v>0</v>
      </c>
      <c r="H308" s="166"/>
      <c r="I308" s="114" t="s">
        <v>496</v>
      </c>
      <c r="J308" s="114" t="str">
        <f>VLOOKUP(I308,Presupuesto!$B$11:$C$565,2,0)</f>
        <v>SUELDOS Y SALARIOS PERMANENTES</v>
      </c>
      <c r="K308" s="98" t="str">
        <f t="shared" si="8"/>
        <v>Gestión Administrativa y  financiera en apoyo al Desarrollo Académico</v>
      </c>
      <c r="L308" s="98" t="s">
        <v>395</v>
      </c>
    </row>
    <row r="309" spans="3:12" hidden="1" x14ac:dyDescent="0.25">
      <c r="C309" s="171" t="s">
        <v>58</v>
      </c>
      <c r="D309" s="163"/>
      <c r="E309" s="154">
        <v>0</v>
      </c>
      <c r="F309" s="100">
        <f>IF(E308=0,"",(G308/E308)/12*E308)</f>
        <v>0</v>
      </c>
      <c r="G309" s="97">
        <f>F309</f>
        <v>0</v>
      </c>
      <c r="H309" s="164"/>
      <c r="I309" s="116" t="s">
        <v>516</v>
      </c>
      <c r="J309" s="116" t="str">
        <f>VLOOKUP(I309,Presupuesto!$B$11:$C$565,2,0)</f>
        <v>AGUINALDO Y DECIMO CUARTO MES</v>
      </c>
      <c r="K309" s="98" t="str">
        <f t="shared" si="8"/>
        <v>Gestión Administrativa y  financiera en apoyo al Desarrollo Académico</v>
      </c>
      <c r="L309" s="98" t="s">
        <v>395</v>
      </c>
    </row>
    <row r="310" spans="3:12" ht="15.75" hidden="1" thickBot="1" x14ac:dyDescent="0.3">
      <c r="C310" s="172" t="s">
        <v>59</v>
      </c>
      <c r="D310" s="163"/>
      <c r="E310" s="154">
        <v>0</v>
      </c>
      <c r="F310" s="117">
        <f>IF(E308&lt;6,"",((E308-6)/12)*(G308/E308))</f>
        <v>0</v>
      </c>
      <c r="G310" s="97">
        <f>F310</f>
        <v>0</v>
      </c>
      <c r="H310" s="164"/>
      <c r="I310" s="101" t="s">
        <v>519</v>
      </c>
      <c r="J310" s="101" t="str">
        <f>VLOOKUP(I310,Presupuesto!$B$11:$C$565,2,0)</f>
        <v>DECIMOCUARTO MES</v>
      </c>
      <c r="K310" s="98" t="str">
        <f t="shared" si="8"/>
        <v>Gestión Administrativa y  financiera en apoyo al Desarrollo Académico</v>
      </c>
      <c r="L310" s="98" t="s">
        <v>395</v>
      </c>
    </row>
    <row r="311" spans="3:12" ht="15.75" hidden="1" thickBot="1" x14ac:dyDescent="0.3">
      <c r="C311" s="137" t="s">
        <v>489</v>
      </c>
      <c r="D311" s="199"/>
      <c r="E311" s="152">
        <v>12</v>
      </c>
      <c r="F311" s="305">
        <f>HLOOKUP($C311,$BZ$2:$CM$3,2,0)</f>
        <v>17866.8</v>
      </c>
      <c r="G311" s="113">
        <f>D311*E311*F311</f>
        <v>0</v>
      </c>
      <c r="H311" s="166"/>
      <c r="I311" s="114" t="s">
        <v>496</v>
      </c>
      <c r="J311" s="114" t="str">
        <f>VLOOKUP(I311,Presupuesto!$B$11:$C$565,2,0)</f>
        <v>SUELDOS Y SALARIOS PERMANENTES</v>
      </c>
      <c r="K311" s="98" t="str">
        <f t="shared" si="8"/>
        <v>Gestión Administrativa y  financiera en apoyo al Desarrollo Académico</v>
      </c>
      <c r="L311" s="98" t="s">
        <v>395</v>
      </c>
    </row>
    <row r="312" spans="3:12" hidden="1" x14ac:dyDescent="0.25">
      <c r="C312" s="171" t="s">
        <v>58</v>
      </c>
      <c r="D312" s="163"/>
      <c r="E312" s="154">
        <v>0</v>
      </c>
      <c r="F312" s="100">
        <f>IF(E311=0,"",(G311/E311)/12*E311)</f>
        <v>0</v>
      </c>
      <c r="G312" s="97">
        <f>F312</f>
        <v>0</v>
      </c>
      <c r="H312" s="164"/>
      <c r="I312" s="116" t="s">
        <v>516</v>
      </c>
      <c r="J312" s="116" t="str">
        <f>VLOOKUP(I312,Presupuesto!$B$11:$C$565,2,0)</f>
        <v>AGUINALDO Y DECIMO CUARTO MES</v>
      </c>
      <c r="K312" s="98" t="str">
        <f t="shared" si="8"/>
        <v>Gestión Administrativa y  financiera en apoyo al Desarrollo Académico</v>
      </c>
      <c r="L312" s="98" t="s">
        <v>395</v>
      </c>
    </row>
    <row r="313" spans="3:12" ht="15.75" hidden="1" thickBot="1" x14ac:dyDescent="0.3">
      <c r="C313" s="172" t="s">
        <v>59</v>
      </c>
      <c r="D313" s="163"/>
      <c r="E313" s="154">
        <v>0</v>
      </c>
      <c r="F313" s="117">
        <f>IF(E311&lt;6,"",((E311-6)/12)*(G311/E311))</f>
        <v>0</v>
      </c>
      <c r="G313" s="97">
        <f>F313</f>
        <v>0</v>
      </c>
      <c r="H313" s="164"/>
      <c r="I313" s="101" t="s">
        <v>519</v>
      </c>
      <c r="J313" s="101" t="str">
        <f>VLOOKUP(I313,Presupuesto!$B$11:$C$565,2,0)</f>
        <v>DECIMOCUARTO MES</v>
      </c>
      <c r="K313" s="98" t="str">
        <f t="shared" si="8"/>
        <v>Gestión Administrativa y  financiera en apoyo al Desarrollo Académico</v>
      </c>
      <c r="L313" s="98" t="s">
        <v>395</v>
      </c>
    </row>
    <row r="314" spans="3:12" ht="15.75" hidden="1" thickBot="1" x14ac:dyDescent="0.3">
      <c r="C314" s="137" t="s">
        <v>490</v>
      </c>
      <c r="D314" s="199"/>
      <c r="E314" s="152">
        <v>12</v>
      </c>
      <c r="F314" s="305">
        <f>HLOOKUP($C314,$BZ$2:$CM$3,2,0)</f>
        <v>13896.4</v>
      </c>
      <c r="G314" s="113">
        <f>D314*E314*F314</f>
        <v>0</v>
      </c>
      <c r="H314" s="166"/>
      <c r="I314" s="114" t="s">
        <v>496</v>
      </c>
      <c r="J314" s="114" t="str">
        <f>VLOOKUP(I314,Presupuesto!$B$11:$C$565,2,0)</f>
        <v>SUELDOS Y SALARIOS PERMANENTES</v>
      </c>
      <c r="K314" s="98" t="str">
        <f t="shared" si="8"/>
        <v>Gestión Administrativa y  financiera en apoyo al Desarrollo Académico</v>
      </c>
      <c r="L314" s="98" t="s">
        <v>395</v>
      </c>
    </row>
    <row r="315" spans="3:12" hidden="1" x14ac:dyDescent="0.25">
      <c r="C315" s="171" t="s">
        <v>58</v>
      </c>
      <c r="D315" s="163"/>
      <c r="E315" s="154">
        <v>0</v>
      </c>
      <c r="F315" s="100">
        <f>IF(E314=0,"",(G314/E314)/12*E314)</f>
        <v>0</v>
      </c>
      <c r="G315" s="97">
        <f>F315</f>
        <v>0</v>
      </c>
      <c r="H315" s="164"/>
      <c r="I315" s="116" t="s">
        <v>516</v>
      </c>
      <c r="J315" s="116" t="str">
        <f>VLOOKUP(I315,Presupuesto!$B$11:$C$565,2,0)</f>
        <v>AGUINALDO Y DECIMO CUARTO MES</v>
      </c>
      <c r="K315" s="98" t="str">
        <f t="shared" si="8"/>
        <v>Gestión Administrativa y  financiera en apoyo al Desarrollo Académico</v>
      </c>
      <c r="L315" s="98" t="s">
        <v>395</v>
      </c>
    </row>
    <row r="316" spans="3:12" ht="15.75" hidden="1" thickBot="1" x14ac:dyDescent="0.3">
      <c r="C316" s="172" t="s">
        <v>59</v>
      </c>
      <c r="D316" s="163"/>
      <c r="E316" s="154">
        <v>0</v>
      </c>
      <c r="F316" s="117">
        <f>IF(E314&lt;6,"",((E314-6)/12)*(G314/E314))</f>
        <v>0</v>
      </c>
      <c r="G316" s="97">
        <f>F316</f>
        <v>0</v>
      </c>
      <c r="H316" s="164"/>
      <c r="I316" s="101" t="s">
        <v>519</v>
      </c>
      <c r="J316" s="101" t="str">
        <f>VLOOKUP(I316,Presupuesto!$B$11:$C$565,2,0)</f>
        <v>DECIMOCUARTO MES</v>
      </c>
      <c r="K316" s="98" t="str">
        <f t="shared" si="8"/>
        <v>Gestión Administrativa y  financiera en apoyo al Desarrollo Académico</v>
      </c>
      <c r="L316" s="98" t="s">
        <v>395</v>
      </c>
    </row>
    <row r="317" spans="3:12" ht="15.75" hidden="1" thickBot="1" x14ac:dyDescent="0.3">
      <c r="C317" s="137" t="s">
        <v>491</v>
      </c>
      <c r="D317" s="199"/>
      <c r="E317" s="152">
        <v>12</v>
      </c>
      <c r="F317" s="305">
        <f>HLOOKUP($C317,$BZ$2:$CM$3,2,0)</f>
        <v>15004.09</v>
      </c>
      <c r="G317" s="113">
        <f>D317*E317*F317</f>
        <v>0</v>
      </c>
      <c r="H317" s="166"/>
      <c r="I317" s="114" t="s">
        <v>496</v>
      </c>
      <c r="J317" s="114" t="str">
        <f>VLOOKUP(I317,Presupuesto!$B$11:$C$565,2,0)</f>
        <v>SUELDOS Y SALARIOS PERMANENTES</v>
      </c>
      <c r="K317" s="98" t="str">
        <f t="shared" si="8"/>
        <v>Gestión Administrativa y  financiera en apoyo al Desarrollo Académico</v>
      </c>
      <c r="L317" s="98" t="s">
        <v>395</v>
      </c>
    </row>
    <row r="318" spans="3:12" hidden="1"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si="8"/>
        <v>Gestión Administrativa y  financiera en apoyo al Desarrollo Académico</v>
      </c>
      <c r="L318" s="98" t="s">
        <v>395</v>
      </c>
    </row>
    <row r="319" spans="3:12" ht="15.75" hidden="1"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8"/>
        <v>Gestión Administrativa y  financiera en apoyo al Desarrollo Académico</v>
      </c>
      <c r="L319" s="98" t="s">
        <v>395</v>
      </c>
    </row>
    <row r="320" spans="3:12" ht="15.75" hidden="1" thickBot="1" x14ac:dyDescent="0.3">
      <c r="C320" s="137" t="s">
        <v>492</v>
      </c>
      <c r="D320" s="199"/>
      <c r="E320" s="152">
        <v>12</v>
      </c>
      <c r="F320" s="305">
        <f>HLOOKUP($C320,$BZ$2:$CM$3,2,0)</f>
        <v>13238.9</v>
      </c>
      <c r="G320" s="113">
        <f>D320*E320*F320</f>
        <v>0</v>
      </c>
      <c r="H320" s="166"/>
      <c r="I320" s="114" t="s">
        <v>496</v>
      </c>
      <c r="J320" s="114" t="str">
        <f>VLOOKUP(I320,Presupuesto!$B$11:$C$565,2,0)</f>
        <v>SUELDOS Y SALARIOS PERMANENTES</v>
      </c>
      <c r="K320" s="98" t="str">
        <f t="shared" si="8"/>
        <v>Gestión Administrativa y  financiera en apoyo al Desarrollo Académico</v>
      </c>
      <c r="L320" s="98" t="s">
        <v>395</v>
      </c>
    </row>
    <row r="321" spans="3:12" hidden="1"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8"/>
        <v>Gestión Administrativa y  financiera en apoyo al Desarrollo Académico</v>
      </c>
      <c r="L321" s="98" t="s">
        <v>395</v>
      </c>
    </row>
    <row r="322" spans="3:12" ht="15.75" hidden="1"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8"/>
        <v>Gestión Administrativa y  financiera en apoyo al Desarrollo Académico</v>
      </c>
      <c r="L322" s="98" t="s">
        <v>395</v>
      </c>
    </row>
    <row r="323" spans="3:12" ht="15.75" hidden="1" thickBot="1" x14ac:dyDescent="0.3">
      <c r="C323" s="137" t="s">
        <v>493</v>
      </c>
      <c r="D323" s="199"/>
      <c r="E323" s="152">
        <v>12</v>
      </c>
      <c r="F323" s="305">
        <f>HLOOKUP($C323,$BZ$2:$CM$3,2,0)</f>
        <v>12356.31</v>
      </c>
      <c r="G323" s="113">
        <f>D323*E323*F323</f>
        <v>0</v>
      </c>
      <c r="H323" s="166"/>
      <c r="I323" s="114" t="s">
        <v>496</v>
      </c>
      <c r="J323" s="114" t="str">
        <f>VLOOKUP(I323,Presupuesto!$B$11:$C$565,2,0)</f>
        <v>SUELDOS Y SALARIOS PERMANENTES</v>
      </c>
      <c r="K323" s="98" t="str">
        <f t="shared" ref="K323:K340" si="9">$K$290</f>
        <v>Gestión Administrativa y  financiera en apoyo al Desarrollo Académico</v>
      </c>
      <c r="L323" s="98" t="s">
        <v>395</v>
      </c>
    </row>
    <row r="324" spans="3:12" hidden="1"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9"/>
        <v>Gestión Administrativa y  financiera en apoyo al Desarrollo Académico</v>
      </c>
      <c r="L324" s="98" t="s">
        <v>395</v>
      </c>
    </row>
    <row r="325" spans="3:12" ht="15.75" hidden="1"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9"/>
        <v>Gestión Administrativa y  financiera en apoyo al Desarrollo Académico</v>
      </c>
      <c r="L325" s="98" t="s">
        <v>395</v>
      </c>
    </row>
    <row r="326" spans="3:12" ht="15.75" hidden="1" thickBot="1" x14ac:dyDescent="0.3">
      <c r="C326" s="137" t="s">
        <v>494</v>
      </c>
      <c r="D326" s="199"/>
      <c r="E326" s="152">
        <v>12</v>
      </c>
      <c r="F326" s="305">
        <f>HLOOKUP($C326,$BZ$2:$CM$3,2,0)</f>
        <v>463.22</v>
      </c>
      <c r="G326" s="113">
        <f>D326*E326*F326</f>
        <v>0</v>
      </c>
      <c r="H326" s="166"/>
      <c r="I326" s="114" t="s">
        <v>496</v>
      </c>
      <c r="J326" s="114" t="str">
        <f>VLOOKUP(I326,Presupuesto!$B$11:$C$565,2,0)</f>
        <v>SUELDOS Y SALARIOS PERMANENTES</v>
      </c>
      <c r="K326" s="98" t="str">
        <f t="shared" si="9"/>
        <v>Gestión Administrativa y  financiera en apoyo al Desarrollo Académico</v>
      </c>
      <c r="L326" s="98" t="s">
        <v>395</v>
      </c>
    </row>
    <row r="327" spans="3:12" hidden="1"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9"/>
        <v>Gestión Administrativa y  financiera en apoyo al Desarrollo Académico</v>
      </c>
      <c r="L327" s="98" t="s">
        <v>395</v>
      </c>
    </row>
    <row r="328" spans="3:12" ht="15.75" hidden="1"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9"/>
        <v>Gestión Administrativa y  financiera en apoyo al Desarrollo Académico</v>
      </c>
      <c r="L328" s="98" t="s">
        <v>395</v>
      </c>
    </row>
    <row r="329" spans="3:12" ht="15.75" hidden="1" thickBot="1" x14ac:dyDescent="0.3">
      <c r="C329" s="137" t="s">
        <v>495</v>
      </c>
      <c r="D329" s="199"/>
      <c r="E329" s="152">
        <v>12</v>
      </c>
      <c r="F329" s="305">
        <f>HLOOKUP($C329,$BZ$2:$CM$3,2,0)</f>
        <v>2007.3</v>
      </c>
      <c r="G329" s="113">
        <f>D329*E329*F329</f>
        <v>0</v>
      </c>
      <c r="H329" s="166"/>
      <c r="I329" s="114" t="s">
        <v>496</v>
      </c>
      <c r="J329" s="114" t="str">
        <f>VLOOKUP(I329,Presupuesto!$B$11:$C$565,2,0)</f>
        <v>SUELDOS Y SALARIOS PERMANENTES</v>
      </c>
      <c r="K329" s="98" t="str">
        <f t="shared" si="9"/>
        <v>Gestión Administrativa y  financiera en apoyo al Desarrollo Académico</v>
      </c>
      <c r="L329" s="98" t="s">
        <v>395</v>
      </c>
    </row>
    <row r="330" spans="3:12" hidden="1"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9"/>
        <v>Gestión Administrativa y  financiera en apoyo al Desarrollo Académico</v>
      </c>
      <c r="L330" s="98" t="s">
        <v>395</v>
      </c>
    </row>
    <row r="331" spans="3:12" ht="15.75" hidden="1"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9"/>
        <v>Gestión Administrativa y  financiera en apoyo al Desarrollo Académico</v>
      </c>
      <c r="L331" s="98" t="s">
        <v>395</v>
      </c>
    </row>
    <row r="332" spans="3:12" ht="15.75" thickBot="1" x14ac:dyDescent="0.3">
      <c r="C332" s="140" t="s">
        <v>83</v>
      </c>
      <c r="D332" s="199">
        <v>1</v>
      </c>
      <c r="E332" s="152">
        <v>12</v>
      </c>
      <c r="F332" s="139">
        <v>32000</v>
      </c>
      <c r="G332" s="113">
        <f>D332*E332*F332</f>
        <v>384000</v>
      </c>
      <c r="H332" s="166" t="s">
        <v>1509</v>
      </c>
      <c r="I332" s="114" t="s">
        <v>564</v>
      </c>
      <c r="J332" s="114" t="str">
        <f>VLOOKUP(I332,[1]Presupuesto!$B$11:$C$565,2,0)</f>
        <v>CONTRATOS ESPECIALES</v>
      </c>
      <c r="K332" s="98" t="str">
        <f t="shared" si="9"/>
        <v>Gestión Administrativa y  financiera en apoyo al Desarrollo Académico</v>
      </c>
      <c r="L332" s="98" t="s">
        <v>394</v>
      </c>
    </row>
    <row r="333" spans="3:12" x14ac:dyDescent="0.25">
      <c r="C333" s="171" t="s">
        <v>58</v>
      </c>
      <c r="D333" s="163"/>
      <c r="E333" s="154">
        <v>0</v>
      </c>
      <c r="F333" s="117">
        <f>IF(E332=0,"",(G332/E332)/12*E332)</f>
        <v>32000</v>
      </c>
      <c r="G333" s="97">
        <f>F333</f>
        <v>32000</v>
      </c>
      <c r="H333" s="164" t="s">
        <v>1509</v>
      </c>
      <c r="I333" s="101" t="s">
        <v>564</v>
      </c>
      <c r="J333" s="101" t="str">
        <f>VLOOKUP(I333,[1]Presupuesto!$B$11:$C$565,2,0)</f>
        <v>CONTRATOS ESPECIALES</v>
      </c>
      <c r="K333" s="98" t="str">
        <f t="shared" si="9"/>
        <v>Gestión Administrativa y  financiera en apoyo al Desarrollo Académico</v>
      </c>
      <c r="L333" s="98" t="s">
        <v>404</v>
      </c>
    </row>
    <row r="334" spans="3:12" ht="15.75" thickBot="1" x14ac:dyDescent="0.3">
      <c r="C334" s="173" t="s">
        <v>59</v>
      </c>
      <c r="D334" s="162"/>
      <c r="E334" s="132">
        <v>0</v>
      </c>
      <c r="F334" s="104">
        <v>32000</v>
      </c>
      <c r="G334" s="105">
        <f>F334</f>
        <v>32000</v>
      </c>
      <c r="H334" s="162" t="s">
        <v>1509</v>
      </c>
      <c r="I334" s="124" t="s">
        <v>564</v>
      </c>
      <c r="J334" s="124" t="str">
        <f>VLOOKUP(I334,[1]Presupuesto!$B$11:$C$565,2,0)</f>
        <v>CONTRATOS ESPECIALES</v>
      </c>
      <c r="K334" s="124" t="str">
        <f t="shared" si="9"/>
        <v>Gestión Administrativa y  financiera en apoyo al Desarrollo Académico</v>
      </c>
      <c r="L334" s="124" t="s">
        <v>398</v>
      </c>
    </row>
    <row r="335" spans="3:12" ht="15.75" hidden="1" thickBot="1" x14ac:dyDescent="0.3">
      <c r="C335" s="546" t="s">
        <v>60</v>
      </c>
      <c r="D335" s="547"/>
      <c r="E335" s="548">
        <v>12</v>
      </c>
      <c r="F335" s="123">
        <v>30000</v>
      </c>
      <c r="G335" s="549">
        <f>D335*E335*F335</f>
        <v>0</v>
      </c>
      <c r="H335" s="550"/>
      <c r="I335" s="551" t="s">
        <v>705</v>
      </c>
      <c r="J335" s="551" t="str">
        <f>VLOOKUP(I335,Presupuesto!$B$11:$C$565,2,0)</f>
        <v>OTROS SERVICIOS TECNICOS Y PROFESIONALES</v>
      </c>
      <c r="K335" s="98" t="str">
        <f t="shared" si="9"/>
        <v>Gestión Administrativa y  financiera en apoyo al Desarrollo Académico</v>
      </c>
      <c r="L335" s="98" t="s">
        <v>394</v>
      </c>
    </row>
    <row r="336" spans="3:12" hidden="1" x14ac:dyDescent="0.25">
      <c r="C336" s="171" t="s">
        <v>58</v>
      </c>
      <c r="D336" s="163"/>
      <c r="E336" s="154">
        <v>0</v>
      </c>
      <c r="F336" s="100">
        <v>0</v>
      </c>
      <c r="G336" s="97">
        <f>F336</f>
        <v>0</v>
      </c>
      <c r="H336" s="164"/>
      <c r="I336" s="101" t="s">
        <v>705</v>
      </c>
      <c r="J336" s="101" t="str">
        <f>VLOOKUP(I336,Presupuesto!$B$11:$C$565,2,0)</f>
        <v>OTROS SERVICIOS TECNICOS Y PROFESIONALES</v>
      </c>
      <c r="K336" s="98" t="str">
        <f t="shared" si="9"/>
        <v>Gestión Administrativa y  financiera en apoyo al Desarrollo Académico</v>
      </c>
      <c r="L336" s="98" t="s">
        <v>394</v>
      </c>
    </row>
    <row r="337" spans="3:12" ht="15.75" hidden="1" thickBot="1" x14ac:dyDescent="0.3">
      <c r="C337" s="172" t="s">
        <v>59</v>
      </c>
      <c r="D337" s="163"/>
      <c r="E337" s="154">
        <v>0</v>
      </c>
      <c r="F337" s="100">
        <v>0</v>
      </c>
      <c r="G337" s="97">
        <f>F337</f>
        <v>0</v>
      </c>
      <c r="H337" s="164"/>
      <c r="I337" s="101" t="s">
        <v>705</v>
      </c>
      <c r="J337" s="101" t="str">
        <f>VLOOKUP(I337,Presupuesto!$B$11:$C$565,2,0)</f>
        <v>OTROS SERVICIOS TECNICOS Y PROFESIONALES</v>
      </c>
      <c r="K337" s="98" t="str">
        <f t="shared" si="9"/>
        <v>Gestión Administrativa y  financiera en apoyo al Desarrollo Académico</v>
      </c>
      <c r="L337" s="98" t="s">
        <v>394</v>
      </c>
    </row>
    <row r="338" spans="3:12" ht="15.75" hidden="1" thickBot="1" x14ac:dyDescent="0.3">
      <c r="C338" s="140" t="s">
        <v>61</v>
      </c>
      <c r="D338" s="199"/>
      <c r="E338" s="152">
        <v>12</v>
      </c>
      <c r="F338" s="118">
        <v>30000</v>
      </c>
      <c r="G338" s="113">
        <f>D338*E338*F338</f>
        <v>0</v>
      </c>
      <c r="H338" s="166"/>
      <c r="I338" s="114" t="s">
        <v>496</v>
      </c>
      <c r="J338" s="114" t="str">
        <f>VLOOKUP(I338,Presupuesto!$B$11:$C$565,2,0)</f>
        <v>SUELDOS Y SALARIOS PERMANENTES</v>
      </c>
      <c r="K338" s="98" t="str">
        <f t="shared" si="9"/>
        <v>Gestión Administrativa y  financiera en apoyo al Desarrollo Académico</v>
      </c>
      <c r="L338" s="98" t="s">
        <v>394</v>
      </c>
    </row>
    <row r="339" spans="3:12" hidden="1" x14ac:dyDescent="0.25">
      <c r="C339" s="171" t="s">
        <v>58</v>
      </c>
      <c r="D339" s="169"/>
      <c r="E339" s="131">
        <v>0</v>
      </c>
      <c r="F339" s="119">
        <f>IF(E338=0,"",(G338/E338)/12*E338)</f>
        <v>0</v>
      </c>
      <c r="G339" s="120">
        <f>F339</f>
        <v>0</v>
      </c>
      <c r="H339" s="164"/>
      <c r="I339" s="101" t="s">
        <v>516</v>
      </c>
      <c r="J339" s="101" t="str">
        <f>VLOOKUP(I339,Presupuesto!$B$11:$C$565,2,0)</f>
        <v>AGUINALDO Y DECIMO CUARTO MES</v>
      </c>
      <c r="K339" s="98" t="str">
        <f t="shared" si="9"/>
        <v>Gestión Administrativa y  financiera en apoyo al Desarrollo Académico</v>
      </c>
      <c r="L339" s="98" t="s">
        <v>394</v>
      </c>
    </row>
    <row r="340" spans="3:12" ht="15.75" hidden="1" thickBot="1" x14ac:dyDescent="0.3">
      <c r="C340" s="173" t="s">
        <v>59</v>
      </c>
      <c r="D340" s="162"/>
      <c r="E340" s="132">
        <v>0</v>
      </c>
      <c r="F340" s="105">
        <f>IF(E338&lt;6,"",((E338-6)/12)*(G338/E338))</f>
        <v>0</v>
      </c>
      <c r="G340" s="105">
        <f>F340</f>
        <v>0</v>
      </c>
      <c r="H340" s="162"/>
      <c r="I340" s="106" t="s">
        <v>519</v>
      </c>
      <c r="J340" s="124" t="str">
        <f>VLOOKUP(I340,Presupuesto!$B$11:$C$565,2,0)</f>
        <v>DECIMOCUARTO MES</v>
      </c>
      <c r="K340" s="106" t="str">
        <f t="shared" si="9"/>
        <v>Gestión Administrativa y  financiera en apoyo al Desarrollo Académico</v>
      </c>
      <c r="L340" s="124" t="s">
        <v>394</v>
      </c>
    </row>
    <row r="342" spans="3:12" ht="15.75" thickBot="1" x14ac:dyDescent="0.3">
      <c r="K342" s="153"/>
    </row>
    <row r="343" spans="3:12" ht="15.75" thickBot="1" x14ac:dyDescent="0.3">
      <c r="C343" s="69" t="s">
        <v>43</v>
      </c>
      <c r="D343" s="30">
        <f>SUM(G350:G400)</f>
        <v>490000</v>
      </c>
      <c r="E343" s="93"/>
      <c r="F343" s="93"/>
      <c r="G343" s="93"/>
      <c r="H343" s="76"/>
      <c r="I343" s="76"/>
      <c r="J343" s="76"/>
      <c r="K343" s="153"/>
    </row>
    <row r="344" spans="3:12" x14ac:dyDescent="0.25">
      <c r="D344" s="31"/>
      <c r="E344" s="93"/>
      <c r="F344" s="93"/>
      <c r="G344" s="93"/>
      <c r="H344" s="76"/>
      <c r="I344" s="76"/>
      <c r="J344" s="76"/>
      <c r="K344" s="153"/>
    </row>
    <row r="345" spans="3:12" x14ac:dyDescent="0.25">
      <c r="D345" s="31"/>
      <c r="E345" s="93"/>
      <c r="F345" s="93"/>
      <c r="G345" s="93"/>
      <c r="H345" s="76"/>
      <c r="I345" s="76"/>
      <c r="J345" s="76"/>
      <c r="K345" s="153"/>
    </row>
    <row r="346" spans="3:12" ht="15.75" x14ac:dyDescent="0.25">
      <c r="C346" s="202" t="s">
        <v>392</v>
      </c>
      <c r="D346" s="370" t="s">
        <v>1608</v>
      </c>
      <c r="E346" s="93"/>
      <c r="F346" s="93"/>
      <c r="G346" s="93"/>
      <c r="H346" s="76"/>
      <c r="I346" s="76"/>
      <c r="J346" s="76"/>
      <c r="K346" s="153"/>
    </row>
    <row r="347" spans="3:12" ht="18.75" x14ac:dyDescent="0.25">
      <c r="C347" s="211" t="str">
        <f>IFERROR(VLOOKUP(D346,'1. Desarrollo e Innov. Curricu.'!$E:$F,2,FALSE),IFERROR(VLOOKUP(D346,'2. Investigación Científica'!$E:$F,2,FALSE),IFERROR(VLOOKUP(D346,'3. Vinculación Univ. Sociedad'!$E:$F,2,FALSE),IFERROR(VLOOKUP(D346,'4. Docencia y Profesorado Univ.'!$E:$F,2,FALSE),IFERROR(VLOOKUP(D346,'5. Estudiantes y Graduados'!$E:$F,2,FALSE),IFERROR(VLOOKUP(D346,'11. Gestion Administrativa'!$E:$F,2,FALSE),IFERROR(VLOOKUP(D346,'13. Gestión Académica'!$E:$F,2,FALSE),IFERROR(VLOOKUP(D346,'8. Asegura. de la Calid. y M'!$E:$F,2,FALSE),IFERROR(VLOOKUP(D346,'6. Gestión del Conocimiento'!$E:$F,2,FALSE),IFERROR(VLOOKUP(D346,'15. Gobernabilidad y Proceso...'!$E:$F,2,FALSE),IFERROR(VLOOKUP(D346,'12. Gestión del Talento Humano'!$E:$F,2,FALSE),IFERROR(VLOOKUP(D346,'14. Internacional... de la E.S.'!$E:$F,2,FALSE),IFERROR(VLOOKUP(D346,'10. Posgrado'!$E:$F,2,FALSE),IFERROR(VLOOKUP(D346,'17. Gestión TIC'!$E:$F,2,FALSE),IFERROR(VLOOKUP(D346,'16. Desa. del Sistema Educ.Sup.'!$E:$F,2,FALSE),IFERROR(VLOOKUP(D346,'9. Cultura de Inno. Insti...'!$E:$F,2,FALSE),VLOOKUP(D346,'7. Lo Esencial de la Reforma U.'!$E:$F,2,0)))))))))))))))))</f>
        <v>Contratación de servicios profesionales</v>
      </c>
      <c r="D347" s="31"/>
      <c r="E347" s="93"/>
      <c r="F347" s="93"/>
      <c r="G347" s="93"/>
      <c r="H347" s="76"/>
      <c r="I347" s="76"/>
      <c r="J347" s="76"/>
      <c r="K347" s="153"/>
    </row>
    <row r="348" spans="3:12" ht="15.75" thickBot="1" x14ac:dyDescent="0.3">
      <c r="C348" s="177"/>
      <c r="D348" s="31"/>
      <c r="E348" s="93"/>
      <c r="F348" s="93"/>
      <c r="G348" s="93"/>
      <c r="H348" s="76"/>
      <c r="I348" s="76"/>
      <c r="J348" s="76"/>
      <c r="K348" s="153"/>
    </row>
    <row r="349" spans="3:12" ht="30.75" thickBot="1" x14ac:dyDescent="0.3">
      <c r="C349" s="134" t="s">
        <v>44</v>
      </c>
      <c r="D349" s="138" t="s">
        <v>55</v>
      </c>
      <c r="E349" s="170" t="s">
        <v>56</v>
      </c>
      <c r="F349" s="138" t="s">
        <v>57</v>
      </c>
      <c r="G349" s="135" t="s">
        <v>27</v>
      </c>
      <c r="H349" s="133" t="s">
        <v>131</v>
      </c>
      <c r="I349" s="136" t="s">
        <v>46</v>
      </c>
      <c r="J349" s="136" t="s">
        <v>132</v>
      </c>
      <c r="K349" s="136" t="s">
        <v>410</v>
      </c>
      <c r="L349" s="136" t="s">
        <v>411</v>
      </c>
    </row>
    <row r="350" spans="3:12" ht="15.75" hidden="1" thickBot="1" x14ac:dyDescent="0.3">
      <c r="C350" s="137" t="s">
        <v>482</v>
      </c>
      <c r="D350" s="199"/>
      <c r="E350" s="152">
        <v>12</v>
      </c>
      <c r="F350" s="305">
        <f>HLOOKUP($C350,$BZ$2:$CM$3,2,0)</f>
        <v>43674.39</v>
      </c>
      <c r="G350" s="113">
        <f>D350*E350*F350</f>
        <v>0</v>
      </c>
      <c r="H350" s="166"/>
      <c r="I350" s="114" t="s">
        <v>496</v>
      </c>
      <c r="J350" s="114" t="str">
        <f>VLOOKUP(I350,Presupuesto!$B$11:$C$565,2,0)</f>
        <v>SUELDOS Y SALARIOS PERMANENTES</v>
      </c>
      <c r="K350" s="219" t="s">
        <v>1364</v>
      </c>
      <c r="L350" s="98" t="s">
        <v>394</v>
      </c>
    </row>
    <row r="351" spans="3:12" hidden="1"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ref="K351:K382" si="10">$K$350</f>
        <v>Gestión Administrativa y  financiera en apoyo al Desarrollo Académico</v>
      </c>
      <c r="L351" s="98" t="s">
        <v>412</v>
      </c>
    </row>
    <row r="352" spans="3:12" ht="15.75" hidden="1"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0"/>
        <v>Gestión Administrativa y  financiera en apoyo al Desarrollo Académico</v>
      </c>
      <c r="L352" s="98" t="s">
        <v>395</v>
      </c>
    </row>
    <row r="353" spans="3:12" ht="15.75" hidden="1" thickBot="1" x14ac:dyDescent="0.3">
      <c r="C353" s="137" t="s">
        <v>483</v>
      </c>
      <c r="D353" s="199"/>
      <c r="E353" s="152">
        <v>12</v>
      </c>
      <c r="F353" s="305">
        <f>HLOOKUP($C353,$BZ$2:$CM$3,2,0)</f>
        <v>39703.99</v>
      </c>
      <c r="G353" s="113">
        <f>D353*E353*F353</f>
        <v>0</v>
      </c>
      <c r="H353" s="166"/>
      <c r="I353" s="114" t="s">
        <v>496</v>
      </c>
      <c r="J353" s="114" t="str">
        <f>VLOOKUP(I353,Presupuesto!$B$11:$C$565,2,0)</f>
        <v>SUELDOS Y SALARIOS PERMANENTES</v>
      </c>
      <c r="K353" s="98" t="str">
        <f t="shared" si="10"/>
        <v>Gestión Administrativa y  financiera en apoyo al Desarrollo Académico</v>
      </c>
      <c r="L353" s="98" t="s">
        <v>395</v>
      </c>
    </row>
    <row r="354" spans="3:12" hidden="1"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0"/>
        <v>Gestión Administrativa y  financiera en apoyo al Desarrollo Académico</v>
      </c>
      <c r="L354" s="98" t="s">
        <v>395</v>
      </c>
    </row>
    <row r="355" spans="3:12" ht="15.75" hidden="1"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0"/>
        <v>Gestión Administrativa y  financiera en apoyo al Desarrollo Académico</v>
      </c>
      <c r="L355" s="98" t="s">
        <v>395</v>
      </c>
    </row>
    <row r="356" spans="3:12" ht="15.75" hidden="1" thickBot="1" x14ac:dyDescent="0.3">
      <c r="C356" s="137" t="s">
        <v>484</v>
      </c>
      <c r="D356" s="199"/>
      <c r="E356" s="152">
        <v>12</v>
      </c>
      <c r="F356" s="305">
        <f>HLOOKUP($C356,$BZ$2:$CM$3,2,0)</f>
        <v>35733.589999999997</v>
      </c>
      <c r="G356" s="113">
        <f>D356*E356*F356</f>
        <v>0</v>
      </c>
      <c r="H356" s="166"/>
      <c r="I356" s="114" t="s">
        <v>496</v>
      </c>
      <c r="J356" s="114" t="str">
        <f>VLOOKUP(I356,Presupuesto!$B$11:$C$565,2,0)</f>
        <v>SUELDOS Y SALARIOS PERMANENTES</v>
      </c>
      <c r="K356" s="98" t="str">
        <f t="shared" si="10"/>
        <v>Gestión Administrativa y  financiera en apoyo al Desarrollo Académico</v>
      </c>
      <c r="L356" s="98" t="s">
        <v>395</v>
      </c>
    </row>
    <row r="357" spans="3:12" hidden="1"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0"/>
        <v>Gestión Administrativa y  financiera en apoyo al Desarrollo Académico</v>
      </c>
      <c r="L357" s="98" t="s">
        <v>395</v>
      </c>
    </row>
    <row r="358" spans="3:12" ht="15.75" hidden="1"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0"/>
        <v>Gestión Administrativa y  financiera en apoyo al Desarrollo Académico</v>
      </c>
      <c r="L358" s="98" t="s">
        <v>395</v>
      </c>
    </row>
    <row r="359" spans="3:12" ht="15.75" hidden="1" thickBot="1" x14ac:dyDescent="0.3">
      <c r="C359" s="137" t="s">
        <v>485</v>
      </c>
      <c r="D359" s="199"/>
      <c r="E359" s="152">
        <v>12</v>
      </c>
      <c r="F359" s="305">
        <f>HLOOKUP($C359,$BZ$2:$CM$3,2,0)</f>
        <v>31763.19</v>
      </c>
      <c r="G359" s="113">
        <f>D359*E359*F359</f>
        <v>0</v>
      </c>
      <c r="H359" s="166"/>
      <c r="I359" s="114" t="s">
        <v>496</v>
      </c>
      <c r="J359" s="114" t="str">
        <f>VLOOKUP(I359,Presupuesto!$B$11:$C$565,2,0)</f>
        <v>SUELDOS Y SALARIOS PERMANENTES</v>
      </c>
      <c r="K359" s="98" t="str">
        <f t="shared" si="10"/>
        <v>Gestión Administrativa y  financiera en apoyo al Desarrollo Académico</v>
      </c>
      <c r="L359" s="98" t="s">
        <v>395</v>
      </c>
    </row>
    <row r="360" spans="3:12" hidden="1" x14ac:dyDescent="0.25">
      <c r="C360" s="171" t="s">
        <v>58</v>
      </c>
      <c r="D360" s="163"/>
      <c r="E360" s="154">
        <v>0</v>
      </c>
      <c r="F360" s="100">
        <f>IF(E359=0,"",(G359/E359)/12*E359)</f>
        <v>0</v>
      </c>
      <c r="G360" s="97">
        <f>F360</f>
        <v>0</v>
      </c>
      <c r="H360" s="164"/>
      <c r="I360" s="116" t="s">
        <v>516</v>
      </c>
      <c r="J360" s="116" t="str">
        <f>VLOOKUP(I360,Presupuesto!$B$11:$C$565,2,0)</f>
        <v>AGUINALDO Y DECIMO CUARTO MES</v>
      </c>
      <c r="K360" s="98" t="str">
        <f t="shared" si="10"/>
        <v>Gestión Administrativa y  financiera en apoyo al Desarrollo Académico</v>
      </c>
      <c r="L360" s="98" t="s">
        <v>395</v>
      </c>
    </row>
    <row r="361" spans="3:12" ht="15.75" hidden="1" thickBot="1" x14ac:dyDescent="0.3">
      <c r="C361" s="172" t="s">
        <v>59</v>
      </c>
      <c r="D361" s="163"/>
      <c r="E361" s="154">
        <v>0</v>
      </c>
      <c r="F361" s="117">
        <f>IF(E359&lt;6,"",((E359-6)/12)*(G359/E359))</f>
        <v>0</v>
      </c>
      <c r="G361" s="97">
        <f>F361</f>
        <v>0</v>
      </c>
      <c r="H361" s="164"/>
      <c r="I361" s="101" t="s">
        <v>519</v>
      </c>
      <c r="J361" s="101" t="str">
        <f>VLOOKUP(I361,Presupuesto!$B$11:$C$565,2,0)</f>
        <v>DECIMOCUARTO MES</v>
      </c>
      <c r="K361" s="98" t="str">
        <f t="shared" si="10"/>
        <v>Gestión Administrativa y  financiera en apoyo al Desarrollo Académico</v>
      </c>
      <c r="L361" s="98" t="s">
        <v>395</v>
      </c>
    </row>
    <row r="362" spans="3:12" ht="15.75" hidden="1" thickBot="1" x14ac:dyDescent="0.3">
      <c r="C362" s="137" t="s">
        <v>486</v>
      </c>
      <c r="D362" s="199"/>
      <c r="E362" s="152">
        <v>12</v>
      </c>
      <c r="F362" s="305">
        <f>HLOOKUP($C362,$BZ$2:$CM$3,2,0)</f>
        <v>29777.99</v>
      </c>
      <c r="G362" s="113">
        <f>D362*E362*F362</f>
        <v>0</v>
      </c>
      <c r="H362" s="166"/>
      <c r="I362" s="114" t="s">
        <v>496</v>
      </c>
      <c r="J362" s="114" t="str">
        <f>VLOOKUP(I362,Presupuesto!$B$11:$C$565,2,0)</f>
        <v>SUELDOS Y SALARIOS PERMANENTES</v>
      </c>
      <c r="K362" s="98" t="str">
        <f t="shared" si="10"/>
        <v>Gestión Administrativa y  financiera en apoyo al Desarrollo Académico</v>
      </c>
      <c r="L362" s="98" t="s">
        <v>395</v>
      </c>
    </row>
    <row r="363" spans="3:12" hidden="1" x14ac:dyDescent="0.25">
      <c r="C363" s="171" t="s">
        <v>58</v>
      </c>
      <c r="D363" s="163"/>
      <c r="E363" s="154">
        <v>0</v>
      </c>
      <c r="F363" s="100">
        <f>IF(E362=0,"",(G362/E362)/12*E362)</f>
        <v>0</v>
      </c>
      <c r="G363" s="97">
        <f>F363</f>
        <v>0</v>
      </c>
      <c r="H363" s="164"/>
      <c r="I363" s="116" t="s">
        <v>516</v>
      </c>
      <c r="J363" s="116" t="str">
        <f>VLOOKUP(I363,Presupuesto!$B$11:$C$565,2,0)</f>
        <v>AGUINALDO Y DECIMO CUARTO MES</v>
      </c>
      <c r="K363" s="98" t="str">
        <f t="shared" si="10"/>
        <v>Gestión Administrativa y  financiera en apoyo al Desarrollo Académico</v>
      </c>
      <c r="L363" s="98" t="s">
        <v>395</v>
      </c>
    </row>
    <row r="364" spans="3:12" ht="15.75" hidden="1" thickBot="1" x14ac:dyDescent="0.3">
      <c r="C364" s="172" t="s">
        <v>59</v>
      </c>
      <c r="D364" s="163"/>
      <c r="E364" s="154">
        <v>0</v>
      </c>
      <c r="F364" s="117">
        <f>IF(E362&lt;6,"",((E362-6)/12)*(G362/E362))</f>
        <v>0</v>
      </c>
      <c r="G364" s="97">
        <f>F364</f>
        <v>0</v>
      </c>
      <c r="H364" s="164"/>
      <c r="I364" s="101" t="s">
        <v>519</v>
      </c>
      <c r="J364" s="101" t="str">
        <f>VLOOKUP(I364,Presupuesto!$B$11:$C$565,2,0)</f>
        <v>DECIMOCUARTO MES</v>
      </c>
      <c r="K364" s="98" t="str">
        <f t="shared" si="10"/>
        <v>Gestión Administrativa y  financiera en apoyo al Desarrollo Académico</v>
      </c>
      <c r="L364" s="98" t="s">
        <v>395</v>
      </c>
    </row>
    <row r="365" spans="3:12" ht="15.75" hidden="1" thickBot="1" x14ac:dyDescent="0.3">
      <c r="C365" s="137" t="s">
        <v>487</v>
      </c>
      <c r="D365" s="199"/>
      <c r="E365" s="152">
        <v>12</v>
      </c>
      <c r="F365" s="305">
        <f>HLOOKUP($C365,$BZ$2:$CM$3,2,0)</f>
        <v>27792.79</v>
      </c>
      <c r="G365" s="113">
        <f>D365*E365*F365</f>
        <v>0</v>
      </c>
      <c r="H365" s="166"/>
      <c r="I365" s="114" t="s">
        <v>496</v>
      </c>
      <c r="J365" s="114" t="str">
        <f>VLOOKUP(I365,Presupuesto!$B$11:$C$565,2,0)</f>
        <v>SUELDOS Y SALARIOS PERMANENTES</v>
      </c>
      <c r="K365" s="98" t="str">
        <f t="shared" si="10"/>
        <v>Gestión Administrativa y  financiera en apoyo al Desarrollo Académico</v>
      </c>
      <c r="L365" s="98" t="s">
        <v>395</v>
      </c>
    </row>
    <row r="366" spans="3:12" hidden="1" x14ac:dyDescent="0.25">
      <c r="C366" s="171" t="s">
        <v>58</v>
      </c>
      <c r="D366" s="163"/>
      <c r="E366" s="154">
        <v>0</v>
      </c>
      <c r="F366" s="100">
        <f>IF(E365=0,"",(G365/E365)/12*E365)</f>
        <v>0</v>
      </c>
      <c r="G366" s="97">
        <f>F366</f>
        <v>0</v>
      </c>
      <c r="H366" s="164"/>
      <c r="I366" s="116" t="s">
        <v>516</v>
      </c>
      <c r="J366" s="116" t="str">
        <f>VLOOKUP(I366,Presupuesto!$B$11:$C$565,2,0)</f>
        <v>AGUINALDO Y DECIMO CUARTO MES</v>
      </c>
      <c r="K366" s="98" t="str">
        <f t="shared" si="10"/>
        <v>Gestión Administrativa y  financiera en apoyo al Desarrollo Académico</v>
      </c>
      <c r="L366" s="98" t="s">
        <v>395</v>
      </c>
    </row>
    <row r="367" spans="3:12" ht="15.75" hidden="1" thickBot="1" x14ac:dyDescent="0.3">
      <c r="C367" s="172" t="s">
        <v>59</v>
      </c>
      <c r="D367" s="163"/>
      <c r="E367" s="154">
        <v>0</v>
      </c>
      <c r="F367" s="117">
        <f>IF(E365&lt;6,"",((E365-6)/12)*(G365/E365))</f>
        <v>0</v>
      </c>
      <c r="G367" s="97">
        <f>F367</f>
        <v>0</v>
      </c>
      <c r="H367" s="164"/>
      <c r="I367" s="101" t="s">
        <v>519</v>
      </c>
      <c r="J367" s="101" t="str">
        <f>VLOOKUP(I367,Presupuesto!$B$11:$C$565,2,0)</f>
        <v>DECIMOCUARTO MES</v>
      </c>
      <c r="K367" s="98" t="str">
        <f t="shared" si="10"/>
        <v>Gestión Administrativa y  financiera en apoyo al Desarrollo Académico</v>
      </c>
      <c r="L367" s="98" t="s">
        <v>395</v>
      </c>
    </row>
    <row r="368" spans="3:12" ht="15.75" hidden="1" thickBot="1" x14ac:dyDescent="0.3">
      <c r="C368" s="137" t="s">
        <v>488</v>
      </c>
      <c r="D368" s="199"/>
      <c r="E368" s="152">
        <v>12</v>
      </c>
      <c r="F368" s="305">
        <f>HLOOKUP($C368,$BZ$2:$CM$3,2,0)</f>
        <v>18859.39</v>
      </c>
      <c r="G368" s="113">
        <f>D368*E368*F368</f>
        <v>0</v>
      </c>
      <c r="H368" s="166"/>
      <c r="I368" s="114" t="s">
        <v>496</v>
      </c>
      <c r="J368" s="114" t="str">
        <f>VLOOKUP(I368,Presupuesto!$B$11:$C$565,2,0)</f>
        <v>SUELDOS Y SALARIOS PERMANENTES</v>
      </c>
      <c r="K368" s="98" t="str">
        <f t="shared" si="10"/>
        <v>Gestión Administrativa y  financiera en apoyo al Desarrollo Académico</v>
      </c>
      <c r="L368" s="98" t="s">
        <v>395</v>
      </c>
    </row>
    <row r="369" spans="3:12" hidden="1" x14ac:dyDescent="0.25">
      <c r="C369" s="171" t="s">
        <v>58</v>
      </c>
      <c r="D369" s="163"/>
      <c r="E369" s="154">
        <v>0</v>
      </c>
      <c r="F369" s="100">
        <f>IF(E368=0,"",(G368/E368)/12*E368)</f>
        <v>0</v>
      </c>
      <c r="G369" s="97">
        <f>F369</f>
        <v>0</v>
      </c>
      <c r="H369" s="164"/>
      <c r="I369" s="116" t="s">
        <v>516</v>
      </c>
      <c r="J369" s="116" t="str">
        <f>VLOOKUP(I369,Presupuesto!$B$11:$C$565,2,0)</f>
        <v>AGUINALDO Y DECIMO CUARTO MES</v>
      </c>
      <c r="K369" s="98" t="str">
        <f t="shared" si="10"/>
        <v>Gestión Administrativa y  financiera en apoyo al Desarrollo Académico</v>
      </c>
      <c r="L369" s="98" t="s">
        <v>395</v>
      </c>
    </row>
    <row r="370" spans="3:12" ht="15.75" hidden="1" thickBot="1" x14ac:dyDescent="0.3">
      <c r="C370" s="172" t="s">
        <v>59</v>
      </c>
      <c r="D370" s="163"/>
      <c r="E370" s="154">
        <v>0</v>
      </c>
      <c r="F370" s="117">
        <f>IF(E368&lt;6,"",((E368-6)/12)*(G368/E368))</f>
        <v>0</v>
      </c>
      <c r="G370" s="97">
        <f>F370</f>
        <v>0</v>
      </c>
      <c r="H370" s="164"/>
      <c r="I370" s="101" t="s">
        <v>519</v>
      </c>
      <c r="J370" s="101" t="str">
        <f>VLOOKUP(I370,Presupuesto!$B$11:$C$565,2,0)</f>
        <v>DECIMOCUARTO MES</v>
      </c>
      <c r="K370" s="98" t="str">
        <f t="shared" si="10"/>
        <v>Gestión Administrativa y  financiera en apoyo al Desarrollo Académico</v>
      </c>
      <c r="L370" s="98" t="s">
        <v>395</v>
      </c>
    </row>
    <row r="371" spans="3:12" ht="15.75" hidden="1" thickBot="1" x14ac:dyDescent="0.3">
      <c r="C371" s="137" t="s">
        <v>489</v>
      </c>
      <c r="D371" s="199"/>
      <c r="E371" s="152">
        <v>12</v>
      </c>
      <c r="F371" s="305">
        <f>HLOOKUP($C371,$BZ$2:$CM$3,2,0)</f>
        <v>17866.8</v>
      </c>
      <c r="G371" s="113">
        <f>D371*E371*F371</f>
        <v>0</v>
      </c>
      <c r="H371" s="166"/>
      <c r="I371" s="114" t="s">
        <v>496</v>
      </c>
      <c r="J371" s="114" t="str">
        <f>VLOOKUP(I371,Presupuesto!$B$11:$C$565,2,0)</f>
        <v>SUELDOS Y SALARIOS PERMANENTES</v>
      </c>
      <c r="K371" s="98" t="str">
        <f t="shared" si="10"/>
        <v>Gestión Administrativa y  financiera en apoyo al Desarrollo Académico</v>
      </c>
      <c r="L371" s="98" t="s">
        <v>395</v>
      </c>
    </row>
    <row r="372" spans="3:12" hidden="1" x14ac:dyDescent="0.25">
      <c r="C372" s="171" t="s">
        <v>58</v>
      </c>
      <c r="D372" s="163"/>
      <c r="E372" s="154">
        <v>0</v>
      </c>
      <c r="F372" s="100">
        <f>IF(E371=0,"",(G371/E371)/12*E371)</f>
        <v>0</v>
      </c>
      <c r="G372" s="97">
        <f>F372</f>
        <v>0</v>
      </c>
      <c r="H372" s="164"/>
      <c r="I372" s="116" t="s">
        <v>516</v>
      </c>
      <c r="J372" s="116" t="str">
        <f>VLOOKUP(I372,Presupuesto!$B$11:$C$565,2,0)</f>
        <v>AGUINALDO Y DECIMO CUARTO MES</v>
      </c>
      <c r="K372" s="98" t="str">
        <f t="shared" si="10"/>
        <v>Gestión Administrativa y  financiera en apoyo al Desarrollo Académico</v>
      </c>
      <c r="L372" s="98" t="s">
        <v>395</v>
      </c>
    </row>
    <row r="373" spans="3:12" ht="15.75" hidden="1" thickBot="1" x14ac:dyDescent="0.3">
      <c r="C373" s="172" t="s">
        <v>59</v>
      </c>
      <c r="D373" s="163"/>
      <c r="E373" s="154">
        <v>0</v>
      </c>
      <c r="F373" s="117">
        <f>IF(E371&lt;6,"",((E371-6)/12)*(G371/E371))</f>
        <v>0</v>
      </c>
      <c r="G373" s="97">
        <f>F373</f>
        <v>0</v>
      </c>
      <c r="H373" s="164"/>
      <c r="I373" s="101" t="s">
        <v>519</v>
      </c>
      <c r="J373" s="101" t="str">
        <f>VLOOKUP(I373,Presupuesto!$B$11:$C$565,2,0)</f>
        <v>DECIMOCUARTO MES</v>
      </c>
      <c r="K373" s="98" t="str">
        <f t="shared" si="10"/>
        <v>Gestión Administrativa y  financiera en apoyo al Desarrollo Académico</v>
      </c>
      <c r="L373" s="98" t="s">
        <v>395</v>
      </c>
    </row>
    <row r="374" spans="3:12" ht="15.75" hidden="1" thickBot="1" x14ac:dyDescent="0.3">
      <c r="C374" s="137" t="s">
        <v>490</v>
      </c>
      <c r="D374" s="199"/>
      <c r="E374" s="152">
        <v>12</v>
      </c>
      <c r="F374" s="305">
        <f>HLOOKUP($C374,$BZ$2:$CM$3,2,0)</f>
        <v>13896.4</v>
      </c>
      <c r="G374" s="113">
        <f>D374*E374*F374</f>
        <v>0</v>
      </c>
      <c r="H374" s="166"/>
      <c r="I374" s="114" t="s">
        <v>496</v>
      </c>
      <c r="J374" s="114" t="str">
        <f>VLOOKUP(I374,Presupuesto!$B$11:$C$565,2,0)</f>
        <v>SUELDOS Y SALARIOS PERMANENTES</v>
      </c>
      <c r="K374" s="98" t="str">
        <f t="shared" si="10"/>
        <v>Gestión Administrativa y  financiera en apoyo al Desarrollo Académico</v>
      </c>
      <c r="L374" s="98" t="s">
        <v>395</v>
      </c>
    </row>
    <row r="375" spans="3:12" hidden="1" x14ac:dyDescent="0.25">
      <c r="C375" s="171" t="s">
        <v>58</v>
      </c>
      <c r="D375" s="163"/>
      <c r="E375" s="154">
        <v>0</v>
      </c>
      <c r="F375" s="100">
        <f>IF(E374=0,"",(G374/E374)/12*E374)</f>
        <v>0</v>
      </c>
      <c r="G375" s="97">
        <f>F375</f>
        <v>0</v>
      </c>
      <c r="H375" s="164"/>
      <c r="I375" s="116" t="s">
        <v>516</v>
      </c>
      <c r="J375" s="116" t="str">
        <f>VLOOKUP(I375,Presupuesto!$B$11:$C$565,2,0)</f>
        <v>AGUINALDO Y DECIMO CUARTO MES</v>
      </c>
      <c r="K375" s="98" t="str">
        <f t="shared" si="10"/>
        <v>Gestión Administrativa y  financiera en apoyo al Desarrollo Académico</v>
      </c>
      <c r="L375" s="98" t="s">
        <v>395</v>
      </c>
    </row>
    <row r="376" spans="3:12" ht="15.75" hidden="1" thickBot="1" x14ac:dyDescent="0.3">
      <c r="C376" s="172" t="s">
        <v>59</v>
      </c>
      <c r="D376" s="163"/>
      <c r="E376" s="154">
        <v>0</v>
      </c>
      <c r="F376" s="117">
        <f>IF(E374&lt;6,"",((E374-6)/12)*(G374/E374))</f>
        <v>0</v>
      </c>
      <c r="G376" s="97">
        <f>F376</f>
        <v>0</v>
      </c>
      <c r="H376" s="164"/>
      <c r="I376" s="101" t="s">
        <v>519</v>
      </c>
      <c r="J376" s="101" t="str">
        <f>VLOOKUP(I376,Presupuesto!$B$11:$C$565,2,0)</f>
        <v>DECIMOCUARTO MES</v>
      </c>
      <c r="K376" s="98" t="str">
        <f t="shared" si="10"/>
        <v>Gestión Administrativa y  financiera en apoyo al Desarrollo Académico</v>
      </c>
      <c r="L376" s="98" t="s">
        <v>395</v>
      </c>
    </row>
    <row r="377" spans="3:12" ht="15.75" hidden="1" thickBot="1" x14ac:dyDescent="0.3">
      <c r="C377" s="137" t="s">
        <v>491</v>
      </c>
      <c r="D377" s="199"/>
      <c r="E377" s="152">
        <v>12</v>
      </c>
      <c r="F377" s="305">
        <f>HLOOKUP($C377,$BZ$2:$CM$3,2,0)</f>
        <v>15004.09</v>
      </c>
      <c r="G377" s="113">
        <f>D377*E377*F377</f>
        <v>0</v>
      </c>
      <c r="H377" s="166"/>
      <c r="I377" s="114" t="s">
        <v>496</v>
      </c>
      <c r="J377" s="114" t="str">
        <f>VLOOKUP(I377,Presupuesto!$B$11:$C$565,2,0)</f>
        <v>SUELDOS Y SALARIOS PERMANENTES</v>
      </c>
      <c r="K377" s="98" t="str">
        <f t="shared" si="10"/>
        <v>Gestión Administrativa y  financiera en apoyo al Desarrollo Académico</v>
      </c>
      <c r="L377" s="98" t="s">
        <v>395</v>
      </c>
    </row>
    <row r="378" spans="3:12" hidden="1"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si="10"/>
        <v>Gestión Administrativa y  financiera en apoyo al Desarrollo Académico</v>
      </c>
      <c r="L378" s="98" t="s">
        <v>395</v>
      </c>
    </row>
    <row r="379" spans="3:12" ht="15.75" hidden="1"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0"/>
        <v>Gestión Administrativa y  financiera en apoyo al Desarrollo Académico</v>
      </c>
      <c r="L379" s="98" t="s">
        <v>395</v>
      </c>
    </row>
    <row r="380" spans="3:12" ht="15.75" hidden="1" thickBot="1" x14ac:dyDescent="0.3">
      <c r="C380" s="137" t="s">
        <v>492</v>
      </c>
      <c r="D380" s="199"/>
      <c r="E380" s="152">
        <v>12</v>
      </c>
      <c r="F380" s="305">
        <f>HLOOKUP($C380,$BZ$2:$CM$3,2,0)</f>
        <v>13238.9</v>
      </c>
      <c r="G380" s="113">
        <f>D380*E380*F380</f>
        <v>0</v>
      </c>
      <c r="H380" s="166"/>
      <c r="I380" s="114" t="s">
        <v>496</v>
      </c>
      <c r="J380" s="114" t="str">
        <f>VLOOKUP(I380,Presupuesto!$B$11:$C$565,2,0)</f>
        <v>SUELDOS Y SALARIOS PERMANENTES</v>
      </c>
      <c r="K380" s="98" t="str">
        <f t="shared" si="10"/>
        <v>Gestión Administrativa y  financiera en apoyo al Desarrollo Académico</v>
      </c>
      <c r="L380" s="98" t="s">
        <v>395</v>
      </c>
    </row>
    <row r="381" spans="3:12" hidden="1"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0"/>
        <v>Gestión Administrativa y  financiera en apoyo al Desarrollo Académico</v>
      </c>
      <c r="L381" s="98" t="s">
        <v>395</v>
      </c>
    </row>
    <row r="382" spans="3:12" ht="15.75" hidden="1"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0"/>
        <v>Gestión Administrativa y  financiera en apoyo al Desarrollo Académico</v>
      </c>
      <c r="L382" s="98" t="s">
        <v>395</v>
      </c>
    </row>
    <row r="383" spans="3:12" ht="15.75" hidden="1" thickBot="1" x14ac:dyDescent="0.3">
      <c r="C383" s="137" t="s">
        <v>493</v>
      </c>
      <c r="D383" s="199"/>
      <c r="E383" s="152">
        <v>12</v>
      </c>
      <c r="F383" s="305">
        <f>HLOOKUP($C383,$BZ$2:$CM$3,2,0)</f>
        <v>12356.31</v>
      </c>
      <c r="G383" s="113">
        <f>D383*E383*F383</f>
        <v>0</v>
      </c>
      <c r="H383" s="166"/>
      <c r="I383" s="114" t="s">
        <v>496</v>
      </c>
      <c r="J383" s="114" t="str">
        <f>VLOOKUP(I383,Presupuesto!$B$11:$C$565,2,0)</f>
        <v>SUELDOS Y SALARIOS PERMANENTES</v>
      </c>
      <c r="K383" s="98" t="str">
        <f t="shared" ref="K383:K400" si="11">$K$350</f>
        <v>Gestión Administrativa y  financiera en apoyo al Desarrollo Académico</v>
      </c>
      <c r="L383" s="98" t="s">
        <v>395</v>
      </c>
    </row>
    <row r="384" spans="3:12" hidden="1"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1"/>
        <v>Gestión Administrativa y  financiera en apoyo al Desarrollo Académico</v>
      </c>
      <c r="L384" s="98" t="s">
        <v>395</v>
      </c>
    </row>
    <row r="385" spans="3:12" ht="15.75" hidden="1"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1"/>
        <v>Gestión Administrativa y  financiera en apoyo al Desarrollo Académico</v>
      </c>
      <c r="L385" s="98" t="s">
        <v>395</v>
      </c>
    </row>
    <row r="386" spans="3:12" ht="15.75" hidden="1" thickBot="1" x14ac:dyDescent="0.3">
      <c r="C386" s="137" t="s">
        <v>494</v>
      </c>
      <c r="D386" s="199"/>
      <c r="E386" s="152">
        <v>12</v>
      </c>
      <c r="F386" s="305">
        <f>HLOOKUP($C386,$BZ$2:$CM$3,2,0)</f>
        <v>463.22</v>
      </c>
      <c r="G386" s="113">
        <f>D386*E386*F386</f>
        <v>0</v>
      </c>
      <c r="H386" s="166"/>
      <c r="I386" s="114" t="s">
        <v>496</v>
      </c>
      <c r="J386" s="114" t="str">
        <f>VLOOKUP(I386,Presupuesto!$B$11:$C$565,2,0)</f>
        <v>SUELDOS Y SALARIOS PERMANENTES</v>
      </c>
      <c r="K386" s="98" t="str">
        <f t="shared" si="11"/>
        <v>Gestión Administrativa y  financiera en apoyo al Desarrollo Académico</v>
      </c>
      <c r="L386" s="98" t="s">
        <v>395</v>
      </c>
    </row>
    <row r="387" spans="3:12" hidden="1"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1"/>
        <v>Gestión Administrativa y  financiera en apoyo al Desarrollo Académico</v>
      </c>
      <c r="L387" s="98" t="s">
        <v>395</v>
      </c>
    </row>
    <row r="388" spans="3:12" ht="15.75" hidden="1"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1"/>
        <v>Gestión Administrativa y  financiera en apoyo al Desarrollo Académico</v>
      </c>
      <c r="L388" s="98" t="s">
        <v>395</v>
      </c>
    </row>
    <row r="389" spans="3:12" ht="15.75" hidden="1" thickBot="1" x14ac:dyDescent="0.3">
      <c r="C389" s="137" t="s">
        <v>495</v>
      </c>
      <c r="D389" s="199"/>
      <c r="E389" s="152">
        <v>12</v>
      </c>
      <c r="F389" s="305">
        <f>HLOOKUP($C389,$BZ$2:$CM$3,2,0)</f>
        <v>2007.3</v>
      </c>
      <c r="G389" s="113">
        <f>D389*E389*F389</f>
        <v>0</v>
      </c>
      <c r="H389" s="166"/>
      <c r="I389" s="114" t="s">
        <v>496</v>
      </c>
      <c r="J389" s="114" t="str">
        <f>VLOOKUP(I389,Presupuesto!$B$11:$C$565,2,0)</f>
        <v>SUELDOS Y SALARIOS PERMANENTES</v>
      </c>
      <c r="K389" s="98" t="str">
        <f t="shared" si="11"/>
        <v>Gestión Administrativa y  financiera en apoyo al Desarrollo Académico</v>
      </c>
      <c r="L389" s="98" t="s">
        <v>395</v>
      </c>
    </row>
    <row r="390" spans="3:12" hidden="1"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1"/>
        <v>Gestión Administrativa y  financiera en apoyo al Desarrollo Académico</v>
      </c>
      <c r="L390" s="98" t="s">
        <v>395</v>
      </c>
    </row>
    <row r="391" spans="3:12" ht="15.75" hidden="1"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1"/>
        <v>Gestión Administrativa y  financiera en apoyo al Desarrollo Académico</v>
      </c>
      <c r="L391" s="98" t="s">
        <v>395</v>
      </c>
    </row>
    <row r="392" spans="3:12" ht="15.75" thickBot="1" x14ac:dyDescent="0.3">
      <c r="C392" s="140" t="s">
        <v>83</v>
      </c>
      <c r="D392" s="199">
        <v>1</v>
      </c>
      <c r="E392" s="152">
        <v>12</v>
      </c>
      <c r="F392" s="139">
        <v>23000</v>
      </c>
      <c r="G392" s="113">
        <f>D392*E392*F392</f>
        <v>276000</v>
      </c>
      <c r="H392" s="166" t="s">
        <v>1509</v>
      </c>
      <c r="I392" s="114" t="s">
        <v>564</v>
      </c>
      <c r="J392" s="114" t="str">
        <f>VLOOKUP(I392,[1]Presupuesto!$B$11:$C$565,2,0)</f>
        <v>CONTRATOS ESPECIALES</v>
      </c>
      <c r="K392" s="98" t="str">
        <f t="shared" si="11"/>
        <v>Gestión Administrativa y  financiera en apoyo al Desarrollo Académico</v>
      </c>
      <c r="L392" s="98" t="s">
        <v>394</v>
      </c>
    </row>
    <row r="393" spans="3:12" x14ac:dyDescent="0.25">
      <c r="C393" s="171" t="s">
        <v>58</v>
      </c>
      <c r="D393" s="163"/>
      <c r="E393" s="154">
        <v>0</v>
      </c>
      <c r="F393" s="117">
        <f>IF(E392=0,"",(G392/E392)/12*E392)</f>
        <v>23000</v>
      </c>
      <c r="G393" s="97">
        <f>F393</f>
        <v>23000</v>
      </c>
      <c r="H393" s="164" t="s">
        <v>1509</v>
      </c>
      <c r="I393" s="101" t="s">
        <v>564</v>
      </c>
      <c r="J393" s="101" t="str">
        <f>VLOOKUP(I393,[1]Presupuesto!$B$11:$C$565,2,0)</f>
        <v>CONTRATOS ESPECIALES</v>
      </c>
      <c r="K393" s="98" t="str">
        <f t="shared" si="11"/>
        <v>Gestión Administrativa y  financiera en apoyo al Desarrollo Académico</v>
      </c>
      <c r="L393" s="98" t="s">
        <v>404</v>
      </c>
    </row>
    <row r="394" spans="3:12" ht="15.75" thickBot="1" x14ac:dyDescent="0.3">
      <c r="C394" s="172" t="s">
        <v>59</v>
      </c>
      <c r="D394" s="163"/>
      <c r="E394" s="154">
        <v>0</v>
      </c>
      <c r="F394" s="100">
        <v>23000</v>
      </c>
      <c r="G394" s="97">
        <f>F394</f>
        <v>23000</v>
      </c>
      <c r="H394" s="164" t="s">
        <v>1509</v>
      </c>
      <c r="I394" s="101" t="s">
        <v>564</v>
      </c>
      <c r="J394" s="101" t="str">
        <f>VLOOKUP(I394,[1]Presupuesto!$B$11:$C$565,2,0)</f>
        <v>CONTRATOS ESPECIALES</v>
      </c>
      <c r="K394" s="98" t="str">
        <f t="shared" si="11"/>
        <v>Gestión Administrativa y  financiera en apoyo al Desarrollo Académico</v>
      </c>
      <c r="L394" s="98" t="s">
        <v>398</v>
      </c>
    </row>
    <row r="395" spans="3:12" ht="15.75" hidden="1" thickBot="1" x14ac:dyDescent="0.3">
      <c r="C395" s="140" t="s">
        <v>60</v>
      </c>
      <c r="D395" s="199"/>
      <c r="E395" s="152">
        <v>12</v>
      </c>
      <c r="F395" s="118">
        <v>30000</v>
      </c>
      <c r="G395" s="113">
        <f>D395*E395*F395</f>
        <v>0</v>
      </c>
      <c r="H395" s="166" t="s">
        <v>1509</v>
      </c>
      <c r="I395" s="114" t="s">
        <v>705</v>
      </c>
      <c r="J395" s="114" t="str">
        <f>VLOOKUP(I395,[1]Presupuesto!$B$11:$C$565,2,0)</f>
        <v>OTROS SERVICIOS TECNICOS Y PROFESIONALES</v>
      </c>
      <c r="K395" s="98" t="str">
        <f t="shared" si="11"/>
        <v>Gestión Administrativa y  financiera en apoyo al Desarrollo Académico</v>
      </c>
      <c r="L395" s="98" t="s">
        <v>394</v>
      </c>
    </row>
    <row r="396" spans="3:12" hidden="1" x14ac:dyDescent="0.25">
      <c r="C396" s="171" t="s">
        <v>58</v>
      </c>
      <c r="D396" s="163"/>
      <c r="E396" s="154">
        <v>0</v>
      </c>
      <c r="F396" s="100">
        <v>0</v>
      </c>
      <c r="G396" s="97">
        <f>F396</f>
        <v>0</v>
      </c>
      <c r="H396" s="164" t="s">
        <v>1509</v>
      </c>
      <c r="I396" s="101" t="s">
        <v>705</v>
      </c>
      <c r="J396" s="101" t="str">
        <f>VLOOKUP(I396,[1]Presupuesto!$B$11:$C$565,2,0)</f>
        <v>OTROS SERVICIOS TECNICOS Y PROFESIONALES</v>
      </c>
      <c r="K396" s="98" t="str">
        <f t="shared" si="11"/>
        <v>Gestión Administrativa y  financiera en apoyo al Desarrollo Académico</v>
      </c>
      <c r="L396" s="98" t="s">
        <v>394</v>
      </c>
    </row>
    <row r="397" spans="3:12" ht="15.75" hidden="1" thickBot="1" x14ac:dyDescent="0.3">
      <c r="C397" s="172" t="s">
        <v>59</v>
      </c>
      <c r="D397" s="163"/>
      <c r="E397" s="154">
        <v>0</v>
      </c>
      <c r="F397" s="100">
        <v>0</v>
      </c>
      <c r="G397" s="97">
        <f>F397</f>
        <v>0</v>
      </c>
      <c r="H397" s="164" t="s">
        <v>1509</v>
      </c>
      <c r="I397" s="101" t="s">
        <v>705</v>
      </c>
      <c r="J397" s="101" t="str">
        <f>VLOOKUP(I397,[1]Presupuesto!$B$11:$C$565,2,0)</f>
        <v>OTROS SERVICIOS TECNICOS Y PROFESIONALES</v>
      </c>
      <c r="K397" s="98" t="str">
        <f t="shared" si="11"/>
        <v>Gestión Administrativa y  financiera en apoyo al Desarrollo Académico</v>
      </c>
      <c r="L397" s="98" t="s">
        <v>394</v>
      </c>
    </row>
    <row r="398" spans="3:12" ht="15.75" thickBot="1" x14ac:dyDescent="0.3">
      <c r="C398" s="140" t="s">
        <v>61</v>
      </c>
      <c r="D398" s="199">
        <v>1</v>
      </c>
      <c r="E398" s="152">
        <v>12</v>
      </c>
      <c r="F398" s="118">
        <v>12000</v>
      </c>
      <c r="G398" s="113">
        <f>D398*E398*F398</f>
        <v>144000</v>
      </c>
      <c r="H398" s="166" t="s">
        <v>1509</v>
      </c>
      <c r="I398" s="114" t="s">
        <v>496</v>
      </c>
      <c r="J398" s="114" t="str">
        <f>VLOOKUP(I398,[1]Presupuesto!$B$11:$C$565,2,0)</f>
        <v>SUELDOS Y SALARIOS PERMANENTES</v>
      </c>
      <c r="K398" s="98" t="str">
        <f t="shared" si="11"/>
        <v>Gestión Administrativa y  financiera en apoyo al Desarrollo Académico</v>
      </c>
      <c r="L398" s="98" t="s">
        <v>394</v>
      </c>
    </row>
    <row r="399" spans="3:12" x14ac:dyDescent="0.25">
      <c r="C399" s="171" t="s">
        <v>58</v>
      </c>
      <c r="D399" s="169"/>
      <c r="E399" s="131">
        <v>0</v>
      </c>
      <c r="F399" s="119">
        <f>IF(E398=0,"",(G398/E398)/12*E398)</f>
        <v>12000</v>
      </c>
      <c r="G399" s="120">
        <f>F399</f>
        <v>12000</v>
      </c>
      <c r="H399" s="164" t="s">
        <v>1509</v>
      </c>
      <c r="I399" s="101" t="s">
        <v>516</v>
      </c>
      <c r="J399" s="101" t="str">
        <f>VLOOKUP(I399,[1]Presupuesto!$B$11:$C$565,2,0)</f>
        <v>AGUINALDO Y DECIMO CUARTO MES</v>
      </c>
      <c r="K399" s="98" t="str">
        <f t="shared" si="11"/>
        <v>Gestión Administrativa y  financiera en apoyo al Desarrollo Académico</v>
      </c>
      <c r="L399" s="98" t="s">
        <v>404</v>
      </c>
    </row>
    <row r="400" spans="3:12" ht="15.75" thickBot="1" x14ac:dyDescent="0.3">
      <c r="C400" s="173" t="s">
        <v>59</v>
      </c>
      <c r="D400" s="162"/>
      <c r="E400" s="132">
        <v>0</v>
      </c>
      <c r="F400" s="105">
        <v>12000</v>
      </c>
      <c r="G400" s="105">
        <f>F400</f>
        <v>12000</v>
      </c>
      <c r="H400" s="162" t="s">
        <v>1509</v>
      </c>
      <c r="I400" s="106" t="s">
        <v>519</v>
      </c>
      <c r="J400" s="124" t="str">
        <f>VLOOKUP(I400,[1]Presupuesto!$B$11:$C$565,2,0)</f>
        <v>DECIMOCUARTO MES</v>
      </c>
      <c r="K400" s="98" t="str">
        <f t="shared" si="11"/>
        <v>Gestión Administrativa y  financiera en apoyo al Desarrollo Académico</v>
      </c>
      <c r="L400" s="98" t="s">
        <v>398</v>
      </c>
    </row>
    <row r="402" spans="3:12" ht="15.75" thickBot="1" x14ac:dyDescent="0.3">
      <c r="K402" s="153"/>
    </row>
    <row r="403" spans="3:12" ht="15.75" thickBot="1" x14ac:dyDescent="0.3">
      <c r="C403" s="69" t="s">
        <v>43</v>
      </c>
      <c r="D403" s="30">
        <f>SUM(G410:G460)</f>
        <v>0</v>
      </c>
      <c r="E403" s="93"/>
      <c r="F403" s="93"/>
      <c r="G403" s="93"/>
      <c r="H403" s="76"/>
      <c r="I403" s="76"/>
      <c r="J403" s="76"/>
      <c r="K403" s="153"/>
    </row>
    <row r="404" spans="3:12" x14ac:dyDescent="0.25">
      <c r="D404" s="31"/>
      <c r="E404" s="93"/>
      <c r="F404" s="93"/>
      <c r="G404" s="93"/>
      <c r="H404" s="76"/>
      <c r="I404" s="76"/>
      <c r="J404" s="76"/>
      <c r="K404" s="153"/>
    </row>
    <row r="405" spans="3:12" x14ac:dyDescent="0.25">
      <c r="D405" s="31"/>
      <c r="E405" s="93"/>
      <c r="F405" s="93"/>
      <c r="G405" s="93"/>
      <c r="H405" s="76"/>
      <c r="I405" s="76"/>
      <c r="J405" s="76"/>
      <c r="K405" s="153"/>
    </row>
    <row r="406" spans="3:12" ht="15.75" x14ac:dyDescent="0.25">
      <c r="C406" s="202" t="s">
        <v>392</v>
      </c>
      <c r="D406" s="370"/>
      <c r="E406" s="93"/>
      <c r="F406" s="93"/>
      <c r="G406" s="93"/>
      <c r="H406" s="76"/>
      <c r="I406" s="76"/>
      <c r="J406" s="76"/>
      <c r="K406" s="153"/>
    </row>
    <row r="407" spans="3:12" ht="18.75" x14ac:dyDescent="0.25">
      <c r="C407" s="211" t="e">
        <f>IFERROR(VLOOKUP(D406,'1. Desarrollo e Innov. Curricu.'!$E:$F,2,FALSE),IFERROR(VLOOKUP(D406,'2. Investigación Científica'!$E:$F,2,FALSE),IFERROR(VLOOKUP(D406,'3. Vinculación Univ. Sociedad'!$E:$F,2,FALSE),IFERROR(VLOOKUP(D406,'4. Docencia y Profesorado Univ.'!$E:$F,2,FALSE),IFERROR(VLOOKUP(D406,'5. Estudiantes y Graduados'!$E:$F,2,FALSE),IFERROR(VLOOKUP(D406,'11. Gestion Administrativa'!$E:$F,2,FALSE),IFERROR(VLOOKUP(D406,'13. Gestión Académica'!$E:$F,2,FALSE),IFERROR(VLOOKUP(D406,'8. Asegura. de la Calid. y M'!$E:$F,2,FALSE),IFERROR(VLOOKUP(D406,'6. Gestión del Conocimiento'!$E:$F,2,FALSE),IFERROR(VLOOKUP(D406,'15. Gobernabilidad y Proceso...'!$E:$F,2,FALSE),IFERROR(VLOOKUP(D406,'12. Gestión del Talento Humano'!$E:$F,2,FALSE),IFERROR(VLOOKUP(D406,'14. Internacional... de la E.S.'!$E:$F,2,FALSE),IFERROR(VLOOKUP(D406,'10. Posgrado'!$E:$F,2,FALSE),IFERROR(VLOOKUP(D406,'17. Gestión TIC'!$E:$F,2,FALSE),IFERROR(VLOOKUP(D406,'16. Desa. del Sistema Educ.Sup.'!$E:$F,2,FALSE),IFERROR(VLOOKUP(D406,'9. Cultura de Inno. Insti...'!$E:$F,2,FALSE),VLOOKUP(D406,'7. Lo Esencial de la Reforma U.'!$E:$F,2,0)))))))))))))))))</f>
        <v>#N/A</v>
      </c>
      <c r="D407" s="31"/>
      <c r="E407" s="93"/>
      <c r="F407" s="93"/>
      <c r="G407" s="93"/>
      <c r="H407" s="76"/>
      <c r="I407" s="76"/>
      <c r="J407" s="76"/>
      <c r="K407" s="153"/>
    </row>
    <row r="408" spans="3:12" ht="15.75" thickBot="1" x14ac:dyDescent="0.3">
      <c r="C408" s="177"/>
      <c r="D408" s="31"/>
      <c r="E408" s="93"/>
      <c r="F408" s="93"/>
      <c r="G408" s="93"/>
      <c r="H408" s="76"/>
      <c r="I408" s="76"/>
      <c r="J408" s="76"/>
      <c r="K408" s="153"/>
    </row>
    <row r="409" spans="3:12" ht="30.75" thickBot="1" x14ac:dyDescent="0.3">
      <c r="C409" s="134" t="s">
        <v>44</v>
      </c>
      <c r="D409" s="138" t="s">
        <v>55</v>
      </c>
      <c r="E409" s="170" t="s">
        <v>56</v>
      </c>
      <c r="F409" s="138" t="s">
        <v>57</v>
      </c>
      <c r="G409" s="135" t="s">
        <v>27</v>
      </c>
      <c r="H409" s="133" t="s">
        <v>131</v>
      </c>
      <c r="I409" s="136" t="s">
        <v>46</v>
      </c>
      <c r="J409" s="136" t="s">
        <v>132</v>
      </c>
      <c r="K409" s="136" t="s">
        <v>410</v>
      </c>
      <c r="L409" s="136" t="s">
        <v>411</v>
      </c>
    </row>
    <row r="410" spans="3:12" ht="15.75" thickBot="1" x14ac:dyDescent="0.3">
      <c r="C410" s="137" t="s">
        <v>482</v>
      </c>
      <c r="D410" s="199"/>
      <c r="E410" s="152">
        <v>12</v>
      </c>
      <c r="F410" s="305">
        <f>HLOOKUP($C410,$BZ$2:$CM$3,2,0)</f>
        <v>43674.39</v>
      </c>
      <c r="G410" s="113">
        <f>D410*E410*F410</f>
        <v>0</v>
      </c>
      <c r="H410" s="166"/>
      <c r="I410" s="114" t="s">
        <v>496</v>
      </c>
      <c r="J410" s="114" t="str">
        <f>VLOOKUP(I410,Presupuesto!$B$11:$C$565,2,0)</f>
        <v>SUELDOS Y SALARIOS PERMANENTES</v>
      </c>
      <c r="K410" s="219" t="s">
        <v>1454</v>
      </c>
      <c r="L410" s="98" t="s">
        <v>394</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ref="K411:K442" si="12">$K$410</f>
        <v>Posgrado</v>
      </c>
      <c r="L411" s="98" t="s">
        <v>412</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2"/>
        <v>Posgrado</v>
      </c>
      <c r="L412" s="98" t="s">
        <v>395</v>
      </c>
    </row>
    <row r="413" spans="3:12" ht="15.75" thickBot="1" x14ac:dyDescent="0.3">
      <c r="C413" s="137" t="s">
        <v>483</v>
      </c>
      <c r="D413" s="199"/>
      <c r="E413" s="152">
        <v>12</v>
      </c>
      <c r="F413" s="305">
        <f>HLOOKUP($C413,$BZ$2:$CM$3,2,0)</f>
        <v>39703.99</v>
      </c>
      <c r="G413" s="113">
        <f>D413*E413*F413</f>
        <v>0</v>
      </c>
      <c r="H413" s="166"/>
      <c r="I413" s="114" t="s">
        <v>496</v>
      </c>
      <c r="J413" s="114" t="str">
        <f>VLOOKUP(I413,Presupuesto!$B$11:$C$565,2,0)</f>
        <v>SUELDOS Y SALARIOS PERMANENTES</v>
      </c>
      <c r="K413" s="98" t="str">
        <f t="shared" si="12"/>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2"/>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2"/>
        <v>Posgrado</v>
      </c>
      <c r="L415" s="98" t="s">
        <v>395</v>
      </c>
    </row>
    <row r="416" spans="3:12" ht="15.75" thickBot="1" x14ac:dyDescent="0.3">
      <c r="C416" s="137" t="s">
        <v>484</v>
      </c>
      <c r="D416" s="199"/>
      <c r="E416" s="152">
        <v>12</v>
      </c>
      <c r="F416" s="305">
        <f>HLOOKUP($C416,$BZ$2:$CM$3,2,0)</f>
        <v>35733.589999999997</v>
      </c>
      <c r="G416" s="113">
        <f>D416*E416*F416</f>
        <v>0</v>
      </c>
      <c r="H416" s="166"/>
      <c r="I416" s="114" t="s">
        <v>496</v>
      </c>
      <c r="J416" s="114" t="str">
        <f>VLOOKUP(I416,Presupuesto!$B$11:$C$565,2,0)</f>
        <v>SUELDOS Y SALARIOS PERMANENTES</v>
      </c>
      <c r="K416" s="98" t="str">
        <f t="shared" si="12"/>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2"/>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2"/>
        <v>Posgrado</v>
      </c>
      <c r="L418" s="98" t="s">
        <v>395</v>
      </c>
    </row>
    <row r="419" spans="3:12" ht="15.75" thickBot="1" x14ac:dyDescent="0.3">
      <c r="C419" s="137" t="s">
        <v>485</v>
      </c>
      <c r="D419" s="199"/>
      <c r="E419" s="152">
        <v>12</v>
      </c>
      <c r="F419" s="305">
        <f>HLOOKUP($C419,$BZ$2:$CM$3,2,0)</f>
        <v>31763.19</v>
      </c>
      <c r="G419" s="113">
        <f>D419*E419*F419</f>
        <v>0</v>
      </c>
      <c r="H419" s="166"/>
      <c r="I419" s="114" t="s">
        <v>496</v>
      </c>
      <c r="J419" s="114" t="str">
        <f>VLOOKUP(I419,Presupuesto!$B$11:$C$565,2,0)</f>
        <v>SUELDOS Y SALARIOS PERMANENTES</v>
      </c>
      <c r="K419" s="98" t="str">
        <f t="shared" si="12"/>
        <v>Posgrado</v>
      </c>
      <c r="L419" s="98" t="s">
        <v>395</v>
      </c>
    </row>
    <row r="420" spans="3:12" x14ac:dyDescent="0.25">
      <c r="C420" s="171" t="s">
        <v>58</v>
      </c>
      <c r="D420" s="163"/>
      <c r="E420" s="154">
        <v>0</v>
      </c>
      <c r="F420" s="100">
        <f>IF(E419=0,"",(G419/E419)/12*E419)</f>
        <v>0</v>
      </c>
      <c r="G420" s="97">
        <f>F420</f>
        <v>0</v>
      </c>
      <c r="H420" s="164"/>
      <c r="I420" s="116" t="s">
        <v>516</v>
      </c>
      <c r="J420" s="116" t="str">
        <f>VLOOKUP(I420,Presupuesto!$B$11:$C$565,2,0)</f>
        <v>AGUINALDO Y DECIMO CUARTO MES</v>
      </c>
      <c r="K420" s="98" t="str">
        <f t="shared" si="12"/>
        <v>Posgrado</v>
      </c>
      <c r="L420" s="98" t="s">
        <v>395</v>
      </c>
    </row>
    <row r="421" spans="3:12" ht="15.75" thickBot="1" x14ac:dyDescent="0.3">
      <c r="C421" s="172" t="s">
        <v>59</v>
      </c>
      <c r="D421" s="163"/>
      <c r="E421" s="154">
        <v>0</v>
      </c>
      <c r="F421" s="117">
        <f>IF(E419&lt;6,"",((E419-6)/12)*(G419/E419))</f>
        <v>0</v>
      </c>
      <c r="G421" s="97">
        <f>F421</f>
        <v>0</v>
      </c>
      <c r="H421" s="164"/>
      <c r="I421" s="101" t="s">
        <v>519</v>
      </c>
      <c r="J421" s="101" t="str">
        <f>VLOOKUP(I421,Presupuesto!$B$11:$C$565,2,0)</f>
        <v>DECIMOCUARTO MES</v>
      </c>
      <c r="K421" s="98" t="str">
        <f t="shared" si="12"/>
        <v>Posgrado</v>
      </c>
      <c r="L421" s="98" t="s">
        <v>395</v>
      </c>
    </row>
    <row r="422" spans="3:12" ht="15.75" thickBot="1" x14ac:dyDescent="0.3">
      <c r="C422" s="137" t="s">
        <v>486</v>
      </c>
      <c r="D422" s="199"/>
      <c r="E422" s="152">
        <v>12</v>
      </c>
      <c r="F422" s="305">
        <f>HLOOKUP($C422,$BZ$2:$CM$3,2,0)</f>
        <v>29777.99</v>
      </c>
      <c r="G422" s="113">
        <f>D422*E422*F422</f>
        <v>0</v>
      </c>
      <c r="H422" s="166"/>
      <c r="I422" s="114" t="s">
        <v>496</v>
      </c>
      <c r="J422" s="114" t="str">
        <f>VLOOKUP(I422,Presupuesto!$B$11:$C$565,2,0)</f>
        <v>SUELDOS Y SALARIOS PERMANENTES</v>
      </c>
      <c r="K422" s="98" t="str">
        <f t="shared" si="12"/>
        <v>Posgrado</v>
      </c>
      <c r="L422" s="98" t="s">
        <v>395</v>
      </c>
    </row>
    <row r="423" spans="3:12" x14ac:dyDescent="0.25">
      <c r="C423" s="171" t="s">
        <v>58</v>
      </c>
      <c r="D423" s="163"/>
      <c r="E423" s="154">
        <v>0</v>
      </c>
      <c r="F423" s="100">
        <f>IF(E422=0,"",(G422/E422)/12*E422)</f>
        <v>0</v>
      </c>
      <c r="G423" s="97">
        <f>F423</f>
        <v>0</v>
      </c>
      <c r="H423" s="164"/>
      <c r="I423" s="116" t="s">
        <v>516</v>
      </c>
      <c r="J423" s="116" t="str">
        <f>VLOOKUP(I423,Presupuesto!$B$11:$C$565,2,0)</f>
        <v>AGUINALDO Y DECIMO CUARTO MES</v>
      </c>
      <c r="K423" s="98" t="str">
        <f t="shared" si="12"/>
        <v>Posgrado</v>
      </c>
      <c r="L423" s="98" t="s">
        <v>395</v>
      </c>
    </row>
    <row r="424" spans="3:12" ht="15.75" thickBot="1" x14ac:dyDescent="0.3">
      <c r="C424" s="172" t="s">
        <v>59</v>
      </c>
      <c r="D424" s="163"/>
      <c r="E424" s="154">
        <v>0</v>
      </c>
      <c r="F424" s="117">
        <f>IF(E422&lt;6,"",((E422-6)/12)*(G422/E422))</f>
        <v>0</v>
      </c>
      <c r="G424" s="97">
        <f>F424</f>
        <v>0</v>
      </c>
      <c r="H424" s="164"/>
      <c r="I424" s="101" t="s">
        <v>519</v>
      </c>
      <c r="J424" s="101" t="str">
        <f>VLOOKUP(I424,Presupuesto!$B$11:$C$565,2,0)</f>
        <v>DECIMOCUARTO MES</v>
      </c>
      <c r="K424" s="98" t="str">
        <f t="shared" si="12"/>
        <v>Posgrado</v>
      </c>
      <c r="L424" s="98" t="s">
        <v>395</v>
      </c>
    </row>
    <row r="425" spans="3:12" ht="15.75" thickBot="1" x14ac:dyDescent="0.3">
      <c r="C425" s="137" t="s">
        <v>487</v>
      </c>
      <c r="D425" s="199"/>
      <c r="E425" s="152">
        <v>12</v>
      </c>
      <c r="F425" s="305">
        <f>HLOOKUP($C425,$BZ$2:$CM$3,2,0)</f>
        <v>27792.79</v>
      </c>
      <c r="G425" s="113">
        <f>D425*E425*F425</f>
        <v>0</v>
      </c>
      <c r="H425" s="166"/>
      <c r="I425" s="114" t="s">
        <v>496</v>
      </c>
      <c r="J425" s="114" t="str">
        <f>VLOOKUP(I425,Presupuesto!$B$11:$C$565,2,0)</f>
        <v>SUELDOS Y SALARIOS PERMANENTES</v>
      </c>
      <c r="K425" s="98" t="str">
        <f t="shared" si="12"/>
        <v>Posgrado</v>
      </c>
      <c r="L425" s="98" t="s">
        <v>395</v>
      </c>
    </row>
    <row r="426" spans="3:12" x14ac:dyDescent="0.25">
      <c r="C426" s="171" t="s">
        <v>58</v>
      </c>
      <c r="D426" s="163"/>
      <c r="E426" s="154">
        <v>0</v>
      </c>
      <c r="F426" s="100">
        <f>IF(E425=0,"",(G425/E425)/12*E425)</f>
        <v>0</v>
      </c>
      <c r="G426" s="97">
        <f>F426</f>
        <v>0</v>
      </c>
      <c r="H426" s="164"/>
      <c r="I426" s="116" t="s">
        <v>516</v>
      </c>
      <c r="J426" s="116" t="str">
        <f>VLOOKUP(I426,Presupuesto!$B$11:$C$565,2,0)</f>
        <v>AGUINALDO Y DECIMO CUARTO MES</v>
      </c>
      <c r="K426" s="98" t="str">
        <f t="shared" si="12"/>
        <v>Posgrado</v>
      </c>
      <c r="L426" s="98" t="s">
        <v>395</v>
      </c>
    </row>
    <row r="427" spans="3:12" ht="15.75" thickBot="1" x14ac:dyDescent="0.3">
      <c r="C427" s="172" t="s">
        <v>59</v>
      </c>
      <c r="D427" s="163"/>
      <c r="E427" s="154">
        <v>0</v>
      </c>
      <c r="F427" s="117">
        <f>IF(E425&lt;6,"",((E425-6)/12)*(G425/E425))</f>
        <v>0</v>
      </c>
      <c r="G427" s="97">
        <f>F427</f>
        <v>0</v>
      </c>
      <c r="H427" s="164"/>
      <c r="I427" s="101" t="s">
        <v>519</v>
      </c>
      <c r="J427" s="101" t="str">
        <f>VLOOKUP(I427,Presupuesto!$B$11:$C$565,2,0)</f>
        <v>DECIMOCUARTO MES</v>
      </c>
      <c r="K427" s="98" t="str">
        <f t="shared" si="12"/>
        <v>Posgrado</v>
      </c>
      <c r="L427" s="98" t="s">
        <v>395</v>
      </c>
    </row>
    <row r="428" spans="3:12" ht="15.75" thickBot="1" x14ac:dyDescent="0.3">
      <c r="C428" s="137" t="s">
        <v>488</v>
      </c>
      <c r="D428" s="199"/>
      <c r="E428" s="152">
        <v>12</v>
      </c>
      <c r="F428" s="305">
        <f>HLOOKUP($C428,$BZ$2:$CM$3,2,0)</f>
        <v>18859.39</v>
      </c>
      <c r="G428" s="113">
        <f>D428*E428*F428</f>
        <v>0</v>
      </c>
      <c r="H428" s="166"/>
      <c r="I428" s="114" t="s">
        <v>496</v>
      </c>
      <c r="J428" s="114" t="str">
        <f>VLOOKUP(I428,Presupuesto!$B$11:$C$565,2,0)</f>
        <v>SUELDOS Y SALARIOS PERMANENTES</v>
      </c>
      <c r="K428" s="98" t="str">
        <f t="shared" si="12"/>
        <v>Posgrado</v>
      </c>
      <c r="L428" s="98" t="s">
        <v>395</v>
      </c>
    </row>
    <row r="429" spans="3:12" x14ac:dyDescent="0.25">
      <c r="C429" s="171" t="s">
        <v>58</v>
      </c>
      <c r="D429" s="163"/>
      <c r="E429" s="154">
        <v>0</v>
      </c>
      <c r="F429" s="100">
        <f>IF(E428=0,"",(G428/E428)/12*E428)</f>
        <v>0</v>
      </c>
      <c r="G429" s="97">
        <f>F429</f>
        <v>0</v>
      </c>
      <c r="H429" s="164"/>
      <c r="I429" s="116" t="s">
        <v>516</v>
      </c>
      <c r="J429" s="116" t="str">
        <f>VLOOKUP(I429,Presupuesto!$B$11:$C$565,2,0)</f>
        <v>AGUINALDO Y DECIMO CUARTO MES</v>
      </c>
      <c r="K429" s="98" t="str">
        <f t="shared" si="12"/>
        <v>Posgrado</v>
      </c>
      <c r="L429" s="98" t="s">
        <v>395</v>
      </c>
    </row>
    <row r="430" spans="3:12" ht="15.75" thickBot="1" x14ac:dyDescent="0.3">
      <c r="C430" s="172" t="s">
        <v>59</v>
      </c>
      <c r="D430" s="163"/>
      <c r="E430" s="154">
        <v>0</v>
      </c>
      <c r="F430" s="117">
        <f>IF(E428&lt;6,"",((E428-6)/12)*(G428/E428))</f>
        <v>0</v>
      </c>
      <c r="G430" s="97">
        <f>F430</f>
        <v>0</v>
      </c>
      <c r="H430" s="164"/>
      <c r="I430" s="101" t="s">
        <v>519</v>
      </c>
      <c r="J430" s="101" t="str">
        <f>VLOOKUP(I430,Presupuesto!$B$11:$C$565,2,0)</f>
        <v>DECIMOCUARTO MES</v>
      </c>
      <c r="K430" s="98" t="str">
        <f t="shared" si="12"/>
        <v>Posgrado</v>
      </c>
      <c r="L430" s="98" t="s">
        <v>395</v>
      </c>
    </row>
    <row r="431" spans="3:12" ht="15.75" thickBot="1" x14ac:dyDescent="0.3">
      <c r="C431" s="137" t="s">
        <v>489</v>
      </c>
      <c r="D431" s="199"/>
      <c r="E431" s="152">
        <v>12</v>
      </c>
      <c r="F431" s="305">
        <f>HLOOKUP($C431,$BZ$2:$CM$3,2,0)</f>
        <v>17866.8</v>
      </c>
      <c r="G431" s="113">
        <f>D431*E431*F431</f>
        <v>0</v>
      </c>
      <c r="H431" s="166"/>
      <c r="I431" s="114" t="s">
        <v>496</v>
      </c>
      <c r="J431" s="114" t="str">
        <f>VLOOKUP(I431,Presupuesto!$B$11:$C$565,2,0)</f>
        <v>SUELDOS Y SALARIOS PERMANENTES</v>
      </c>
      <c r="K431" s="98" t="str">
        <f t="shared" si="12"/>
        <v>Posgrado</v>
      </c>
      <c r="L431" s="98" t="s">
        <v>395</v>
      </c>
    </row>
    <row r="432" spans="3:12" x14ac:dyDescent="0.25">
      <c r="C432" s="171" t="s">
        <v>58</v>
      </c>
      <c r="D432" s="163"/>
      <c r="E432" s="154">
        <v>0</v>
      </c>
      <c r="F432" s="100">
        <f>IF(E431=0,"",(G431/E431)/12*E431)</f>
        <v>0</v>
      </c>
      <c r="G432" s="97">
        <f>F432</f>
        <v>0</v>
      </c>
      <c r="H432" s="164"/>
      <c r="I432" s="116" t="s">
        <v>516</v>
      </c>
      <c r="J432" s="116" t="str">
        <f>VLOOKUP(I432,Presupuesto!$B$11:$C$565,2,0)</f>
        <v>AGUINALDO Y DECIMO CUARTO MES</v>
      </c>
      <c r="K432" s="98" t="str">
        <f t="shared" si="12"/>
        <v>Posgrado</v>
      </c>
      <c r="L432" s="98" t="s">
        <v>395</v>
      </c>
    </row>
    <row r="433" spans="3:12" ht="15.75" thickBot="1" x14ac:dyDescent="0.3">
      <c r="C433" s="172" t="s">
        <v>59</v>
      </c>
      <c r="D433" s="163"/>
      <c r="E433" s="154">
        <v>0</v>
      </c>
      <c r="F433" s="117">
        <f>IF(E431&lt;6,"",((E431-6)/12)*(G431/E431))</f>
        <v>0</v>
      </c>
      <c r="G433" s="97">
        <f>F433</f>
        <v>0</v>
      </c>
      <c r="H433" s="164"/>
      <c r="I433" s="101" t="s">
        <v>519</v>
      </c>
      <c r="J433" s="101" t="str">
        <f>VLOOKUP(I433,Presupuesto!$B$11:$C$565,2,0)</f>
        <v>DECIMOCUARTO MES</v>
      </c>
      <c r="K433" s="98" t="str">
        <f t="shared" si="12"/>
        <v>Posgrado</v>
      </c>
      <c r="L433" s="98" t="s">
        <v>395</v>
      </c>
    </row>
    <row r="434" spans="3:12" ht="15.75" thickBot="1" x14ac:dyDescent="0.3">
      <c r="C434" s="137" t="s">
        <v>490</v>
      </c>
      <c r="D434" s="199"/>
      <c r="E434" s="152">
        <v>12</v>
      </c>
      <c r="F434" s="305">
        <f>HLOOKUP($C434,$BZ$2:$CM$3,2,0)</f>
        <v>13896.4</v>
      </c>
      <c r="G434" s="113">
        <f>D434*E434*F434</f>
        <v>0</v>
      </c>
      <c r="H434" s="166"/>
      <c r="I434" s="114" t="s">
        <v>496</v>
      </c>
      <c r="J434" s="114" t="str">
        <f>VLOOKUP(I434,Presupuesto!$B$11:$C$565,2,0)</f>
        <v>SUELDOS Y SALARIOS PERMANENTES</v>
      </c>
      <c r="K434" s="98" t="str">
        <f t="shared" si="12"/>
        <v>Posgrado</v>
      </c>
      <c r="L434" s="98" t="s">
        <v>395</v>
      </c>
    </row>
    <row r="435" spans="3:12" x14ac:dyDescent="0.25">
      <c r="C435" s="171" t="s">
        <v>58</v>
      </c>
      <c r="D435" s="163"/>
      <c r="E435" s="154">
        <v>0</v>
      </c>
      <c r="F435" s="100">
        <f>IF(E434=0,"",(G434/E434)/12*E434)</f>
        <v>0</v>
      </c>
      <c r="G435" s="97">
        <f>F435</f>
        <v>0</v>
      </c>
      <c r="H435" s="164"/>
      <c r="I435" s="116" t="s">
        <v>516</v>
      </c>
      <c r="J435" s="116" t="str">
        <f>VLOOKUP(I435,Presupuesto!$B$11:$C$565,2,0)</f>
        <v>AGUINALDO Y DECIMO CUARTO MES</v>
      </c>
      <c r="K435" s="98" t="str">
        <f t="shared" si="12"/>
        <v>Posgrado</v>
      </c>
      <c r="L435" s="98" t="s">
        <v>395</v>
      </c>
    </row>
    <row r="436" spans="3:12" ht="15.75" thickBot="1" x14ac:dyDescent="0.3">
      <c r="C436" s="172" t="s">
        <v>59</v>
      </c>
      <c r="D436" s="163"/>
      <c r="E436" s="154">
        <v>0</v>
      </c>
      <c r="F436" s="117">
        <f>IF(E434&lt;6,"",((E434-6)/12)*(G434/E434))</f>
        <v>0</v>
      </c>
      <c r="G436" s="97">
        <f>F436</f>
        <v>0</v>
      </c>
      <c r="H436" s="164"/>
      <c r="I436" s="101" t="s">
        <v>519</v>
      </c>
      <c r="J436" s="101" t="str">
        <f>VLOOKUP(I436,Presupuesto!$B$11:$C$565,2,0)</f>
        <v>DECIMOCUARTO MES</v>
      </c>
      <c r="K436" s="98" t="str">
        <f t="shared" si="12"/>
        <v>Posgrado</v>
      </c>
      <c r="L436" s="98" t="s">
        <v>395</v>
      </c>
    </row>
    <row r="437" spans="3:12" ht="15.75" thickBot="1" x14ac:dyDescent="0.3">
      <c r="C437" s="137" t="s">
        <v>491</v>
      </c>
      <c r="D437" s="199"/>
      <c r="E437" s="152">
        <v>12</v>
      </c>
      <c r="F437" s="305">
        <f>HLOOKUP($C437,$BZ$2:$CM$3,2,0)</f>
        <v>15004.09</v>
      </c>
      <c r="G437" s="113">
        <f>D437*E437*F437</f>
        <v>0</v>
      </c>
      <c r="H437" s="166"/>
      <c r="I437" s="114" t="s">
        <v>496</v>
      </c>
      <c r="J437" s="114" t="str">
        <f>VLOOKUP(I437,Presupuesto!$B$11:$C$565,2,0)</f>
        <v>SUELDOS Y SALARIOS PERMANENTES</v>
      </c>
      <c r="K437" s="98" t="str">
        <f t="shared" si="12"/>
        <v>Posgrado</v>
      </c>
      <c r="L437" s="98" t="s">
        <v>395</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si="12"/>
        <v>Posgrado</v>
      </c>
      <c r="L438" s="98" t="s">
        <v>395</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2"/>
        <v>Posgrado</v>
      </c>
      <c r="L439" s="98" t="s">
        <v>395</v>
      </c>
    </row>
    <row r="440" spans="3:12" ht="15.75" thickBot="1" x14ac:dyDescent="0.3">
      <c r="C440" s="137" t="s">
        <v>492</v>
      </c>
      <c r="D440" s="199"/>
      <c r="E440" s="152">
        <v>12</v>
      </c>
      <c r="F440" s="305">
        <f>HLOOKUP($C440,$BZ$2:$CM$3,2,0)</f>
        <v>13238.9</v>
      </c>
      <c r="G440" s="113">
        <f>D440*E440*F440</f>
        <v>0</v>
      </c>
      <c r="H440" s="166"/>
      <c r="I440" s="114" t="s">
        <v>496</v>
      </c>
      <c r="J440" s="114" t="str">
        <f>VLOOKUP(I440,Presupuesto!$B$11:$C$565,2,0)</f>
        <v>SUELDOS Y SALARIOS PERMANENTES</v>
      </c>
      <c r="K440" s="98" t="str">
        <f t="shared" si="12"/>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2"/>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2"/>
        <v>Posgrado</v>
      </c>
      <c r="L442" s="98" t="s">
        <v>395</v>
      </c>
    </row>
    <row r="443" spans="3:12" ht="15.75" thickBot="1" x14ac:dyDescent="0.3">
      <c r="C443" s="137" t="s">
        <v>493</v>
      </c>
      <c r="D443" s="199"/>
      <c r="E443" s="152">
        <v>12</v>
      </c>
      <c r="F443" s="305">
        <f>HLOOKUP($C443,$BZ$2:$CM$3,2,0)</f>
        <v>12356.31</v>
      </c>
      <c r="G443" s="113">
        <f>D443*E443*F443</f>
        <v>0</v>
      </c>
      <c r="H443" s="166"/>
      <c r="I443" s="114" t="s">
        <v>496</v>
      </c>
      <c r="J443" s="114" t="str">
        <f>VLOOKUP(I443,Presupuesto!$B$11:$C$565,2,0)</f>
        <v>SUELDOS Y SALARIOS PERMANENTES</v>
      </c>
      <c r="K443" s="98" t="str">
        <f t="shared" ref="K443:K460" si="13">$K$410</f>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3"/>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3"/>
        <v>Posgrado</v>
      </c>
      <c r="L445" s="98" t="s">
        <v>395</v>
      </c>
    </row>
    <row r="446" spans="3:12" ht="15.75" thickBot="1" x14ac:dyDescent="0.3">
      <c r="C446" s="137" t="s">
        <v>494</v>
      </c>
      <c r="D446" s="199"/>
      <c r="E446" s="152">
        <v>12</v>
      </c>
      <c r="F446" s="305">
        <f>HLOOKUP($C446,$BZ$2:$CM$3,2,0)</f>
        <v>463.22</v>
      </c>
      <c r="G446" s="113">
        <f>D446*E446*F446</f>
        <v>0</v>
      </c>
      <c r="H446" s="166"/>
      <c r="I446" s="114" t="s">
        <v>496</v>
      </c>
      <c r="J446" s="114" t="str">
        <f>VLOOKUP(I446,Presupuesto!$B$11:$C$565,2,0)</f>
        <v>SUELDOS Y SALARIOS PERMANENTES</v>
      </c>
      <c r="K446" s="98" t="str">
        <f t="shared" si="13"/>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3"/>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3"/>
        <v>Posgrado</v>
      </c>
      <c r="L448" s="98" t="s">
        <v>395</v>
      </c>
    </row>
    <row r="449" spans="3:12" ht="15.75" thickBot="1" x14ac:dyDescent="0.3">
      <c r="C449" s="137" t="s">
        <v>495</v>
      </c>
      <c r="D449" s="199"/>
      <c r="E449" s="152">
        <v>12</v>
      </c>
      <c r="F449" s="305">
        <f>HLOOKUP($C449,$BZ$2:$CM$3,2,0)</f>
        <v>2007.3</v>
      </c>
      <c r="G449" s="113">
        <f>D449*E449*F449</f>
        <v>0</v>
      </c>
      <c r="H449" s="166"/>
      <c r="I449" s="114" t="s">
        <v>496</v>
      </c>
      <c r="J449" s="114" t="str">
        <f>VLOOKUP(I449,Presupuesto!$B$11:$C$565,2,0)</f>
        <v>SUELDOS Y SALARIOS PERMANENTES</v>
      </c>
      <c r="K449" s="98" t="str">
        <f t="shared" si="13"/>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3"/>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3"/>
        <v>Posgrado</v>
      </c>
      <c r="L451" s="98" t="s">
        <v>395</v>
      </c>
    </row>
    <row r="452" spans="3:12" ht="15.75" thickBot="1" x14ac:dyDescent="0.3">
      <c r="C452" s="140" t="s">
        <v>83</v>
      </c>
      <c r="D452" s="199"/>
      <c r="E452" s="152">
        <v>12</v>
      </c>
      <c r="F452" s="139">
        <v>30000</v>
      </c>
      <c r="G452" s="113">
        <f>D452*E452*F452</f>
        <v>0</v>
      </c>
      <c r="H452" s="166"/>
      <c r="I452" s="114" t="s">
        <v>564</v>
      </c>
      <c r="J452" s="114" t="str">
        <f>VLOOKUP(I452,Presupuesto!$B$11:$C$565,2,0)</f>
        <v>CONTRATOS ESPECIALES</v>
      </c>
      <c r="K452" s="98" t="str">
        <f t="shared" si="13"/>
        <v>Posgrado</v>
      </c>
      <c r="L452" s="98" t="s">
        <v>395</v>
      </c>
    </row>
    <row r="453" spans="3:12" x14ac:dyDescent="0.25">
      <c r="C453" s="171" t="s">
        <v>58</v>
      </c>
      <c r="D453" s="163"/>
      <c r="E453" s="154">
        <v>0</v>
      </c>
      <c r="F453" s="117">
        <f>IF(E452=0,"",(G452/E452)/12*E452)</f>
        <v>0</v>
      </c>
      <c r="G453" s="97">
        <f>F453</f>
        <v>0</v>
      </c>
      <c r="H453" s="164"/>
      <c r="I453" s="101" t="s">
        <v>564</v>
      </c>
      <c r="J453" s="101" t="str">
        <f>VLOOKUP(I453,Presupuesto!$B$11:$C$565,2,0)</f>
        <v>CONTRATOS ESPECIALES</v>
      </c>
      <c r="K453" s="98" t="str">
        <f t="shared" si="13"/>
        <v>Posgrado</v>
      </c>
      <c r="L453" s="98" t="s">
        <v>394</v>
      </c>
    </row>
    <row r="454" spans="3:12" ht="15.75" thickBot="1" x14ac:dyDescent="0.3">
      <c r="C454" s="172" t="s">
        <v>59</v>
      </c>
      <c r="D454" s="163"/>
      <c r="E454" s="154">
        <v>0</v>
      </c>
      <c r="F454" s="100">
        <f>IF(E452&lt;6,"",((E452-6)/12)*(G452/E452))</f>
        <v>0</v>
      </c>
      <c r="G454" s="97">
        <f>F454</f>
        <v>0</v>
      </c>
      <c r="H454" s="164"/>
      <c r="I454" s="101" t="s">
        <v>564</v>
      </c>
      <c r="J454" s="101" t="str">
        <f>VLOOKUP(I454,Presupuesto!$B$11:$C$565,2,0)</f>
        <v>CONTRATOS ESPECIALES</v>
      </c>
      <c r="K454" s="98" t="str">
        <f t="shared" si="13"/>
        <v>Posgrado</v>
      </c>
      <c r="L454" s="98" t="s">
        <v>399</v>
      </c>
    </row>
    <row r="455" spans="3:12" ht="15.75" thickBot="1" x14ac:dyDescent="0.3">
      <c r="C455" s="140" t="s">
        <v>60</v>
      </c>
      <c r="D455" s="199"/>
      <c r="E455" s="152">
        <v>12</v>
      </c>
      <c r="F455" s="118">
        <v>30000</v>
      </c>
      <c r="G455" s="113">
        <f>D455*E455*F455</f>
        <v>0</v>
      </c>
      <c r="H455" s="166"/>
      <c r="I455" s="114" t="s">
        <v>705</v>
      </c>
      <c r="J455" s="114" t="str">
        <f>VLOOKUP(I455,Presupuesto!$B$11:$C$565,2,0)</f>
        <v>OTROS SERVICIOS TECNICOS Y PROFESIONALES</v>
      </c>
      <c r="K455" s="98" t="str">
        <f t="shared" si="13"/>
        <v>Posgrado</v>
      </c>
      <c r="L455" s="98" t="s">
        <v>394</v>
      </c>
    </row>
    <row r="456" spans="3:12" x14ac:dyDescent="0.25">
      <c r="C456" s="171" t="s">
        <v>58</v>
      </c>
      <c r="D456" s="163"/>
      <c r="E456" s="154">
        <v>0</v>
      </c>
      <c r="F456" s="100">
        <v>0</v>
      </c>
      <c r="G456" s="97">
        <f>F456</f>
        <v>0</v>
      </c>
      <c r="H456" s="164"/>
      <c r="I456" s="101" t="s">
        <v>705</v>
      </c>
      <c r="J456" s="101" t="str">
        <f>VLOOKUP(I456,Presupuesto!$B$11:$C$565,2,0)</f>
        <v>OTROS SERVICIOS TECNICOS Y PROFESIONALES</v>
      </c>
      <c r="K456" s="98" t="str">
        <f t="shared" si="13"/>
        <v>Posgrado</v>
      </c>
      <c r="L456" s="98" t="s">
        <v>394</v>
      </c>
    </row>
    <row r="457" spans="3:12" ht="15.75" thickBot="1" x14ac:dyDescent="0.3">
      <c r="C457" s="172" t="s">
        <v>59</v>
      </c>
      <c r="D457" s="163"/>
      <c r="E457" s="154">
        <v>0</v>
      </c>
      <c r="F457" s="100">
        <v>0</v>
      </c>
      <c r="G457" s="97">
        <f>F457</f>
        <v>0</v>
      </c>
      <c r="H457" s="164"/>
      <c r="I457" s="101" t="s">
        <v>705</v>
      </c>
      <c r="J457" s="101" t="str">
        <f>VLOOKUP(I457,Presupuesto!$B$11:$C$565,2,0)</f>
        <v>OTROS SERVICIOS TECNICOS Y PROFESIONALES</v>
      </c>
      <c r="K457" s="98" t="str">
        <f t="shared" si="13"/>
        <v>Posgrado</v>
      </c>
      <c r="L457" s="98" t="s">
        <v>394</v>
      </c>
    </row>
    <row r="458" spans="3:12" ht="15.75" thickBot="1" x14ac:dyDescent="0.3">
      <c r="C458" s="140" t="s">
        <v>61</v>
      </c>
      <c r="D458" s="199"/>
      <c r="E458" s="152">
        <v>12</v>
      </c>
      <c r="F458" s="118">
        <v>30000</v>
      </c>
      <c r="G458" s="113">
        <f>D458*E458*F458</f>
        <v>0</v>
      </c>
      <c r="H458" s="166"/>
      <c r="I458" s="114" t="s">
        <v>496</v>
      </c>
      <c r="J458" s="114" t="str">
        <f>VLOOKUP(I458,Presupuesto!$B$11:$C$565,2,0)</f>
        <v>SUELDOS Y SALARIOS PERMANENTES</v>
      </c>
      <c r="K458" s="98" t="str">
        <f t="shared" si="13"/>
        <v>Posgrado</v>
      </c>
      <c r="L458" s="98" t="s">
        <v>394</v>
      </c>
    </row>
    <row r="459" spans="3:12" x14ac:dyDescent="0.25">
      <c r="C459" s="171" t="s">
        <v>58</v>
      </c>
      <c r="D459" s="169"/>
      <c r="E459" s="131">
        <v>0</v>
      </c>
      <c r="F459" s="119">
        <f>IF(E458=0,"",(G458/E458)/12*E458)</f>
        <v>0</v>
      </c>
      <c r="G459" s="120">
        <f>F459</f>
        <v>0</v>
      </c>
      <c r="H459" s="164"/>
      <c r="I459" s="101" t="s">
        <v>516</v>
      </c>
      <c r="J459" s="101" t="str">
        <f>VLOOKUP(I459,Presupuesto!$B$11:$C$565,2,0)</f>
        <v>AGUINALDO Y DECIMO CUARTO MES</v>
      </c>
      <c r="K459" s="98" t="str">
        <f t="shared" si="13"/>
        <v>Posgrado</v>
      </c>
      <c r="L459" s="98" t="s">
        <v>394</v>
      </c>
    </row>
    <row r="460" spans="3:12" ht="15.75" thickBot="1" x14ac:dyDescent="0.3">
      <c r="C460" s="173" t="s">
        <v>59</v>
      </c>
      <c r="D460" s="162"/>
      <c r="E460" s="132">
        <v>0</v>
      </c>
      <c r="F460" s="105">
        <f>IF(E458&lt;6,"",((E458-6)/12)*(G458/E458))</f>
        <v>0</v>
      </c>
      <c r="G460" s="105">
        <f>F460</f>
        <v>0</v>
      </c>
      <c r="H460" s="162"/>
      <c r="I460" s="106" t="s">
        <v>519</v>
      </c>
      <c r="J460" s="124" t="str">
        <f>VLOOKUP(I460,Presupuesto!$B$11:$C$565,2,0)</f>
        <v>DECIMOCUARTO MES</v>
      </c>
      <c r="K460" s="106" t="str">
        <f t="shared" si="13"/>
        <v>Posgrado</v>
      </c>
      <c r="L460" s="124" t="s">
        <v>394</v>
      </c>
    </row>
    <row r="462" spans="3:12" ht="15.75" thickBot="1" x14ac:dyDescent="0.3">
      <c r="K462" s="153"/>
    </row>
    <row r="463" spans="3:12" ht="15.75" thickBot="1" x14ac:dyDescent="0.3">
      <c r="C463" s="69" t="s">
        <v>43</v>
      </c>
      <c r="D463" s="30">
        <f>SUM(G470:G520)</f>
        <v>0</v>
      </c>
      <c r="E463" s="93"/>
      <c r="F463" s="93"/>
      <c r="G463" s="93"/>
      <c r="H463" s="76"/>
      <c r="I463" s="76"/>
      <c r="J463" s="76"/>
      <c r="K463" s="153"/>
    </row>
    <row r="464" spans="3:12" x14ac:dyDescent="0.25">
      <c r="D464" s="31"/>
      <c r="E464" s="93"/>
      <c r="F464" s="93"/>
      <c r="G464" s="93"/>
      <c r="H464" s="76"/>
      <c r="I464" s="76"/>
      <c r="J464" s="76"/>
      <c r="K464" s="153"/>
    </row>
    <row r="465" spans="3:12" x14ac:dyDescent="0.25">
      <c r="D465" s="31"/>
      <c r="E465" s="93"/>
      <c r="F465" s="93"/>
      <c r="G465" s="93"/>
      <c r="H465" s="76"/>
      <c r="I465" s="76"/>
      <c r="J465" s="76"/>
      <c r="K465" s="153"/>
    </row>
    <row r="466" spans="3:12" ht="15.75" x14ac:dyDescent="0.25">
      <c r="C466" s="202" t="s">
        <v>392</v>
      </c>
      <c r="D466" s="370"/>
      <c r="E466" s="93"/>
      <c r="F466" s="93"/>
      <c r="G466" s="93"/>
      <c r="H466" s="76"/>
      <c r="I466" s="76"/>
      <c r="J466" s="76"/>
      <c r="K466" s="153"/>
    </row>
    <row r="467" spans="3:12" ht="18.75" x14ac:dyDescent="0.25">
      <c r="C467" s="211" t="e">
        <f>IFERROR(VLOOKUP(D466,'1. Desarrollo e Innov. Curricu.'!$E:$F,2,FALSE),IFERROR(VLOOKUP(D466,'2. Investigación Científica'!$E:$F,2,FALSE),IFERROR(VLOOKUP(D466,'3. Vinculación Univ. Sociedad'!$E:$F,2,FALSE),IFERROR(VLOOKUP(D466,'4. Docencia y Profesorado Univ.'!$E:$F,2,FALSE),IFERROR(VLOOKUP(D466,'5. Estudiantes y Graduados'!$E:$F,2,FALSE),IFERROR(VLOOKUP(D466,'11. Gestion Administrativa'!$E:$F,2,FALSE),IFERROR(VLOOKUP(D466,'13. Gestión Académica'!$E:$F,2,FALSE),IFERROR(VLOOKUP(D466,'8. Asegura. de la Calid. y M'!$E:$F,2,FALSE),IFERROR(VLOOKUP(D466,'6. Gestión del Conocimiento'!$E:$F,2,FALSE),IFERROR(VLOOKUP(D466,'15. Gobernabilidad y Proceso...'!$E:$F,2,FALSE),IFERROR(VLOOKUP(D466,'12. Gestión del Talento Humano'!$E:$F,2,FALSE),IFERROR(VLOOKUP(D466,'14. Internacional... de la E.S.'!$E:$F,2,FALSE),IFERROR(VLOOKUP(D466,'10. Posgrado'!$E:$F,2,FALSE),IFERROR(VLOOKUP(D466,'17. Gestión TIC'!$E:$F,2,FALSE),IFERROR(VLOOKUP(D466,'16. Desa. del Sistema Educ.Sup.'!$E:$F,2,FALSE),IFERROR(VLOOKUP(D466,'9. Cultura de Inno. Insti...'!$E:$F,2,FALSE),VLOOKUP(D466,'7. Lo Esencial de la Reforma U.'!$E:$F,2,0)))))))))))))))))</f>
        <v>#N/A</v>
      </c>
      <c r="D467" s="31"/>
      <c r="E467" s="93"/>
      <c r="F467" s="93"/>
      <c r="G467" s="93"/>
      <c r="H467" s="76"/>
      <c r="I467" s="76"/>
      <c r="J467" s="76"/>
      <c r="K467" s="153"/>
    </row>
    <row r="468" spans="3:12" ht="15.75" thickBot="1" x14ac:dyDescent="0.3">
      <c r="C468" s="177"/>
      <c r="D468" s="31"/>
      <c r="E468" s="93"/>
      <c r="F468" s="93"/>
      <c r="G468" s="93"/>
      <c r="H468" s="76"/>
      <c r="I468" s="76"/>
      <c r="J468" s="76"/>
      <c r="K468" s="153"/>
    </row>
    <row r="469" spans="3:12" ht="30.75" thickBot="1" x14ac:dyDescent="0.3">
      <c r="C469" s="134" t="s">
        <v>44</v>
      </c>
      <c r="D469" s="138" t="s">
        <v>55</v>
      </c>
      <c r="E469" s="170" t="s">
        <v>56</v>
      </c>
      <c r="F469" s="138" t="s">
        <v>57</v>
      </c>
      <c r="G469" s="135" t="s">
        <v>27</v>
      </c>
      <c r="H469" s="133" t="s">
        <v>131</v>
      </c>
      <c r="I469" s="136" t="s">
        <v>46</v>
      </c>
      <c r="J469" s="136" t="s">
        <v>132</v>
      </c>
      <c r="K469" s="136" t="s">
        <v>410</v>
      </c>
      <c r="L469" s="136" t="s">
        <v>411</v>
      </c>
    </row>
    <row r="470" spans="3:12" ht="15.75" thickBot="1" x14ac:dyDescent="0.3">
      <c r="C470" s="137" t="s">
        <v>482</v>
      </c>
      <c r="D470" s="199"/>
      <c r="E470" s="152">
        <v>12</v>
      </c>
      <c r="F470" s="305">
        <f>HLOOKUP($C470,$BZ$2:$CM$3,2,0)</f>
        <v>43674.39</v>
      </c>
      <c r="G470" s="113">
        <f>D470*E470*F470</f>
        <v>0</v>
      </c>
      <c r="H470" s="166"/>
      <c r="I470" s="114" t="s">
        <v>496</v>
      </c>
      <c r="J470" s="114" t="str">
        <f>VLOOKUP(I470,Presupuesto!$B$11:$C$565,2,0)</f>
        <v>SUELDOS Y SALARIOS PERMANENTES</v>
      </c>
      <c r="K470" s="219" t="s">
        <v>1454</v>
      </c>
      <c r="L470" s="98" t="s">
        <v>394</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ref="K471:K502" si="14">$K$470</f>
        <v>Posgrado</v>
      </c>
      <c r="L471" s="98" t="s">
        <v>412</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4"/>
        <v>Posgrado</v>
      </c>
      <c r="L472" s="98" t="s">
        <v>395</v>
      </c>
    </row>
    <row r="473" spans="3:12" ht="15.75" thickBot="1" x14ac:dyDescent="0.3">
      <c r="C473" s="137" t="s">
        <v>483</v>
      </c>
      <c r="D473" s="199"/>
      <c r="E473" s="152">
        <v>12</v>
      </c>
      <c r="F473" s="305">
        <f>HLOOKUP($C473,$BZ$2:$CM$3,2,0)</f>
        <v>39703.99</v>
      </c>
      <c r="G473" s="113">
        <f>D473*E473*F473</f>
        <v>0</v>
      </c>
      <c r="H473" s="166"/>
      <c r="I473" s="114" t="s">
        <v>496</v>
      </c>
      <c r="J473" s="114" t="str">
        <f>VLOOKUP(I473,Presupuesto!$B$11:$C$565,2,0)</f>
        <v>SUELDOS Y SALARIOS PERMANENTES</v>
      </c>
      <c r="K473" s="98" t="str">
        <f t="shared" si="14"/>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4"/>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4"/>
        <v>Posgrado</v>
      </c>
      <c r="L475" s="98" t="s">
        <v>395</v>
      </c>
    </row>
    <row r="476" spans="3:12" ht="15.75" thickBot="1" x14ac:dyDescent="0.3">
      <c r="C476" s="137" t="s">
        <v>484</v>
      </c>
      <c r="D476" s="199"/>
      <c r="E476" s="152">
        <v>12</v>
      </c>
      <c r="F476" s="305">
        <f>HLOOKUP($C476,$BZ$2:$CM$3,2,0)</f>
        <v>35733.589999999997</v>
      </c>
      <c r="G476" s="113">
        <f>D476*E476*F476</f>
        <v>0</v>
      </c>
      <c r="H476" s="166"/>
      <c r="I476" s="114" t="s">
        <v>496</v>
      </c>
      <c r="J476" s="114" t="str">
        <f>VLOOKUP(I476,Presupuesto!$B$11:$C$565,2,0)</f>
        <v>SUELDOS Y SALARIOS PERMANENTES</v>
      </c>
      <c r="K476" s="98" t="str">
        <f t="shared" si="14"/>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4"/>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4"/>
        <v>Posgrado</v>
      </c>
      <c r="L478" s="98" t="s">
        <v>395</v>
      </c>
    </row>
    <row r="479" spans="3:12" ht="15.75" thickBot="1" x14ac:dyDescent="0.3">
      <c r="C479" s="137" t="s">
        <v>485</v>
      </c>
      <c r="D479" s="199"/>
      <c r="E479" s="152">
        <v>12</v>
      </c>
      <c r="F479" s="305">
        <f>HLOOKUP($C479,$BZ$2:$CM$3,2,0)</f>
        <v>31763.19</v>
      </c>
      <c r="G479" s="113">
        <f>D479*E479*F479</f>
        <v>0</v>
      </c>
      <c r="H479" s="166"/>
      <c r="I479" s="114" t="s">
        <v>496</v>
      </c>
      <c r="J479" s="114" t="str">
        <f>VLOOKUP(I479,Presupuesto!$B$11:$C$565,2,0)</f>
        <v>SUELDOS Y SALARIOS PERMANENTES</v>
      </c>
      <c r="K479" s="98" t="str">
        <f t="shared" si="14"/>
        <v>Posgrado</v>
      </c>
      <c r="L479" s="98" t="s">
        <v>395</v>
      </c>
    </row>
    <row r="480" spans="3:12" x14ac:dyDescent="0.25">
      <c r="C480" s="171" t="s">
        <v>58</v>
      </c>
      <c r="D480" s="163"/>
      <c r="E480" s="154">
        <v>0</v>
      </c>
      <c r="F480" s="100">
        <f>IF(E479=0,"",(G479/E479)/12*E479)</f>
        <v>0</v>
      </c>
      <c r="G480" s="97">
        <f>F480</f>
        <v>0</v>
      </c>
      <c r="H480" s="164"/>
      <c r="I480" s="116" t="s">
        <v>516</v>
      </c>
      <c r="J480" s="116" t="str">
        <f>VLOOKUP(I480,Presupuesto!$B$11:$C$565,2,0)</f>
        <v>AGUINALDO Y DECIMO CUARTO MES</v>
      </c>
      <c r="K480" s="98" t="str">
        <f t="shared" si="14"/>
        <v>Posgrado</v>
      </c>
      <c r="L480" s="98" t="s">
        <v>395</v>
      </c>
    </row>
    <row r="481" spans="3:12" ht="15.75" thickBot="1" x14ac:dyDescent="0.3">
      <c r="C481" s="172" t="s">
        <v>59</v>
      </c>
      <c r="D481" s="163"/>
      <c r="E481" s="154">
        <v>0</v>
      </c>
      <c r="F481" s="117">
        <f>IF(E479&lt;6,"",((E479-6)/12)*(G479/E479))</f>
        <v>0</v>
      </c>
      <c r="G481" s="97">
        <f>F481</f>
        <v>0</v>
      </c>
      <c r="H481" s="164"/>
      <c r="I481" s="101" t="s">
        <v>519</v>
      </c>
      <c r="J481" s="101" t="str">
        <f>VLOOKUP(I481,Presupuesto!$B$11:$C$565,2,0)</f>
        <v>DECIMOCUARTO MES</v>
      </c>
      <c r="K481" s="98" t="str">
        <f t="shared" si="14"/>
        <v>Posgrado</v>
      </c>
      <c r="L481" s="98" t="s">
        <v>395</v>
      </c>
    </row>
    <row r="482" spans="3:12" ht="15.75" thickBot="1" x14ac:dyDescent="0.3">
      <c r="C482" s="137" t="s">
        <v>486</v>
      </c>
      <c r="D482" s="199"/>
      <c r="E482" s="152">
        <v>12</v>
      </c>
      <c r="F482" s="305">
        <f>HLOOKUP($C482,$BZ$2:$CM$3,2,0)</f>
        <v>29777.99</v>
      </c>
      <c r="G482" s="113">
        <f>D482*E482*F482</f>
        <v>0</v>
      </c>
      <c r="H482" s="166"/>
      <c r="I482" s="114" t="s">
        <v>496</v>
      </c>
      <c r="J482" s="114" t="str">
        <f>VLOOKUP(I482,Presupuesto!$B$11:$C$565,2,0)</f>
        <v>SUELDOS Y SALARIOS PERMANENTES</v>
      </c>
      <c r="K482" s="98" t="str">
        <f t="shared" si="14"/>
        <v>Posgrado</v>
      </c>
      <c r="L482" s="98" t="s">
        <v>395</v>
      </c>
    </row>
    <row r="483" spans="3:12" x14ac:dyDescent="0.25">
      <c r="C483" s="171" t="s">
        <v>58</v>
      </c>
      <c r="D483" s="163"/>
      <c r="E483" s="154">
        <v>0</v>
      </c>
      <c r="F483" s="100">
        <f>IF(E482=0,"",(G482/E482)/12*E482)</f>
        <v>0</v>
      </c>
      <c r="G483" s="97">
        <f>F483</f>
        <v>0</v>
      </c>
      <c r="H483" s="164"/>
      <c r="I483" s="116" t="s">
        <v>516</v>
      </c>
      <c r="J483" s="116" t="str">
        <f>VLOOKUP(I483,Presupuesto!$B$11:$C$565,2,0)</f>
        <v>AGUINALDO Y DECIMO CUARTO MES</v>
      </c>
      <c r="K483" s="98" t="str">
        <f t="shared" si="14"/>
        <v>Posgrado</v>
      </c>
      <c r="L483" s="98" t="s">
        <v>395</v>
      </c>
    </row>
    <row r="484" spans="3:12" ht="15.75" thickBot="1" x14ac:dyDescent="0.3">
      <c r="C484" s="172" t="s">
        <v>59</v>
      </c>
      <c r="D484" s="163"/>
      <c r="E484" s="154">
        <v>0</v>
      </c>
      <c r="F484" s="117">
        <f>IF(E482&lt;6,"",((E482-6)/12)*(G482/E482))</f>
        <v>0</v>
      </c>
      <c r="G484" s="97">
        <f>F484</f>
        <v>0</v>
      </c>
      <c r="H484" s="164"/>
      <c r="I484" s="101" t="s">
        <v>519</v>
      </c>
      <c r="J484" s="101" t="str">
        <f>VLOOKUP(I484,Presupuesto!$B$11:$C$565,2,0)</f>
        <v>DECIMOCUARTO MES</v>
      </c>
      <c r="K484" s="98" t="str">
        <f t="shared" si="14"/>
        <v>Posgrado</v>
      </c>
      <c r="L484" s="98" t="s">
        <v>395</v>
      </c>
    </row>
    <row r="485" spans="3:12" ht="15.75" thickBot="1" x14ac:dyDescent="0.3">
      <c r="C485" s="137" t="s">
        <v>487</v>
      </c>
      <c r="D485" s="199"/>
      <c r="E485" s="152">
        <v>12</v>
      </c>
      <c r="F485" s="305">
        <f>HLOOKUP($C485,$BZ$2:$CM$3,2,0)</f>
        <v>27792.79</v>
      </c>
      <c r="G485" s="113">
        <f>D485*E485*F485</f>
        <v>0</v>
      </c>
      <c r="H485" s="166"/>
      <c r="I485" s="114" t="s">
        <v>496</v>
      </c>
      <c r="J485" s="114" t="str">
        <f>VLOOKUP(I485,Presupuesto!$B$11:$C$565,2,0)</f>
        <v>SUELDOS Y SALARIOS PERMANENTES</v>
      </c>
      <c r="K485" s="98" t="str">
        <f t="shared" si="14"/>
        <v>Posgrado</v>
      </c>
      <c r="L485" s="98" t="s">
        <v>395</v>
      </c>
    </row>
    <row r="486" spans="3:12" x14ac:dyDescent="0.25">
      <c r="C486" s="171" t="s">
        <v>58</v>
      </c>
      <c r="D486" s="163"/>
      <c r="E486" s="154">
        <v>0</v>
      </c>
      <c r="F486" s="100">
        <f>IF(E485=0,"",(G485/E485)/12*E485)</f>
        <v>0</v>
      </c>
      <c r="G486" s="97">
        <f>F486</f>
        <v>0</v>
      </c>
      <c r="H486" s="164"/>
      <c r="I486" s="116" t="s">
        <v>516</v>
      </c>
      <c r="J486" s="116" t="str">
        <f>VLOOKUP(I486,Presupuesto!$B$11:$C$565,2,0)</f>
        <v>AGUINALDO Y DECIMO CUARTO MES</v>
      </c>
      <c r="K486" s="98" t="str">
        <f t="shared" si="14"/>
        <v>Posgrado</v>
      </c>
      <c r="L486" s="98" t="s">
        <v>395</v>
      </c>
    </row>
    <row r="487" spans="3:12" ht="15.75" thickBot="1" x14ac:dyDescent="0.3">
      <c r="C487" s="172" t="s">
        <v>59</v>
      </c>
      <c r="D487" s="163"/>
      <c r="E487" s="154">
        <v>0</v>
      </c>
      <c r="F487" s="117">
        <f>IF(E485&lt;6,"",((E485-6)/12)*(G485/E485))</f>
        <v>0</v>
      </c>
      <c r="G487" s="97">
        <f>F487</f>
        <v>0</v>
      </c>
      <c r="H487" s="164"/>
      <c r="I487" s="101" t="s">
        <v>519</v>
      </c>
      <c r="J487" s="101" t="str">
        <f>VLOOKUP(I487,Presupuesto!$B$11:$C$565,2,0)</f>
        <v>DECIMOCUARTO MES</v>
      </c>
      <c r="K487" s="98" t="str">
        <f t="shared" si="14"/>
        <v>Posgrado</v>
      </c>
      <c r="L487" s="98" t="s">
        <v>395</v>
      </c>
    </row>
    <row r="488" spans="3:12" ht="15.75" thickBot="1" x14ac:dyDescent="0.3">
      <c r="C488" s="137" t="s">
        <v>488</v>
      </c>
      <c r="D488" s="199"/>
      <c r="E488" s="152">
        <v>12</v>
      </c>
      <c r="F488" s="305">
        <f>HLOOKUP($C488,$BZ$2:$CM$3,2,0)</f>
        <v>18859.39</v>
      </c>
      <c r="G488" s="113">
        <f>D488*E488*F488</f>
        <v>0</v>
      </c>
      <c r="H488" s="166"/>
      <c r="I488" s="114" t="s">
        <v>496</v>
      </c>
      <c r="J488" s="114" t="str">
        <f>VLOOKUP(I488,Presupuesto!$B$11:$C$565,2,0)</f>
        <v>SUELDOS Y SALARIOS PERMANENTES</v>
      </c>
      <c r="K488" s="98" t="str">
        <f t="shared" si="14"/>
        <v>Posgrado</v>
      </c>
      <c r="L488" s="98" t="s">
        <v>395</v>
      </c>
    </row>
    <row r="489" spans="3:12" x14ac:dyDescent="0.25">
      <c r="C489" s="171" t="s">
        <v>58</v>
      </c>
      <c r="D489" s="163"/>
      <c r="E489" s="154">
        <v>0</v>
      </c>
      <c r="F489" s="100">
        <f>IF(E488=0,"",(G488/E488)/12*E488)</f>
        <v>0</v>
      </c>
      <c r="G489" s="97">
        <f>F489</f>
        <v>0</v>
      </c>
      <c r="H489" s="164"/>
      <c r="I489" s="116" t="s">
        <v>516</v>
      </c>
      <c r="J489" s="116" t="str">
        <f>VLOOKUP(I489,Presupuesto!$B$11:$C$565,2,0)</f>
        <v>AGUINALDO Y DECIMO CUARTO MES</v>
      </c>
      <c r="K489" s="98" t="str">
        <f t="shared" si="14"/>
        <v>Posgrado</v>
      </c>
      <c r="L489" s="98" t="s">
        <v>395</v>
      </c>
    </row>
    <row r="490" spans="3:12" ht="15.75" thickBot="1" x14ac:dyDescent="0.3">
      <c r="C490" s="172" t="s">
        <v>59</v>
      </c>
      <c r="D490" s="163"/>
      <c r="E490" s="154">
        <v>0</v>
      </c>
      <c r="F490" s="117">
        <f>IF(E488&lt;6,"",((E488-6)/12)*(G488/E488))</f>
        <v>0</v>
      </c>
      <c r="G490" s="97">
        <f>F490</f>
        <v>0</v>
      </c>
      <c r="H490" s="164"/>
      <c r="I490" s="101" t="s">
        <v>519</v>
      </c>
      <c r="J490" s="101" t="str">
        <f>VLOOKUP(I490,Presupuesto!$B$11:$C$565,2,0)</f>
        <v>DECIMOCUARTO MES</v>
      </c>
      <c r="K490" s="98" t="str">
        <f t="shared" si="14"/>
        <v>Posgrado</v>
      </c>
      <c r="L490" s="98" t="s">
        <v>395</v>
      </c>
    </row>
    <row r="491" spans="3:12" ht="15.75" thickBot="1" x14ac:dyDescent="0.3">
      <c r="C491" s="137" t="s">
        <v>489</v>
      </c>
      <c r="D491" s="199"/>
      <c r="E491" s="152">
        <v>12</v>
      </c>
      <c r="F491" s="305">
        <f>HLOOKUP($C491,$BZ$2:$CM$3,2,0)</f>
        <v>17866.8</v>
      </c>
      <c r="G491" s="113">
        <f>D491*E491*F491</f>
        <v>0</v>
      </c>
      <c r="H491" s="166"/>
      <c r="I491" s="114" t="s">
        <v>496</v>
      </c>
      <c r="J491" s="114" t="str">
        <f>VLOOKUP(I491,Presupuesto!$B$11:$C$565,2,0)</f>
        <v>SUELDOS Y SALARIOS PERMANENTES</v>
      </c>
      <c r="K491" s="98" t="str">
        <f t="shared" si="14"/>
        <v>Posgrado</v>
      </c>
      <c r="L491" s="98" t="s">
        <v>395</v>
      </c>
    </row>
    <row r="492" spans="3:12" x14ac:dyDescent="0.25">
      <c r="C492" s="171" t="s">
        <v>58</v>
      </c>
      <c r="D492" s="163"/>
      <c r="E492" s="154">
        <v>0</v>
      </c>
      <c r="F492" s="100">
        <f>IF(E491=0,"",(G491/E491)/12*E491)</f>
        <v>0</v>
      </c>
      <c r="G492" s="97">
        <f>F492</f>
        <v>0</v>
      </c>
      <c r="H492" s="164"/>
      <c r="I492" s="116" t="s">
        <v>516</v>
      </c>
      <c r="J492" s="116" t="str">
        <f>VLOOKUP(I492,Presupuesto!$B$11:$C$565,2,0)</f>
        <v>AGUINALDO Y DECIMO CUARTO MES</v>
      </c>
      <c r="K492" s="98" t="str">
        <f t="shared" si="14"/>
        <v>Posgrado</v>
      </c>
      <c r="L492" s="98" t="s">
        <v>395</v>
      </c>
    </row>
    <row r="493" spans="3:12" ht="15.75" thickBot="1" x14ac:dyDescent="0.3">
      <c r="C493" s="172" t="s">
        <v>59</v>
      </c>
      <c r="D493" s="163"/>
      <c r="E493" s="154">
        <v>0</v>
      </c>
      <c r="F493" s="117">
        <f>IF(E491&lt;6,"",((E491-6)/12)*(G491/E491))</f>
        <v>0</v>
      </c>
      <c r="G493" s="97">
        <f>F493</f>
        <v>0</v>
      </c>
      <c r="H493" s="164"/>
      <c r="I493" s="101" t="s">
        <v>519</v>
      </c>
      <c r="J493" s="101" t="str">
        <f>VLOOKUP(I493,Presupuesto!$B$11:$C$565,2,0)</f>
        <v>DECIMOCUARTO MES</v>
      </c>
      <c r="K493" s="98" t="str">
        <f t="shared" si="14"/>
        <v>Posgrado</v>
      </c>
      <c r="L493" s="98" t="s">
        <v>395</v>
      </c>
    </row>
    <row r="494" spans="3:12" ht="15.75" thickBot="1" x14ac:dyDescent="0.3">
      <c r="C494" s="137" t="s">
        <v>490</v>
      </c>
      <c r="D494" s="199"/>
      <c r="E494" s="152">
        <v>12</v>
      </c>
      <c r="F494" s="305">
        <f>HLOOKUP($C494,$BZ$2:$CM$3,2,0)</f>
        <v>13896.4</v>
      </c>
      <c r="G494" s="113">
        <f>D494*E494*F494</f>
        <v>0</v>
      </c>
      <c r="H494" s="166"/>
      <c r="I494" s="114" t="s">
        <v>496</v>
      </c>
      <c r="J494" s="114" t="str">
        <f>VLOOKUP(I494,Presupuesto!$B$11:$C$565,2,0)</f>
        <v>SUELDOS Y SALARIOS PERMANENTES</v>
      </c>
      <c r="K494" s="98" t="str">
        <f t="shared" si="14"/>
        <v>Posgrado</v>
      </c>
      <c r="L494" s="98" t="s">
        <v>395</v>
      </c>
    </row>
    <row r="495" spans="3:12" x14ac:dyDescent="0.25">
      <c r="C495" s="171" t="s">
        <v>58</v>
      </c>
      <c r="D495" s="163"/>
      <c r="E495" s="154">
        <v>0</v>
      </c>
      <c r="F495" s="100">
        <f>IF(E494=0,"",(G494/E494)/12*E494)</f>
        <v>0</v>
      </c>
      <c r="G495" s="97">
        <f>F495</f>
        <v>0</v>
      </c>
      <c r="H495" s="164"/>
      <c r="I495" s="116" t="s">
        <v>516</v>
      </c>
      <c r="J495" s="116" t="str">
        <f>VLOOKUP(I495,Presupuesto!$B$11:$C$565,2,0)</f>
        <v>AGUINALDO Y DECIMO CUARTO MES</v>
      </c>
      <c r="K495" s="98" t="str">
        <f t="shared" si="14"/>
        <v>Posgrado</v>
      </c>
      <c r="L495" s="98" t="s">
        <v>395</v>
      </c>
    </row>
    <row r="496" spans="3:12" ht="15.75" thickBot="1" x14ac:dyDescent="0.3">
      <c r="C496" s="172" t="s">
        <v>59</v>
      </c>
      <c r="D496" s="163"/>
      <c r="E496" s="154">
        <v>0</v>
      </c>
      <c r="F496" s="117">
        <f>IF(E494&lt;6,"",((E494-6)/12)*(G494/E494))</f>
        <v>0</v>
      </c>
      <c r="G496" s="97">
        <f>F496</f>
        <v>0</v>
      </c>
      <c r="H496" s="164"/>
      <c r="I496" s="101" t="s">
        <v>519</v>
      </c>
      <c r="J496" s="101" t="str">
        <f>VLOOKUP(I496,Presupuesto!$B$11:$C$565,2,0)</f>
        <v>DECIMOCUARTO MES</v>
      </c>
      <c r="K496" s="98" t="str">
        <f t="shared" si="14"/>
        <v>Posgrado</v>
      </c>
      <c r="L496" s="98" t="s">
        <v>395</v>
      </c>
    </row>
    <row r="497" spans="3:12" ht="15.75" thickBot="1" x14ac:dyDescent="0.3">
      <c r="C497" s="137" t="s">
        <v>491</v>
      </c>
      <c r="D497" s="199"/>
      <c r="E497" s="152">
        <v>12</v>
      </c>
      <c r="F497" s="305">
        <f>HLOOKUP($C497,$BZ$2:$CM$3,2,0)</f>
        <v>15004.09</v>
      </c>
      <c r="G497" s="113">
        <f>D497*E497*F497</f>
        <v>0</v>
      </c>
      <c r="H497" s="166"/>
      <c r="I497" s="114" t="s">
        <v>496</v>
      </c>
      <c r="J497" s="114" t="str">
        <f>VLOOKUP(I497,Presupuesto!$B$11:$C$565,2,0)</f>
        <v>SUELDOS Y SALARIOS PERMANENTES</v>
      </c>
      <c r="K497" s="98" t="str">
        <f t="shared" si="14"/>
        <v>Posgrado</v>
      </c>
      <c r="L497" s="98" t="s">
        <v>395</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si="14"/>
        <v>Posgrado</v>
      </c>
      <c r="L498" s="98" t="s">
        <v>395</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4"/>
        <v>Posgrado</v>
      </c>
      <c r="L499" s="98" t="s">
        <v>395</v>
      </c>
    </row>
    <row r="500" spans="3:12" ht="15.75" thickBot="1" x14ac:dyDescent="0.3">
      <c r="C500" s="137" t="s">
        <v>492</v>
      </c>
      <c r="D500" s="199"/>
      <c r="E500" s="152">
        <v>12</v>
      </c>
      <c r="F500" s="305">
        <f>HLOOKUP($C500,$BZ$2:$CM$3,2,0)</f>
        <v>13238.9</v>
      </c>
      <c r="G500" s="113">
        <f>D500*E500*F500</f>
        <v>0</v>
      </c>
      <c r="H500" s="166"/>
      <c r="I500" s="114" t="s">
        <v>496</v>
      </c>
      <c r="J500" s="114" t="str">
        <f>VLOOKUP(I500,Presupuesto!$B$11:$C$565,2,0)</f>
        <v>SUELDOS Y SALARIOS PERMANENTES</v>
      </c>
      <c r="K500" s="98" t="str">
        <f t="shared" si="14"/>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4"/>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4"/>
        <v>Posgrado</v>
      </c>
      <c r="L502" s="98" t="s">
        <v>395</v>
      </c>
    </row>
    <row r="503" spans="3:12" ht="15.75" thickBot="1" x14ac:dyDescent="0.3">
      <c r="C503" s="137" t="s">
        <v>493</v>
      </c>
      <c r="D503" s="199"/>
      <c r="E503" s="152">
        <v>12</v>
      </c>
      <c r="F503" s="305">
        <f>HLOOKUP($C503,$BZ$2:$CM$3,2,0)</f>
        <v>12356.31</v>
      </c>
      <c r="G503" s="113">
        <f>D503*E503*F503</f>
        <v>0</v>
      </c>
      <c r="H503" s="166"/>
      <c r="I503" s="114" t="s">
        <v>496</v>
      </c>
      <c r="J503" s="114" t="str">
        <f>VLOOKUP(I503,Presupuesto!$B$11:$C$565,2,0)</f>
        <v>SUELDOS Y SALARIOS PERMANENTES</v>
      </c>
      <c r="K503" s="98" t="str">
        <f t="shared" ref="K503:K520" si="15">$K$470</f>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5"/>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5"/>
        <v>Posgrado</v>
      </c>
      <c r="L505" s="98" t="s">
        <v>395</v>
      </c>
    </row>
    <row r="506" spans="3:12" ht="15.75" thickBot="1" x14ac:dyDescent="0.3">
      <c r="C506" s="137" t="s">
        <v>494</v>
      </c>
      <c r="D506" s="199"/>
      <c r="E506" s="152">
        <v>12</v>
      </c>
      <c r="F506" s="305">
        <f>HLOOKUP($C506,$BZ$2:$CM$3,2,0)</f>
        <v>463.22</v>
      </c>
      <c r="G506" s="113">
        <f>D506*E506*F506</f>
        <v>0</v>
      </c>
      <c r="H506" s="166"/>
      <c r="I506" s="114" t="s">
        <v>496</v>
      </c>
      <c r="J506" s="114" t="str">
        <f>VLOOKUP(I506,Presupuesto!$B$11:$C$565,2,0)</f>
        <v>SUELDOS Y SALARIOS PERMANENTES</v>
      </c>
      <c r="K506" s="98" t="str">
        <f t="shared" si="15"/>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5"/>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5"/>
        <v>Posgrado</v>
      </c>
      <c r="L508" s="98" t="s">
        <v>395</v>
      </c>
    </row>
    <row r="509" spans="3:12" ht="15.75" thickBot="1" x14ac:dyDescent="0.3">
      <c r="C509" s="137" t="s">
        <v>495</v>
      </c>
      <c r="D509" s="199"/>
      <c r="E509" s="152">
        <v>12</v>
      </c>
      <c r="F509" s="305">
        <f>HLOOKUP($C509,$BZ$2:$CM$3,2,0)</f>
        <v>2007.3</v>
      </c>
      <c r="G509" s="113">
        <f>D509*E509*F509</f>
        <v>0</v>
      </c>
      <c r="H509" s="166"/>
      <c r="I509" s="114" t="s">
        <v>496</v>
      </c>
      <c r="J509" s="114" t="str">
        <f>VLOOKUP(I509,Presupuesto!$B$11:$C$565,2,0)</f>
        <v>SUELDOS Y SALARIOS PERMANENTES</v>
      </c>
      <c r="K509" s="98" t="str">
        <f t="shared" si="15"/>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5"/>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5"/>
        <v>Posgrado</v>
      </c>
      <c r="L511" s="98" t="s">
        <v>395</v>
      </c>
    </row>
    <row r="512" spans="3:12" ht="15.75" thickBot="1" x14ac:dyDescent="0.3">
      <c r="C512" s="140" t="s">
        <v>83</v>
      </c>
      <c r="D512" s="199"/>
      <c r="E512" s="152">
        <v>12</v>
      </c>
      <c r="F512" s="139">
        <v>30000</v>
      </c>
      <c r="G512" s="113">
        <f>D512*E512*F512</f>
        <v>0</v>
      </c>
      <c r="H512" s="166"/>
      <c r="I512" s="114" t="s">
        <v>564</v>
      </c>
      <c r="J512" s="114" t="str">
        <f>VLOOKUP(I512,Presupuesto!$B$11:$C$565,2,0)</f>
        <v>CONTRATOS ESPECIALES</v>
      </c>
      <c r="K512" s="98" t="str">
        <f t="shared" si="15"/>
        <v>Posgrado</v>
      </c>
      <c r="L512" s="98" t="s">
        <v>395</v>
      </c>
    </row>
    <row r="513" spans="3:12" x14ac:dyDescent="0.25">
      <c r="C513" s="171" t="s">
        <v>58</v>
      </c>
      <c r="D513" s="163"/>
      <c r="E513" s="154">
        <v>0</v>
      </c>
      <c r="F513" s="117">
        <f>IF(E512=0,"",(G512/E512)/12*E512)</f>
        <v>0</v>
      </c>
      <c r="G513" s="97">
        <f>F513</f>
        <v>0</v>
      </c>
      <c r="H513" s="164"/>
      <c r="I513" s="101" t="s">
        <v>564</v>
      </c>
      <c r="J513" s="101" t="str">
        <f>VLOOKUP(I513,Presupuesto!$B$11:$C$565,2,0)</f>
        <v>CONTRATOS ESPECIALES</v>
      </c>
      <c r="K513" s="98" t="str">
        <f t="shared" si="15"/>
        <v>Posgrado</v>
      </c>
      <c r="L513" s="98" t="s">
        <v>394</v>
      </c>
    </row>
    <row r="514" spans="3:12" ht="15.75" thickBot="1" x14ac:dyDescent="0.3">
      <c r="C514" s="172" t="s">
        <v>59</v>
      </c>
      <c r="D514" s="163"/>
      <c r="E514" s="154">
        <v>0</v>
      </c>
      <c r="F514" s="100">
        <f>IF(E512&lt;6,"",((E512-6)/12)*(G512/E512))</f>
        <v>0</v>
      </c>
      <c r="G514" s="97">
        <f>F514</f>
        <v>0</v>
      </c>
      <c r="H514" s="164"/>
      <c r="I514" s="101" t="s">
        <v>564</v>
      </c>
      <c r="J514" s="101" t="str">
        <f>VLOOKUP(I514,Presupuesto!$B$11:$C$565,2,0)</f>
        <v>CONTRATOS ESPECIALES</v>
      </c>
      <c r="K514" s="98" t="str">
        <f t="shared" si="15"/>
        <v>Posgrado</v>
      </c>
      <c r="L514" s="98" t="s">
        <v>399</v>
      </c>
    </row>
    <row r="515" spans="3:12" ht="15.75" thickBot="1" x14ac:dyDescent="0.3">
      <c r="C515" s="140" t="s">
        <v>60</v>
      </c>
      <c r="D515" s="199"/>
      <c r="E515" s="152">
        <v>12</v>
      </c>
      <c r="F515" s="118">
        <v>30000</v>
      </c>
      <c r="G515" s="113">
        <f>D515*E515*F515</f>
        <v>0</v>
      </c>
      <c r="H515" s="166"/>
      <c r="I515" s="114" t="s">
        <v>705</v>
      </c>
      <c r="J515" s="114" t="str">
        <f>VLOOKUP(I515,Presupuesto!$B$11:$C$565,2,0)</f>
        <v>OTROS SERVICIOS TECNICOS Y PROFESIONALES</v>
      </c>
      <c r="K515" s="98" t="str">
        <f t="shared" si="15"/>
        <v>Posgrado</v>
      </c>
      <c r="L515" s="98" t="s">
        <v>394</v>
      </c>
    </row>
    <row r="516" spans="3:12" x14ac:dyDescent="0.25">
      <c r="C516" s="171" t="s">
        <v>58</v>
      </c>
      <c r="D516" s="163"/>
      <c r="E516" s="154">
        <v>0</v>
      </c>
      <c r="F516" s="100">
        <v>0</v>
      </c>
      <c r="G516" s="97">
        <f>F516</f>
        <v>0</v>
      </c>
      <c r="H516" s="164"/>
      <c r="I516" s="101" t="s">
        <v>705</v>
      </c>
      <c r="J516" s="101" t="str">
        <f>VLOOKUP(I516,Presupuesto!$B$11:$C$565,2,0)</f>
        <v>OTROS SERVICIOS TECNICOS Y PROFESIONALES</v>
      </c>
      <c r="K516" s="98" t="str">
        <f t="shared" si="15"/>
        <v>Posgrado</v>
      </c>
      <c r="L516" s="98" t="s">
        <v>394</v>
      </c>
    </row>
    <row r="517" spans="3:12" ht="15.75" thickBot="1" x14ac:dyDescent="0.3">
      <c r="C517" s="172" t="s">
        <v>59</v>
      </c>
      <c r="D517" s="163"/>
      <c r="E517" s="154">
        <v>0</v>
      </c>
      <c r="F517" s="100">
        <v>0</v>
      </c>
      <c r="G517" s="97">
        <f>F517</f>
        <v>0</v>
      </c>
      <c r="H517" s="164"/>
      <c r="I517" s="101" t="s">
        <v>705</v>
      </c>
      <c r="J517" s="101" t="str">
        <f>VLOOKUP(I517,Presupuesto!$B$11:$C$565,2,0)</f>
        <v>OTROS SERVICIOS TECNICOS Y PROFESIONALES</v>
      </c>
      <c r="K517" s="98" t="str">
        <f t="shared" si="15"/>
        <v>Posgrado</v>
      </c>
      <c r="L517" s="98" t="s">
        <v>394</v>
      </c>
    </row>
    <row r="518" spans="3:12" ht="15.75" thickBot="1" x14ac:dyDescent="0.3">
      <c r="C518" s="140" t="s">
        <v>61</v>
      </c>
      <c r="D518" s="199"/>
      <c r="E518" s="152">
        <v>12</v>
      </c>
      <c r="F518" s="118">
        <v>30000</v>
      </c>
      <c r="G518" s="113">
        <f>D518*E518*F518</f>
        <v>0</v>
      </c>
      <c r="H518" s="166"/>
      <c r="I518" s="114" t="s">
        <v>496</v>
      </c>
      <c r="J518" s="114" t="str">
        <f>VLOOKUP(I518,Presupuesto!$B$11:$C$565,2,0)</f>
        <v>SUELDOS Y SALARIOS PERMANENTES</v>
      </c>
      <c r="K518" s="98" t="str">
        <f t="shared" si="15"/>
        <v>Posgrado</v>
      </c>
      <c r="L518" s="98" t="s">
        <v>394</v>
      </c>
    </row>
    <row r="519" spans="3:12" x14ac:dyDescent="0.25">
      <c r="C519" s="171" t="s">
        <v>58</v>
      </c>
      <c r="D519" s="169"/>
      <c r="E519" s="131">
        <v>0</v>
      </c>
      <c r="F519" s="119">
        <f>IF(E518=0,"",(G518/E518)/12*E518)</f>
        <v>0</v>
      </c>
      <c r="G519" s="120">
        <f>F519</f>
        <v>0</v>
      </c>
      <c r="H519" s="164"/>
      <c r="I519" s="101" t="s">
        <v>516</v>
      </c>
      <c r="J519" s="101" t="str">
        <f>VLOOKUP(I519,Presupuesto!$B$11:$C$565,2,0)</f>
        <v>AGUINALDO Y DECIMO CUARTO MES</v>
      </c>
      <c r="K519" s="98" t="str">
        <f t="shared" si="15"/>
        <v>Posgrado</v>
      </c>
      <c r="L519" s="98" t="s">
        <v>394</v>
      </c>
    </row>
    <row r="520" spans="3:12" ht="15.75" thickBot="1" x14ac:dyDescent="0.3">
      <c r="C520" s="173" t="s">
        <v>59</v>
      </c>
      <c r="D520" s="162"/>
      <c r="E520" s="132">
        <v>0</v>
      </c>
      <c r="F520" s="105">
        <f>IF(E518&lt;6,"",((E518-6)/12)*(G518/E518))</f>
        <v>0</v>
      </c>
      <c r="G520" s="105">
        <f>F520</f>
        <v>0</v>
      </c>
      <c r="H520" s="162"/>
      <c r="I520" s="106" t="s">
        <v>519</v>
      </c>
      <c r="J520" s="124" t="str">
        <f>VLOOKUP(I520,Presupuesto!$B$11:$C$565,2,0)</f>
        <v>DECIMOCUARTO MES</v>
      </c>
      <c r="K520" s="106" t="str">
        <f t="shared" si="15"/>
        <v>Posgrado</v>
      </c>
      <c r="L520" s="124" t="s">
        <v>394</v>
      </c>
    </row>
    <row r="522" spans="3:12" ht="15.75" thickBot="1" x14ac:dyDescent="0.3">
      <c r="K522" s="153"/>
    </row>
    <row r="523" spans="3:12" ht="15.75" thickBot="1" x14ac:dyDescent="0.3">
      <c r="C523" s="69" t="s">
        <v>43</v>
      </c>
      <c r="D523" s="30">
        <f>SUM(G530:G580)</f>
        <v>0</v>
      </c>
      <c r="E523" s="93"/>
      <c r="F523" s="93"/>
      <c r="G523" s="93"/>
      <c r="H523" s="76"/>
      <c r="I523" s="76"/>
      <c r="J523" s="76"/>
      <c r="K523" s="153"/>
    </row>
    <row r="524" spans="3:12" x14ac:dyDescent="0.25">
      <c r="D524" s="31"/>
      <c r="E524" s="93"/>
      <c r="F524" s="93"/>
      <c r="G524" s="93"/>
      <c r="H524" s="76"/>
      <c r="I524" s="76"/>
      <c r="J524" s="76"/>
      <c r="K524" s="153"/>
    </row>
    <row r="525" spans="3:12" x14ac:dyDescent="0.25">
      <c r="D525" s="31"/>
      <c r="E525" s="93"/>
      <c r="F525" s="93"/>
      <c r="G525" s="93"/>
      <c r="H525" s="76"/>
      <c r="I525" s="76"/>
      <c r="J525" s="76"/>
      <c r="K525" s="153"/>
    </row>
    <row r="526" spans="3:12" ht="15.75" x14ac:dyDescent="0.25">
      <c r="C526" s="202" t="s">
        <v>392</v>
      </c>
      <c r="D526" s="370"/>
      <c r="E526" s="93"/>
      <c r="F526" s="93"/>
      <c r="G526" s="93"/>
      <c r="H526" s="76"/>
      <c r="I526" s="76"/>
      <c r="J526" s="76"/>
      <c r="K526" s="153"/>
    </row>
    <row r="527" spans="3:12" ht="18.75" x14ac:dyDescent="0.25">
      <c r="C527" s="211" t="e">
        <f>IFERROR(VLOOKUP(D526,'1. Desarrollo e Innov. Curricu.'!$E:$F,2,FALSE),IFERROR(VLOOKUP(D526,'2. Investigación Científica'!$E:$F,2,FALSE),IFERROR(VLOOKUP(D526,'3. Vinculación Univ. Sociedad'!$E:$F,2,FALSE),IFERROR(VLOOKUP(D526,'4. Docencia y Profesorado Univ.'!$E:$F,2,FALSE),IFERROR(VLOOKUP(D526,'5. Estudiantes y Graduados'!$E:$F,2,FALSE),IFERROR(VLOOKUP(D526,'11. Gestion Administrativa'!$E:$F,2,FALSE),IFERROR(VLOOKUP(D526,'13. Gestión Académica'!$E:$F,2,FALSE),IFERROR(VLOOKUP(D526,'8. Asegura. de la Calid. y M'!$E:$F,2,FALSE),IFERROR(VLOOKUP(D526,'6. Gestión del Conocimiento'!$E:$F,2,FALSE),IFERROR(VLOOKUP(D526,'15. Gobernabilidad y Proceso...'!$E:$F,2,FALSE),IFERROR(VLOOKUP(D526,'12. Gestión del Talento Humano'!$E:$F,2,FALSE),IFERROR(VLOOKUP(D526,'14. Internacional... de la E.S.'!$E:$F,2,FALSE),IFERROR(VLOOKUP(D526,'10. Posgrado'!$E:$F,2,FALSE),IFERROR(VLOOKUP(D526,'17. Gestión TIC'!$E:$F,2,FALSE),IFERROR(VLOOKUP(D526,'16. Desa. del Sistema Educ.Sup.'!$E:$F,2,FALSE),IFERROR(VLOOKUP(D526,'9. Cultura de Inno. Insti...'!$E:$F,2,FALSE),VLOOKUP(D526,'7. Lo Esencial de la Reforma U.'!$E:$F,2,0)))))))))))))))))</f>
        <v>#N/A</v>
      </c>
      <c r="D527" s="31"/>
      <c r="E527" s="93"/>
      <c r="F527" s="93"/>
      <c r="G527" s="93"/>
      <c r="H527" s="76"/>
      <c r="I527" s="76"/>
      <c r="J527" s="76"/>
      <c r="K527" s="153"/>
    </row>
    <row r="528" spans="3:12" ht="15.75" thickBot="1" x14ac:dyDescent="0.3">
      <c r="C528" s="177"/>
      <c r="D528" s="31"/>
      <c r="E528" s="93"/>
      <c r="F528" s="93"/>
      <c r="G528" s="93"/>
      <c r="H528" s="76"/>
      <c r="I528" s="76"/>
      <c r="J528" s="76"/>
      <c r="K528" s="153"/>
    </row>
    <row r="529" spans="3:12" ht="30.75" thickBot="1" x14ac:dyDescent="0.3">
      <c r="C529" s="134" t="s">
        <v>44</v>
      </c>
      <c r="D529" s="138" t="s">
        <v>55</v>
      </c>
      <c r="E529" s="170" t="s">
        <v>56</v>
      </c>
      <c r="F529" s="138" t="s">
        <v>57</v>
      </c>
      <c r="G529" s="135" t="s">
        <v>27</v>
      </c>
      <c r="H529" s="133" t="s">
        <v>131</v>
      </c>
      <c r="I529" s="136" t="s">
        <v>46</v>
      </c>
      <c r="J529" s="136" t="s">
        <v>132</v>
      </c>
      <c r="K529" s="136" t="s">
        <v>410</v>
      </c>
      <c r="L529" s="136" t="s">
        <v>411</v>
      </c>
    </row>
    <row r="530" spans="3:12" ht="15.75" thickBot="1" x14ac:dyDescent="0.3">
      <c r="C530" s="137" t="s">
        <v>482</v>
      </c>
      <c r="D530" s="199"/>
      <c r="E530" s="152">
        <v>12</v>
      </c>
      <c r="F530" s="305">
        <f>HLOOKUP($C530,$BZ$2:$CM$3,2,0)</f>
        <v>43674.39</v>
      </c>
      <c r="G530" s="113">
        <f>D530*E530*F530</f>
        <v>0</v>
      </c>
      <c r="H530" s="166"/>
      <c r="I530" s="114" t="s">
        <v>496</v>
      </c>
      <c r="J530" s="114" t="str">
        <f>VLOOKUP(I530,Presupuesto!$B$11:$C$565,2,0)</f>
        <v>SUELDOS Y SALARIOS PERMANENTES</v>
      </c>
      <c r="K530" s="219" t="s">
        <v>1454</v>
      </c>
      <c r="L530" s="98" t="s">
        <v>394</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ref="K531:K562" si="16">$K$530</f>
        <v>Posgrado</v>
      </c>
      <c r="L531" s="98" t="s">
        <v>412</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6"/>
        <v>Posgrado</v>
      </c>
      <c r="L532" s="98" t="s">
        <v>395</v>
      </c>
    </row>
    <row r="533" spans="3:12" ht="15.75" thickBot="1" x14ac:dyDescent="0.3">
      <c r="C533" s="137" t="s">
        <v>483</v>
      </c>
      <c r="D533" s="199"/>
      <c r="E533" s="152">
        <v>12</v>
      </c>
      <c r="F533" s="305">
        <f>HLOOKUP($C533,$BZ$2:$CM$3,2,0)</f>
        <v>39703.99</v>
      </c>
      <c r="G533" s="113">
        <f>D533*E533*F533</f>
        <v>0</v>
      </c>
      <c r="H533" s="166"/>
      <c r="I533" s="114" t="s">
        <v>496</v>
      </c>
      <c r="J533" s="114" t="str">
        <f>VLOOKUP(I533,Presupuesto!$B$11:$C$565,2,0)</f>
        <v>SUELDOS Y SALARIOS PERMANENTES</v>
      </c>
      <c r="K533" s="98" t="str">
        <f t="shared" si="16"/>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6"/>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6"/>
        <v>Posgrado</v>
      </c>
      <c r="L535" s="98" t="s">
        <v>395</v>
      </c>
    </row>
    <row r="536" spans="3:12" ht="15.75" thickBot="1" x14ac:dyDescent="0.3">
      <c r="C536" s="137" t="s">
        <v>484</v>
      </c>
      <c r="D536" s="199"/>
      <c r="E536" s="152">
        <v>12</v>
      </c>
      <c r="F536" s="305">
        <f>HLOOKUP($C536,$BZ$2:$CM$3,2,0)</f>
        <v>35733.589999999997</v>
      </c>
      <c r="G536" s="113">
        <f>D536*E536*F536</f>
        <v>0</v>
      </c>
      <c r="H536" s="166"/>
      <c r="I536" s="114" t="s">
        <v>496</v>
      </c>
      <c r="J536" s="114" t="str">
        <f>VLOOKUP(I536,Presupuesto!$B$11:$C$565,2,0)</f>
        <v>SUELDOS Y SALARIOS PERMANENTES</v>
      </c>
      <c r="K536" s="98" t="str">
        <f t="shared" si="16"/>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6"/>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6"/>
        <v>Posgrado</v>
      </c>
      <c r="L538" s="98" t="s">
        <v>395</v>
      </c>
    </row>
    <row r="539" spans="3:12" ht="15.75" thickBot="1" x14ac:dyDescent="0.3">
      <c r="C539" s="137" t="s">
        <v>485</v>
      </c>
      <c r="D539" s="199"/>
      <c r="E539" s="152">
        <v>12</v>
      </c>
      <c r="F539" s="305">
        <f>HLOOKUP($C539,$BZ$2:$CM$3,2,0)</f>
        <v>31763.19</v>
      </c>
      <c r="G539" s="113">
        <f>D539*E539*F539</f>
        <v>0</v>
      </c>
      <c r="H539" s="166"/>
      <c r="I539" s="114" t="s">
        <v>496</v>
      </c>
      <c r="J539" s="114" t="str">
        <f>VLOOKUP(I539,Presupuesto!$B$11:$C$565,2,0)</f>
        <v>SUELDOS Y SALARIOS PERMANENTES</v>
      </c>
      <c r="K539" s="98" t="str">
        <f t="shared" si="16"/>
        <v>Posgrado</v>
      </c>
      <c r="L539" s="98" t="s">
        <v>395</v>
      </c>
    </row>
    <row r="540" spans="3:12" x14ac:dyDescent="0.25">
      <c r="C540" s="171" t="s">
        <v>58</v>
      </c>
      <c r="D540" s="163"/>
      <c r="E540" s="154">
        <v>0</v>
      </c>
      <c r="F540" s="100">
        <f>IF(E539=0,"",(G539/E539)/12*E539)</f>
        <v>0</v>
      </c>
      <c r="G540" s="97">
        <f>F540</f>
        <v>0</v>
      </c>
      <c r="H540" s="164"/>
      <c r="I540" s="116" t="s">
        <v>516</v>
      </c>
      <c r="J540" s="116" t="str">
        <f>VLOOKUP(I540,Presupuesto!$B$11:$C$565,2,0)</f>
        <v>AGUINALDO Y DECIMO CUARTO MES</v>
      </c>
      <c r="K540" s="98" t="str">
        <f t="shared" si="16"/>
        <v>Posgrado</v>
      </c>
      <c r="L540" s="98" t="s">
        <v>395</v>
      </c>
    </row>
    <row r="541" spans="3:12" ht="15.75" thickBot="1" x14ac:dyDescent="0.3">
      <c r="C541" s="172" t="s">
        <v>59</v>
      </c>
      <c r="D541" s="163"/>
      <c r="E541" s="154">
        <v>0</v>
      </c>
      <c r="F541" s="117">
        <f>IF(E539&lt;6,"",((E539-6)/12)*(G539/E539))</f>
        <v>0</v>
      </c>
      <c r="G541" s="97">
        <f>F541</f>
        <v>0</v>
      </c>
      <c r="H541" s="164"/>
      <c r="I541" s="101" t="s">
        <v>519</v>
      </c>
      <c r="J541" s="101" t="str">
        <f>VLOOKUP(I541,Presupuesto!$B$11:$C$565,2,0)</f>
        <v>DECIMOCUARTO MES</v>
      </c>
      <c r="K541" s="98" t="str">
        <f t="shared" si="16"/>
        <v>Posgrado</v>
      </c>
      <c r="L541" s="98" t="s">
        <v>395</v>
      </c>
    </row>
    <row r="542" spans="3:12" ht="15.75" thickBot="1" x14ac:dyDescent="0.3">
      <c r="C542" s="137" t="s">
        <v>486</v>
      </c>
      <c r="D542" s="199"/>
      <c r="E542" s="152">
        <v>12</v>
      </c>
      <c r="F542" s="305">
        <f>HLOOKUP($C542,$BZ$2:$CM$3,2,0)</f>
        <v>29777.99</v>
      </c>
      <c r="G542" s="113">
        <f>D542*E542*F542</f>
        <v>0</v>
      </c>
      <c r="H542" s="166"/>
      <c r="I542" s="114" t="s">
        <v>496</v>
      </c>
      <c r="J542" s="114" t="str">
        <f>VLOOKUP(I542,Presupuesto!$B$11:$C$565,2,0)</f>
        <v>SUELDOS Y SALARIOS PERMANENTES</v>
      </c>
      <c r="K542" s="98" t="str">
        <f t="shared" si="16"/>
        <v>Posgrado</v>
      </c>
      <c r="L542" s="98" t="s">
        <v>395</v>
      </c>
    </row>
    <row r="543" spans="3:12" x14ac:dyDescent="0.25">
      <c r="C543" s="171" t="s">
        <v>58</v>
      </c>
      <c r="D543" s="163"/>
      <c r="E543" s="154">
        <v>0</v>
      </c>
      <c r="F543" s="100">
        <f>IF(E542=0,"",(G542/E542)/12*E542)</f>
        <v>0</v>
      </c>
      <c r="G543" s="97">
        <f>F543</f>
        <v>0</v>
      </c>
      <c r="H543" s="164"/>
      <c r="I543" s="116" t="s">
        <v>516</v>
      </c>
      <c r="J543" s="116" t="str">
        <f>VLOOKUP(I543,Presupuesto!$B$11:$C$565,2,0)</f>
        <v>AGUINALDO Y DECIMO CUARTO MES</v>
      </c>
      <c r="K543" s="98" t="str">
        <f t="shared" si="16"/>
        <v>Posgrado</v>
      </c>
      <c r="L543" s="98" t="s">
        <v>395</v>
      </c>
    </row>
    <row r="544" spans="3:12" ht="15.75" thickBot="1" x14ac:dyDescent="0.3">
      <c r="C544" s="172" t="s">
        <v>59</v>
      </c>
      <c r="D544" s="163"/>
      <c r="E544" s="154">
        <v>0</v>
      </c>
      <c r="F544" s="117">
        <f>IF(E542&lt;6,"",((E542-6)/12)*(G542/E542))</f>
        <v>0</v>
      </c>
      <c r="G544" s="97">
        <f>F544</f>
        <v>0</v>
      </c>
      <c r="H544" s="164"/>
      <c r="I544" s="101" t="s">
        <v>519</v>
      </c>
      <c r="J544" s="101" t="str">
        <f>VLOOKUP(I544,Presupuesto!$B$11:$C$565,2,0)</f>
        <v>DECIMOCUARTO MES</v>
      </c>
      <c r="K544" s="98" t="str">
        <f t="shared" si="16"/>
        <v>Posgrado</v>
      </c>
      <c r="L544" s="98" t="s">
        <v>395</v>
      </c>
    </row>
    <row r="545" spans="3:12" ht="15.75" thickBot="1" x14ac:dyDescent="0.3">
      <c r="C545" s="137" t="s">
        <v>487</v>
      </c>
      <c r="D545" s="199"/>
      <c r="E545" s="152">
        <v>12</v>
      </c>
      <c r="F545" s="305">
        <f>HLOOKUP($C545,$BZ$2:$CM$3,2,0)</f>
        <v>27792.79</v>
      </c>
      <c r="G545" s="113">
        <f>D545*E545*F545</f>
        <v>0</v>
      </c>
      <c r="H545" s="166"/>
      <c r="I545" s="114" t="s">
        <v>496</v>
      </c>
      <c r="J545" s="114" t="str">
        <f>VLOOKUP(I545,Presupuesto!$B$11:$C$565,2,0)</f>
        <v>SUELDOS Y SALARIOS PERMANENTES</v>
      </c>
      <c r="K545" s="98" t="str">
        <f t="shared" si="16"/>
        <v>Posgrado</v>
      </c>
      <c r="L545" s="98" t="s">
        <v>395</v>
      </c>
    </row>
    <row r="546" spans="3:12" x14ac:dyDescent="0.25">
      <c r="C546" s="171" t="s">
        <v>58</v>
      </c>
      <c r="D546" s="163"/>
      <c r="E546" s="154">
        <v>0</v>
      </c>
      <c r="F546" s="100">
        <f>IF(E545=0,"",(G545/E545)/12*E545)</f>
        <v>0</v>
      </c>
      <c r="G546" s="97">
        <f>F546</f>
        <v>0</v>
      </c>
      <c r="H546" s="164"/>
      <c r="I546" s="116" t="s">
        <v>516</v>
      </c>
      <c r="J546" s="116" t="str">
        <f>VLOOKUP(I546,Presupuesto!$B$11:$C$565,2,0)</f>
        <v>AGUINALDO Y DECIMO CUARTO MES</v>
      </c>
      <c r="K546" s="98" t="str">
        <f t="shared" si="16"/>
        <v>Posgrado</v>
      </c>
      <c r="L546" s="98" t="s">
        <v>395</v>
      </c>
    </row>
    <row r="547" spans="3:12" ht="15.75" thickBot="1" x14ac:dyDescent="0.3">
      <c r="C547" s="172" t="s">
        <v>59</v>
      </c>
      <c r="D547" s="163"/>
      <c r="E547" s="154">
        <v>0</v>
      </c>
      <c r="F547" s="117">
        <f>IF(E545&lt;6,"",((E545-6)/12)*(G545/E545))</f>
        <v>0</v>
      </c>
      <c r="G547" s="97">
        <f>F547</f>
        <v>0</v>
      </c>
      <c r="H547" s="164"/>
      <c r="I547" s="101" t="s">
        <v>519</v>
      </c>
      <c r="J547" s="101" t="str">
        <f>VLOOKUP(I547,Presupuesto!$B$11:$C$565,2,0)</f>
        <v>DECIMOCUARTO MES</v>
      </c>
      <c r="K547" s="98" t="str">
        <f t="shared" si="16"/>
        <v>Posgrado</v>
      </c>
      <c r="L547" s="98" t="s">
        <v>395</v>
      </c>
    </row>
    <row r="548" spans="3:12" ht="15.75" thickBot="1" x14ac:dyDescent="0.3">
      <c r="C548" s="137" t="s">
        <v>488</v>
      </c>
      <c r="D548" s="199"/>
      <c r="E548" s="152">
        <v>12</v>
      </c>
      <c r="F548" s="305">
        <f>HLOOKUP($C548,$BZ$2:$CM$3,2,0)</f>
        <v>18859.39</v>
      </c>
      <c r="G548" s="113">
        <f>D548*E548*F548</f>
        <v>0</v>
      </c>
      <c r="H548" s="166"/>
      <c r="I548" s="114" t="s">
        <v>496</v>
      </c>
      <c r="J548" s="114" t="str">
        <f>VLOOKUP(I548,Presupuesto!$B$11:$C$565,2,0)</f>
        <v>SUELDOS Y SALARIOS PERMANENTES</v>
      </c>
      <c r="K548" s="98" t="str">
        <f t="shared" si="16"/>
        <v>Posgrado</v>
      </c>
      <c r="L548" s="98" t="s">
        <v>395</v>
      </c>
    </row>
    <row r="549" spans="3:12" x14ac:dyDescent="0.25">
      <c r="C549" s="171" t="s">
        <v>58</v>
      </c>
      <c r="D549" s="163"/>
      <c r="E549" s="154">
        <v>0</v>
      </c>
      <c r="F549" s="100">
        <f>IF(E548=0,"",(G548/E548)/12*E548)</f>
        <v>0</v>
      </c>
      <c r="G549" s="97">
        <f>F549</f>
        <v>0</v>
      </c>
      <c r="H549" s="164"/>
      <c r="I549" s="116" t="s">
        <v>516</v>
      </c>
      <c r="J549" s="116" t="str">
        <f>VLOOKUP(I549,Presupuesto!$B$11:$C$565,2,0)</f>
        <v>AGUINALDO Y DECIMO CUARTO MES</v>
      </c>
      <c r="K549" s="98" t="str">
        <f t="shared" si="16"/>
        <v>Posgrado</v>
      </c>
      <c r="L549" s="98" t="s">
        <v>395</v>
      </c>
    </row>
    <row r="550" spans="3:12" ht="15.75" thickBot="1" x14ac:dyDescent="0.3">
      <c r="C550" s="172" t="s">
        <v>59</v>
      </c>
      <c r="D550" s="163"/>
      <c r="E550" s="154">
        <v>0</v>
      </c>
      <c r="F550" s="117">
        <f>IF(E548&lt;6,"",((E548-6)/12)*(G548/E548))</f>
        <v>0</v>
      </c>
      <c r="G550" s="97">
        <f>F550</f>
        <v>0</v>
      </c>
      <c r="H550" s="164"/>
      <c r="I550" s="101" t="s">
        <v>519</v>
      </c>
      <c r="J550" s="101" t="str">
        <f>VLOOKUP(I550,Presupuesto!$B$11:$C$565,2,0)</f>
        <v>DECIMOCUARTO MES</v>
      </c>
      <c r="K550" s="98" t="str">
        <f t="shared" si="16"/>
        <v>Posgrado</v>
      </c>
      <c r="L550" s="98" t="s">
        <v>395</v>
      </c>
    </row>
    <row r="551" spans="3:12" ht="15.75" thickBot="1" x14ac:dyDescent="0.3">
      <c r="C551" s="137" t="s">
        <v>489</v>
      </c>
      <c r="D551" s="199"/>
      <c r="E551" s="152">
        <v>12</v>
      </c>
      <c r="F551" s="305">
        <f>HLOOKUP($C551,$BZ$2:$CM$3,2,0)</f>
        <v>17866.8</v>
      </c>
      <c r="G551" s="113">
        <f>D551*E551*F551</f>
        <v>0</v>
      </c>
      <c r="H551" s="166"/>
      <c r="I551" s="114" t="s">
        <v>496</v>
      </c>
      <c r="J551" s="114" t="str">
        <f>VLOOKUP(I551,Presupuesto!$B$11:$C$565,2,0)</f>
        <v>SUELDOS Y SALARIOS PERMANENTES</v>
      </c>
      <c r="K551" s="98" t="str">
        <f t="shared" si="16"/>
        <v>Posgrado</v>
      </c>
      <c r="L551" s="98" t="s">
        <v>395</v>
      </c>
    </row>
    <row r="552" spans="3:12" x14ac:dyDescent="0.25">
      <c r="C552" s="171" t="s">
        <v>58</v>
      </c>
      <c r="D552" s="163"/>
      <c r="E552" s="154">
        <v>0</v>
      </c>
      <c r="F552" s="100">
        <f>IF(E551=0,"",(G551/E551)/12*E551)</f>
        <v>0</v>
      </c>
      <c r="G552" s="97">
        <f>F552</f>
        <v>0</v>
      </c>
      <c r="H552" s="164"/>
      <c r="I552" s="116" t="s">
        <v>516</v>
      </c>
      <c r="J552" s="116" t="str">
        <f>VLOOKUP(I552,Presupuesto!$B$11:$C$565,2,0)</f>
        <v>AGUINALDO Y DECIMO CUARTO MES</v>
      </c>
      <c r="K552" s="98" t="str">
        <f t="shared" si="16"/>
        <v>Posgrado</v>
      </c>
      <c r="L552" s="98" t="s">
        <v>395</v>
      </c>
    </row>
    <row r="553" spans="3:12" ht="15.75" thickBot="1" x14ac:dyDescent="0.3">
      <c r="C553" s="172" t="s">
        <v>59</v>
      </c>
      <c r="D553" s="163"/>
      <c r="E553" s="154">
        <v>0</v>
      </c>
      <c r="F553" s="117">
        <f>IF(E551&lt;6,"",((E551-6)/12)*(G551/E551))</f>
        <v>0</v>
      </c>
      <c r="G553" s="97">
        <f>F553</f>
        <v>0</v>
      </c>
      <c r="H553" s="164"/>
      <c r="I553" s="101" t="s">
        <v>519</v>
      </c>
      <c r="J553" s="101" t="str">
        <f>VLOOKUP(I553,Presupuesto!$B$11:$C$565,2,0)</f>
        <v>DECIMOCUARTO MES</v>
      </c>
      <c r="K553" s="98" t="str">
        <f t="shared" si="16"/>
        <v>Posgrado</v>
      </c>
      <c r="L553" s="98" t="s">
        <v>395</v>
      </c>
    </row>
    <row r="554" spans="3:12" ht="15.75" thickBot="1" x14ac:dyDescent="0.3">
      <c r="C554" s="137" t="s">
        <v>490</v>
      </c>
      <c r="D554" s="199"/>
      <c r="E554" s="152">
        <v>12</v>
      </c>
      <c r="F554" s="305">
        <f>HLOOKUP($C554,$BZ$2:$CM$3,2,0)</f>
        <v>13896.4</v>
      </c>
      <c r="G554" s="113">
        <f>D554*E554*F554</f>
        <v>0</v>
      </c>
      <c r="H554" s="166"/>
      <c r="I554" s="114" t="s">
        <v>496</v>
      </c>
      <c r="J554" s="114" t="str">
        <f>VLOOKUP(I554,Presupuesto!$B$11:$C$565,2,0)</f>
        <v>SUELDOS Y SALARIOS PERMANENTES</v>
      </c>
      <c r="K554" s="98" t="str">
        <f t="shared" si="16"/>
        <v>Posgrado</v>
      </c>
      <c r="L554" s="98" t="s">
        <v>395</v>
      </c>
    </row>
    <row r="555" spans="3:12" x14ac:dyDescent="0.25">
      <c r="C555" s="171" t="s">
        <v>58</v>
      </c>
      <c r="D555" s="163"/>
      <c r="E555" s="154">
        <v>0</v>
      </c>
      <c r="F555" s="100">
        <f>IF(E554=0,"",(G554/E554)/12*E554)</f>
        <v>0</v>
      </c>
      <c r="G555" s="97">
        <f>F555</f>
        <v>0</v>
      </c>
      <c r="H555" s="164"/>
      <c r="I555" s="116" t="s">
        <v>516</v>
      </c>
      <c r="J555" s="116" t="str">
        <f>VLOOKUP(I555,Presupuesto!$B$11:$C$565,2,0)</f>
        <v>AGUINALDO Y DECIMO CUARTO MES</v>
      </c>
      <c r="K555" s="98" t="str">
        <f t="shared" si="16"/>
        <v>Posgrado</v>
      </c>
      <c r="L555" s="98" t="s">
        <v>395</v>
      </c>
    </row>
    <row r="556" spans="3:12" ht="15.75" thickBot="1" x14ac:dyDescent="0.3">
      <c r="C556" s="172" t="s">
        <v>59</v>
      </c>
      <c r="D556" s="163"/>
      <c r="E556" s="154">
        <v>0</v>
      </c>
      <c r="F556" s="117">
        <f>IF(E554&lt;6,"",((E554-6)/12)*(G554/E554))</f>
        <v>0</v>
      </c>
      <c r="G556" s="97">
        <f>F556</f>
        <v>0</v>
      </c>
      <c r="H556" s="164"/>
      <c r="I556" s="101" t="s">
        <v>519</v>
      </c>
      <c r="J556" s="101" t="str">
        <f>VLOOKUP(I556,Presupuesto!$B$11:$C$565,2,0)</f>
        <v>DECIMOCUARTO MES</v>
      </c>
      <c r="K556" s="98" t="str">
        <f t="shared" si="16"/>
        <v>Posgrado</v>
      </c>
      <c r="L556" s="98" t="s">
        <v>395</v>
      </c>
    </row>
    <row r="557" spans="3:12" ht="15.75" thickBot="1" x14ac:dyDescent="0.3">
      <c r="C557" s="137" t="s">
        <v>491</v>
      </c>
      <c r="D557" s="199"/>
      <c r="E557" s="152">
        <v>12</v>
      </c>
      <c r="F557" s="305">
        <f>HLOOKUP($C557,$BZ$2:$CM$3,2,0)</f>
        <v>15004.09</v>
      </c>
      <c r="G557" s="113">
        <f>D557*E557*F557</f>
        <v>0</v>
      </c>
      <c r="H557" s="166"/>
      <c r="I557" s="114" t="s">
        <v>496</v>
      </c>
      <c r="J557" s="114" t="str">
        <f>VLOOKUP(I557,Presupuesto!$B$11:$C$565,2,0)</f>
        <v>SUELDOS Y SALARIOS PERMANENTES</v>
      </c>
      <c r="K557" s="98" t="str">
        <f t="shared" si="16"/>
        <v>Posgrado</v>
      </c>
      <c r="L557" s="98" t="s">
        <v>395</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si="16"/>
        <v>Posgrado</v>
      </c>
      <c r="L558" s="98" t="s">
        <v>395</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6"/>
        <v>Posgrado</v>
      </c>
      <c r="L559" s="98" t="s">
        <v>395</v>
      </c>
    </row>
    <row r="560" spans="3:12" ht="15.75" thickBot="1" x14ac:dyDescent="0.3">
      <c r="C560" s="137" t="s">
        <v>492</v>
      </c>
      <c r="D560" s="199"/>
      <c r="E560" s="152">
        <v>12</v>
      </c>
      <c r="F560" s="305">
        <f>HLOOKUP($C560,$BZ$2:$CM$3,2,0)</f>
        <v>13238.9</v>
      </c>
      <c r="G560" s="113">
        <f>D560*E560*F560</f>
        <v>0</v>
      </c>
      <c r="H560" s="166"/>
      <c r="I560" s="114" t="s">
        <v>496</v>
      </c>
      <c r="J560" s="114" t="str">
        <f>VLOOKUP(I560,Presupuesto!$B$11:$C$565,2,0)</f>
        <v>SUELDOS Y SALARIOS PERMANENTES</v>
      </c>
      <c r="K560" s="98" t="str">
        <f t="shared" si="16"/>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6"/>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6"/>
        <v>Posgrado</v>
      </c>
      <c r="L562" s="98" t="s">
        <v>395</v>
      </c>
    </row>
    <row r="563" spans="3:12" ht="15.75" thickBot="1" x14ac:dyDescent="0.3">
      <c r="C563" s="137" t="s">
        <v>493</v>
      </c>
      <c r="D563" s="199"/>
      <c r="E563" s="152">
        <v>12</v>
      </c>
      <c r="F563" s="305">
        <f>HLOOKUP($C563,$BZ$2:$CM$3,2,0)</f>
        <v>12356.31</v>
      </c>
      <c r="G563" s="113">
        <f>D563*E563*F563</f>
        <v>0</v>
      </c>
      <c r="H563" s="166"/>
      <c r="I563" s="114" t="s">
        <v>496</v>
      </c>
      <c r="J563" s="114" t="str">
        <f>VLOOKUP(I563,Presupuesto!$B$11:$C$565,2,0)</f>
        <v>SUELDOS Y SALARIOS PERMANENTES</v>
      </c>
      <c r="K563" s="98" t="str">
        <f t="shared" ref="K563:K580" si="17">$K$530</f>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7"/>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7"/>
        <v>Posgrado</v>
      </c>
      <c r="L565" s="98" t="s">
        <v>395</v>
      </c>
    </row>
    <row r="566" spans="3:12" ht="15.75" thickBot="1" x14ac:dyDescent="0.3">
      <c r="C566" s="137" t="s">
        <v>494</v>
      </c>
      <c r="D566" s="199"/>
      <c r="E566" s="152">
        <v>12</v>
      </c>
      <c r="F566" s="305">
        <f>HLOOKUP($C566,$BZ$2:$CM$3,2,0)</f>
        <v>463.22</v>
      </c>
      <c r="G566" s="113">
        <f>D566*E566*F566</f>
        <v>0</v>
      </c>
      <c r="H566" s="166"/>
      <c r="I566" s="114" t="s">
        <v>496</v>
      </c>
      <c r="J566" s="114" t="str">
        <f>VLOOKUP(I566,Presupuesto!$B$11:$C$565,2,0)</f>
        <v>SUELDOS Y SALARIOS PERMANENTES</v>
      </c>
      <c r="K566" s="98" t="str">
        <f t="shared" si="17"/>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7"/>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7"/>
        <v>Posgrado</v>
      </c>
      <c r="L568" s="98" t="s">
        <v>395</v>
      </c>
    </row>
    <row r="569" spans="3:12" ht="15.75" thickBot="1" x14ac:dyDescent="0.3">
      <c r="C569" s="137" t="s">
        <v>495</v>
      </c>
      <c r="D569" s="199"/>
      <c r="E569" s="152">
        <v>12</v>
      </c>
      <c r="F569" s="305">
        <f>HLOOKUP($C569,$BZ$2:$CM$3,2,0)</f>
        <v>2007.3</v>
      </c>
      <c r="G569" s="113">
        <f>D569*E569*F569</f>
        <v>0</v>
      </c>
      <c r="H569" s="166"/>
      <c r="I569" s="114" t="s">
        <v>496</v>
      </c>
      <c r="J569" s="114" t="str">
        <f>VLOOKUP(I569,Presupuesto!$B$11:$C$565,2,0)</f>
        <v>SUELDOS Y SALARIOS PERMANENTES</v>
      </c>
      <c r="K569" s="98" t="str">
        <f t="shared" si="17"/>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7"/>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7"/>
        <v>Posgrado</v>
      </c>
      <c r="L571" s="98" t="s">
        <v>395</v>
      </c>
    </row>
    <row r="572" spans="3:12" ht="15.75" thickBot="1" x14ac:dyDescent="0.3">
      <c r="C572" s="140" t="s">
        <v>83</v>
      </c>
      <c r="D572" s="199"/>
      <c r="E572" s="152">
        <v>12</v>
      </c>
      <c r="F572" s="139">
        <v>30000</v>
      </c>
      <c r="G572" s="113">
        <f>D572*E572*F572</f>
        <v>0</v>
      </c>
      <c r="H572" s="166"/>
      <c r="I572" s="114" t="s">
        <v>564</v>
      </c>
      <c r="J572" s="114" t="str">
        <f>VLOOKUP(I572,Presupuesto!$B$11:$C$565,2,0)</f>
        <v>CONTRATOS ESPECIALES</v>
      </c>
      <c r="K572" s="98" t="str">
        <f t="shared" si="17"/>
        <v>Posgrado</v>
      </c>
      <c r="L572" s="98" t="s">
        <v>395</v>
      </c>
    </row>
    <row r="573" spans="3:12" x14ac:dyDescent="0.25">
      <c r="C573" s="171" t="s">
        <v>58</v>
      </c>
      <c r="D573" s="163"/>
      <c r="E573" s="154">
        <v>0</v>
      </c>
      <c r="F573" s="117">
        <f>IF(E572=0,"",(G572/E572)/12*E572)</f>
        <v>0</v>
      </c>
      <c r="G573" s="97">
        <f>F573</f>
        <v>0</v>
      </c>
      <c r="H573" s="164"/>
      <c r="I573" s="101" t="s">
        <v>564</v>
      </c>
      <c r="J573" s="101" t="str">
        <f>VLOOKUP(I573,Presupuesto!$B$11:$C$565,2,0)</f>
        <v>CONTRATOS ESPECIALES</v>
      </c>
      <c r="K573" s="98" t="str">
        <f t="shared" si="17"/>
        <v>Posgrado</v>
      </c>
      <c r="L573" s="98" t="s">
        <v>394</v>
      </c>
    </row>
    <row r="574" spans="3:12" ht="15.75" thickBot="1" x14ac:dyDescent="0.3">
      <c r="C574" s="172" t="s">
        <v>59</v>
      </c>
      <c r="D574" s="163"/>
      <c r="E574" s="154">
        <v>0</v>
      </c>
      <c r="F574" s="100">
        <f>IF(E572&lt;6,"",((E572-6)/12)*(G572/E572))</f>
        <v>0</v>
      </c>
      <c r="G574" s="97">
        <f>F574</f>
        <v>0</v>
      </c>
      <c r="H574" s="164"/>
      <c r="I574" s="101" t="s">
        <v>564</v>
      </c>
      <c r="J574" s="101" t="str">
        <f>VLOOKUP(I574,Presupuesto!$B$11:$C$565,2,0)</f>
        <v>CONTRATOS ESPECIALES</v>
      </c>
      <c r="K574" s="98" t="str">
        <f t="shared" si="17"/>
        <v>Posgrado</v>
      </c>
      <c r="L574" s="98" t="s">
        <v>399</v>
      </c>
    </row>
    <row r="575" spans="3:12" ht="15.75" thickBot="1" x14ac:dyDescent="0.3">
      <c r="C575" s="140" t="s">
        <v>60</v>
      </c>
      <c r="D575" s="199"/>
      <c r="E575" s="152">
        <v>12</v>
      </c>
      <c r="F575" s="118">
        <v>30000</v>
      </c>
      <c r="G575" s="113">
        <f>D575*E575*F575</f>
        <v>0</v>
      </c>
      <c r="H575" s="166"/>
      <c r="I575" s="114" t="s">
        <v>705</v>
      </c>
      <c r="J575" s="114" t="str">
        <f>VLOOKUP(I575,Presupuesto!$B$11:$C$565,2,0)</f>
        <v>OTROS SERVICIOS TECNICOS Y PROFESIONALES</v>
      </c>
      <c r="K575" s="98" t="str">
        <f t="shared" si="17"/>
        <v>Posgrado</v>
      </c>
      <c r="L575" s="98" t="s">
        <v>394</v>
      </c>
    </row>
    <row r="576" spans="3:12" x14ac:dyDescent="0.25">
      <c r="C576" s="171" t="s">
        <v>58</v>
      </c>
      <c r="D576" s="163"/>
      <c r="E576" s="154">
        <v>0</v>
      </c>
      <c r="F576" s="100">
        <v>0</v>
      </c>
      <c r="G576" s="97">
        <f>F576</f>
        <v>0</v>
      </c>
      <c r="H576" s="164"/>
      <c r="I576" s="101" t="s">
        <v>705</v>
      </c>
      <c r="J576" s="101" t="str">
        <f>VLOOKUP(I576,Presupuesto!$B$11:$C$565,2,0)</f>
        <v>OTROS SERVICIOS TECNICOS Y PROFESIONALES</v>
      </c>
      <c r="K576" s="98" t="str">
        <f t="shared" si="17"/>
        <v>Posgrado</v>
      </c>
      <c r="L576" s="98" t="s">
        <v>394</v>
      </c>
    </row>
    <row r="577" spans="3:12" ht="15.75" thickBot="1" x14ac:dyDescent="0.3">
      <c r="C577" s="172" t="s">
        <v>59</v>
      </c>
      <c r="D577" s="163"/>
      <c r="E577" s="154">
        <v>0</v>
      </c>
      <c r="F577" s="100">
        <v>0</v>
      </c>
      <c r="G577" s="97">
        <f>F577</f>
        <v>0</v>
      </c>
      <c r="H577" s="164"/>
      <c r="I577" s="101" t="s">
        <v>705</v>
      </c>
      <c r="J577" s="101" t="str">
        <f>VLOOKUP(I577,Presupuesto!$B$11:$C$565,2,0)</f>
        <v>OTROS SERVICIOS TECNICOS Y PROFESIONALES</v>
      </c>
      <c r="K577" s="98" t="str">
        <f t="shared" si="17"/>
        <v>Posgrado</v>
      </c>
      <c r="L577" s="98" t="s">
        <v>394</v>
      </c>
    </row>
    <row r="578" spans="3:12" ht="15.75" thickBot="1" x14ac:dyDescent="0.3">
      <c r="C578" s="140" t="s">
        <v>61</v>
      </c>
      <c r="D578" s="199"/>
      <c r="E578" s="152">
        <v>12</v>
      </c>
      <c r="F578" s="118">
        <v>30000</v>
      </c>
      <c r="G578" s="113">
        <f>D578*E578*F578</f>
        <v>0</v>
      </c>
      <c r="H578" s="166"/>
      <c r="I578" s="114" t="s">
        <v>496</v>
      </c>
      <c r="J578" s="114" t="str">
        <f>VLOOKUP(I578,Presupuesto!$B$11:$C$565,2,0)</f>
        <v>SUELDOS Y SALARIOS PERMANENTES</v>
      </c>
      <c r="K578" s="98" t="str">
        <f t="shared" si="17"/>
        <v>Posgrado</v>
      </c>
      <c r="L578" s="98" t="s">
        <v>394</v>
      </c>
    </row>
    <row r="579" spans="3:12" x14ac:dyDescent="0.25">
      <c r="C579" s="171" t="s">
        <v>58</v>
      </c>
      <c r="D579" s="169"/>
      <c r="E579" s="131">
        <v>0</v>
      </c>
      <c r="F579" s="119">
        <f>IF(E578=0,"",(G578/E578)/12*E578)</f>
        <v>0</v>
      </c>
      <c r="G579" s="120">
        <f>F579</f>
        <v>0</v>
      </c>
      <c r="H579" s="164"/>
      <c r="I579" s="101" t="s">
        <v>516</v>
      </c>
      <c r="J579" s="101" t="str">
        <f>VLOOKUP(I579,Presupuesto!$B$11:$C$565,2,0)</f>
        <v>AGUINALDO Y DECIMO CUARTO MES</v>
      </c>
      <c r="K579" s="98" t="str">
        <f t="shared" si="17"/>
        <v>Posgrado</v>
      </c>
      <c r="L579" s="98" t="s">
        <v>394</v>
      </c>
    </row>
    <row r="580" spans="3:12" ht="15.75" thickBot="1" x14ac:dyDescent="0.3">
      <c r="C580" s="173" t="s">
        <v>59</v>
      </c>
      <c r="D580" s="162"/>
      <c r="E580" s="132">
        <v>0</v>
      </c>
      <c r="F580" s="105">
        <f>IF(E578&lt;6,"",((E578-6)/12)*(G578/E578))</f>
        <v>0</v>
      </c>
      <c r="G580" s="105">
        <f>F580</f>
        <v>0</v>
      </c>
      <c r="H580" s="162"/>
      <c r="I580" s="106" t="s">
        <v>519</v>
      </c>
      <c r="J580" s="124" t="str">
        <f>VLOOKUP(I580,Presupuesto!$B$11:$C$565,2,0)</f>
        <v>DECIMOCUARTO MES</v>
      </c>
      <c r="K580" s="106" t="str">
        <f t="shared" si="17"/>
        <v>Posgrado</v>
      </c>
      <c r="L580" s="124" t="s">
        <v>394</v>
      </c>
    </row>
    <row r="582" spans="3:12" ht="15.75" thickBot="1" x14ac:dyDescent="0.3">
      <c r="K582" s="153"/>
    </row>
    <row r="583" spans="3:12" ht="15.75" thickBot="1" x14ac:dyDescent="0.3">
      <c r="C583" s="69" t="s">
        <v>43</v>
      </c>
      <c r="D583" s="30">
        <f>SUM(G590:G640)</f>
        <v>0</v>
      </c>
      <c r="E583" s="93"/>
      <c r="F583" s="93"/>
      <c r="G583" s="93"/>
      <c r="H583" s="76"/>
      <c r="I583" s="76"/>
      <c r="J583" s="76"/>
      <c r="K583" s="153"/>
    </row>
    <row r="584" spans="3:12" x14ac:dyDescent="0.25">
      <c r="D584" s="31"/>
      <c r="E584" s="93"/>
      <c r="F584" s="93"/>
      <c r="G584" s="93"/>
      <c r="H584" s="76"/>
      <c r="I584" s="76"/>
      <c r="J584" s="76"/>
      <c r="K584" s="153"/>
    </row>
    <row r="585" spans="3:12" x14ac:dyDescent="0.25">
      <c r="D585" s="31"/>
      <c r="E585" s="93"/>
      <c r="F585" s="93"/>
      <c r="G585" s="93"/>
      <c r="H585" s="76"/>
      <c r="I585" s="76"/>
      <c r="J585" s="76"/>
      <c r="K585" s="153"/>
    </row>
    <row r="586" spans="3:12" ht="15.75" x14ac:dyDescent="0.25">
      <c r="C586" s="202" t="s">
        <v>392</v>
      </c>
      <c r="D586" s="370"/>
      <c r="E586" s="93"/>
      <c r="F586" s="93"/>
      <c r="G586" s="93"/>
      <c r="H586" s="76"/>
      <c r="I586" s="76"/>
      <c r="J586" s="76"/>
      <c r="K586" s="153"/>
    </row>
    <row r="587" spans="3:12"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53"/>
    </row>
    <row r="588" spans="3:12" ht="15.75" thickBot="1" x14ac:dyDescent="0.3">
      <c r="C588" s="177"/>
      <c r="D588" s="31"/>
      <c r="E588" s="93"/>
      <c r="F588" s="93"/>
      <c r="G588" s="93"/>
      <c r="H588" s="76"/>
      <c r="I588" s="76"/>
      <c r="J588" s="76"/>
      <c r="K588" s="153"/>
    </row>
    <row r="589" spans="3:12" ht="30.75" thickBot="1" x14ac:dyDescent="0.3">
      <c r="C589" s="134" t="s">
        <v>44</v>
      </c>
      <c r="D589" s="138" t="s">
        <v>55</v>
      </c>
      <c r="E589" s="170" t="s">
        <v>56</v>
      </c>
      <c r="F589" s="138" t="s">
        <v>57</v>
      </c>
      <c r="G589" s="135" t="s">
        <v>27</v>
      </c>
      <c r="H589" s="133" t="s">
        <v>131</v>
      </c>
      <c r="I589" s="136" t="s">
        <v>46</v>
      </c>
      <c r="J589" s="136" t="s">
        <v>132</v>
      </c>
      <c r="K589" s="136" t="s">
        <v>410</v>
      </c>
      <c r="L589" s="136" t="s">
        <v>411</v>
      </c>
    </row>
    <row r="590" spans="3:12" ht="15.75" thickBot="1" x14ac:dyDescent="0.3">
      <c r="C590" s="137" t="s">
        <v>482</v>
      </c>
      <c r="D590" s="199"/>
      <c r="E590" s="152">
        <v>12</v>
      </c>
      <c r="F590" s="305">
        <f>HLOOKUP($C590,$BZ$2:$CM$3,2,0)</f>
        <v>43674.39</v>
      </c>
      <c r="G590" s="113">
        <f>D590*E590*F590</f>
        <v>0</v>
      </c>
      <c r="H590" s="166"/>
      <c r="I590" s="114" t="s">
        <v>496</v>
      </c>
      <c r="J590" s="114" t="str">
        <f>VLOOKUP(I590,Presupuesto!$B$11:$C$565,2,0)</f>
        <v>SUELDOS Y SALARIOS PERMANENTES</v>
      </c>
      <c r="K590" s="219" t="s">
        <v>1454</v>
      </c>
      <c r="L590" s="98" t="s">
        <v>394</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ref="K591:K622" si="18">$K$590</f>
        <v>Posgrado</v>
      </c>
      <c r="L591" s="98" t="s">
        <v>412</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8"/>
        <v>Posgrado</v>
      </c>
      <c r="L592" s="98" t="s">
        <v>395</v>
      </c>
    </row>
    <row r="593" spans="3:12" ht="15.75" thickBot="1" x14ac:dyDescent="0.3">
      <c r="C593" s="137" t="s">
        <v>483</v>
      </c>
      <c r="D593" s="199"/>
      <c r="E593" s="152">
        <v>12</v>
      </c>
      <c r="F593" s="305">
        <f>HLOOKUP($C593,$BZ$2:$CM$3,2,0)</f>
        <v>39703.99</v>
      </c>
      <c r="G593" s="113">
        <f>D593*E593*F593</f>
        <v>0</v>
      </c>
      <c r="H593" s="166"/>
      <c r="I593" s="114" t="s">
        <v>496</v>
      </c>
      <c r="J593" s="114" t="str">
        <f>VLOOKUP(I593,Presupuesto!$B$11:$C$565,2,0)</f>
        <v>SUELDOS Y SALARIOS PERMANENTES</v>
      </c>
      <c r="K593" s="98" t="str">
        <f t="shared" si="18"/>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8"/>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8"/>
        <v>Posgrado</v>
      </c>
      <c r="L595" s="98" t="s">
        <v>395</v>
      </c>
    </row>
    <row r="596" spans="3:12" ht="15.75" thickBot="1" x14ac:dyDescent="0.3">
      <c r="C596" s="137" t="s">
        <v>484</v>
      </c>
      <c r="D596" s="199"/>
      <c r="E596" s="152">
        <v>12</v>
      </c>
      <c r="F596" s="305">
        <f>HLOOKUP($C596,$BZ$2:$CM$3,2,0)</f>
        <v>35733.589999999997</v>
      </c>
      <c r="G596" s="113">
        <f>D596*E596*F596</f>
        <v>0</v>
      </c>
      <c r="H596" s="166"/>
      <c r="I596" s="114" t="s">
        <v>496</v>
      </c>
      <c r="J596" s="114" t="str">
        <f>VLOOKUP(I596,Presupuesto!$B$11:$C$565,2,0)</f>
        <v>SUELDOS Y SALARIOS PERMANENTES</v>
      </c>
      <c r="K596" s="98" t="str">
        <f t="shared" si="18"/>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8"/>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8"/>
        <v>Posgrado</v>
      </c>
      <c r="L598" s="98" t="s">
        <v>395</v>
      </c>
    </row>
    <row r="599" spans="3:12" ht="15.75" thickBot="1" x14ac:dyDescent="0.3">
      <c r="C599" s="137" t="s">
        <v>485</v>
      </c>
      <c r="D599" s="199"/>
      <c r="E599" s="152">
        <v>12</v>
      </c>
      <c r="F599" s="305">
        <f>HLOOKUP($C599,$BZ$2:$CM$3,2,0)</f>
        <v>31763.19</v>
      </c>
      <c r="G599" s="113">
        <f>D599*E599*F599</f>
        <v>0</v>
      </c>
      <c r="H599" s="166"/>
      <c r="I599" s="114" t="s">
        <v>496</v>
      </c>
      <c r="J599" s="114" t="str">
        <f>VLOOKUP(I599,Presupuesto!$B$11:$C$565,2,0)</f>
        <v>SUELDOS Y SALARIOS PERMANENTES</v>
      </c>
      <c r="K599" s="98" t="str">
        <f t="shared" si="18"/>
        <v>Posgrado</v>
      </c>
      <c r="L599" s="98" t="s">
        <v>395</v>
      </c>
    </row>
    <row r="600" spans="3:12" x14ac:dyDescent="0.25">
      <c r="C600" s="171" t="s">
        <v>58</v>
      </c>
      <c r="D600" s="163"/>
      <c r="E600" s="154">
        <v>0</v>
      </c>
      <c r="F600" s="100">
        <f>IF(E599=0,"",(G599/E599)/12*E599)</f>
        <v>0</v>
      </c>
      <c r="G600" s="97">
        <f>F600</f>
        <v>0</v>
      </c>
      <c r="H600" s="164"/>
      <c r="I600" s="116" t="s">
        <v>516</v>
      </c>
      <c r="J600" s="116" t="str">
        <f>VLOOKUP(I600,Presupuesto!$B$11:$C$565,2,0)</f>
        <v>AGUINALDO Y DECIMO CUARTO MES</v>
      </c>
      <c r="K600" s="98" t="str">
        <f t="shared" si="18"/>
        <v>Posgrado</v>
      </c>
      <c r="L600" s="98" t="s">
        <v>395</v>
      </c>
    </row>
    <row r="601" spans="3:12" ht="15.75" thickBot="1" x14ac:dyDescent="0.3">
      <c r="C601" s="172" t="s">
        <v>59</v>
      </c>
      <c r="D601" s="163"/>
      <c r="E601" s="154">
        <v>0</v>
      </c>
      <c r="F601" s="117">
        <f>IF(E599&lt;6,"",((E599-6)/12)*(G599/E599))</f>
        <v>0</v>
      </c>
      <c r="G601" s="97">
        <f>F601</f>
        <v>0</v>
      </c>
      <c r="H601" s="164"/>
      <c r="I601" s="101" t="s">
        <v>519</v>
      </c>
      <c r="J601" s="101" t="str">
        <f>VLOOKUP(I601,Presupuesto!$B$11:$C$565,2,0)</f>
        <v>DECIMOCUARTO MES</v>
      </c>
      <c r="K601" s="98" t="str">
        <f t="shared" si="18"/>
        <v>Posgrado</v>
      </c>
      <c r="L601" s="98" t="s">
        <v>395</v>
      </c>
    </row>
    <row r="602" spans="3:12" ht="15.75" thickBot="1" x14ac:dyDescent="0.3">
      <c r="C602" s="137" t="s">
        <v>486</v>
      </c>
      <c r="D602" s="199"/>
      <c r="E602" s="152">
        <v>12</v>
      </c>
      <c r="F602" s="305">
        <f>HLOOKUP($C602,$BZ$2:$CM$3,2,0)</f>
        <v>29777.99</v>
      </c>
      <c r="G602" s="113">
        <f>D602*E602*F602</f>
        <v>0</v>
      </c>
      <c r="H602" s="166"/>
      <c r="I602" s="114" t="s">
        <v>496</v>
      </c>
      <c r="J602" s="114" t="str">
        <f>VLOOKUP(I602,Presupuesto!$B$11:$C$565,2,0)</f>
        <v>SUELDOS Y SALARIOS PERMANENTES</v>
      </c>
      <c r="K602" s="98" t="str">
        <f t="shared" si="18"/>
        <v>Posgrado</v>
      </c>
      <c r="L602" s="98" t="s">
        <v>395</v>
      </c>
    </row>
    <row r="603" spans="3:12" x14ac:dyDescent="0.25">
      <c r="C603" s="171" t="s">
        <v>58</v>
      </c>
      <c r="D603" s="163"/>
      <c r="E603" s="154">
        <v>0</v>
      </c>
      <c r="F603" s="100">
        <f>IF(E602=0,"",(G602/E602)/12*E602)</f>
        <v>0</v>
      </c>
      <c r="G603" s="97">
        <f>F603</f>
        <v>0</v>
      </c>
      <c r="H603" s="164"/>
      <c r="I603" s="116" t="s">
        <v>516</v>
      </c>
      <c r="J603" s="116" t="str">
        <f>VLOOKUP(I603,Presupuesto!$B$11:$C$565,2,0)</f>
        <v>AGUINALDO Y DECIMO CUARTO MES</v>
      </c>
      <c r="K603" s="98" t="str">
        <f t="shared" si="18"/>
        <v>Posgrado</v>
      </c>
      <c r="L603" s="98" t="s">
        <v>395</v>
      </c>
    </row>
    <row r="604" spans="3:12" ht="15.75" thickBot="1" x14ac:dyDescent="0.3">
      <c r="C604" s="172" t="s">
        <v>59</v>
      </c>
      <c r="D604" s="163"/>
      <c r="E604" s="154">
        <v>0</v>
      </c>
      <c r="F604" s="117">
        <f>IF(E602&lt;6,"",((E602-6)/12)*(G602/E602))</f>
        <v>0</v>
      </c>
      <c r="G604" s="97">
        <f>F604</f>
        <v>0</v>
      </c>
      <c r="H604" s="164"/>
      <c r="I604" s="101" t="s">
        <v>519</v>
      </c>
      <c r="J604" s="101" t="str">
        <f>VLOOKUP(I604,Presupuesto!$B$11:$C$565,2,0)</f>
        <v>DECIMOCUARTO MES</v>
      </c>
      <c r="K604" s="98" t="str">
        <f t="shared" si="18"/>
        <v>Posgrado</v>
      </c>
      <c r="L604" s="98" t="s">
        <v>395</v>
      </c>
    </row>
    <row r="605" spans="3:12" ht="15.75" thickBot="1" x14ac:dyDescent="0.3">
      <c r="C605" s="137" t="s">
        <v>487</v>
      </c>
      <c r="D605" s="199"/>
      <c r="E605" s="152">
        <v>12</v>
      </c>
      <c r="F605" s="305">
        <f>HLOOKUP($C605,$BZ$2:$CM$3,2,0)</f>
        <v>27792.79</v>
      </c>
      <c r="G605" s="113">
        <f>D605*E605*F605</f>
        <v>0</v>
      </c>
      <c r="H605" s="166"/>
      <c r="I605" s="114" t="s">
        <v>496</v>
      </c>
      <c r="J605" s="114" t="str">
        <f>VLOOKUP(I605,Presupuesto!$B$11:$C$565,2,0)</f>
        <v>SUELDOS Y SALARIOS PERMANENTES</v>
      </c>
      <c r="K605" s="98" t="str">
        <f t="shared" si="18"/>
        <v>Posgrado</v>
      </c>
      <c r="L605" s="98" t="s">
        <v>395</v>
      </c>
    </row>
    <row r="606" spans="3:12" x14ac:dyDescent="0.25">
      <c r="C606" s="171" t="s">
        <v>58</v>
      </c>
      <c r="D606" s="163"/>
      <c r="E606" s="154">
        <v>0</v>
      </c>
      <c r="F606" s="100">
        <f>IF(E605=0,"",(G605/E605)/12*E605)</f>
        <v>0</v>
      </c>
      <c r="G606" s="97">
        <f>F606</f>
        <v>0</v>
      </c>
      <c r="H606" s="164"/>
      <c r="I606" s="116" t="s">
        <v>516</v>
      </c>
      <c r="J606" s="116" t="str">
        <f>VLOOKUP(I606,Presupuesto!$B$11:$C$565,2,0)</f>
        <v>AGUINALDO Y DECIMO CUARTO MES</v>
      </c>
      <c r="K606" s="98" t="str">
        <f t="shared" si="18"/>
        <v>Posgrado</v>
      </c>
      <c r="L606" s="98" t="s">
        <v>395</v>
      </c>
    </row>
    <row r="607" spans="3:12" ht="15.75" thickBot="1" x14ac:dyDescent="0.3">
      <c r="C607" s="172" t="s">
        <v>59</v>
      </c>
      <c r="D607" s="163"/>
      <c r="E607" s="154">
        <v>0</v>
      </c>
      <c r="F607" s="117">
        <f>IF(E605&lt;6,"",((E605-6)/12)*(G605/E605))</f>
        <v>0</v>
      </c>
      <c r="G607" s="97">
        <f>F607</f>
        <v>0</v>
      </c>
      <c r="H607" s="164"/>
      <c r="I607" s="101" t="s">
        <v>519</v>
      </c>
      <c r="J607" s="101" t="str">
        <f>VLOOKUP(I607,Presupuesto!$B$11:$C$565,2,0)</f>
        <v>DECIMOCUARTO MES</v>
      </c>
      <c r="K607" s="98" t="str">
        <f t="shared" si="18"/>
        <v>Posgrado</v>
      </c>
      <c r="L607" s="98" t="s">
        <v>395</v>
      </c>
    </row>
    <row r="608" spans="3:12" ht="15.75" thickBot="1" x14ac:dyDescent="0.3">
      <c r="C608" s="137" t="s">
        <v>488</v>
      </c>
      <c r="D608" s="199"/>
      <c r="E608" s="152">
        <v>12</v>
      </c>
      <c r="F608" s="305">
        <f>HLOOKUP($C608,$BZ$2:$CM$3,2,0)</f>
        <v>18859.39</v>
      </c>
      <c r="G608" s="113">
        <f>D608*E608*F608</f>
        <v>0</v>
      </c>
      <c r="H608" s="166"/>
      <c r="I608" s="114" t="s">
        <v>496</v>
      </c>
      <c r="J608" s="114" t="str">
        <f>VLOOKUP(I608,Presupuesto!$B$11:$C$565,2,0)</f>
        <v>SUELDOS Y SALARIOS PERMANENTES</v>
      </c>
      <c r="K608" s="98" t="str">
        <f t="shared" si="18"/>
        <v>Posgrado</v>
      </c>
      <c r="L608" s="98" t="s">
        <v>395</v>
      </c>
    </row>
    <row r="609" spans="3:12" x14ac:dyDescent="0.25">
      <c r="C609" s="171" t="s">
        <v>58</v>
      </c>
      <c r="D609" s="163"/>
      <c r="E609" s="154">
        <v>0</v>
      </c>
      <c r="F609" s="100">
        <f>IF(E608=0,"",(G608/E608)/12*E608)</f>
        <v>0</v>
      </c>
      <c r="G609" s="97">
        <f>F609</f>
        <v>0</v>
      </c>
      <c r="H609" s="164"/>
      <c r="I609" s="116" t="s">
        <v>516</v>
      </c>
      <c r="J609" s="116" t="str">
        <f>VLOOKUP(I609,Presupuesto!$B$11:$C$565,2,0)</f>
        <v>AGUINALDO Y DECIMO CUARTO MES</v>
      </c>
      <c r="K609" s="98" t="str">
        <f t="shared" si="18"/>
        <v>Posgrado</v>
      </c>
      <c r="L609" s="98" t="s">
        <v>395</v>
      </c>
    </row>
    <row r="610" spans="3:12" ht="15.75" thickBot="1" x14ac:dyDescent="0.3">
      <c r="C610" s="172" t="s">
        <v>59</v>
      </c>
      <c r="D610" s="163"/>
      <c r="E610" s="154">
        <v>0</v>
      </c>
      <c r="F610" s="117">
        <f>IF(E608&lt;6,"",((E608-6)/12)*(G608/E608))</f>
        <v>0</v>
      </c>
      <c r="G610" s="97">
        <f>F610</f>
        <v>0</v>
      </c>
      <c r="H610" s="164"/>
      <c r="I610" s="101" t="s">
        <v>519</v>
      </c>
      <c r="J610" s="101" t="str">
        <f>VLOOKUP(I610,Presupuesto!$B$11:$C$565,2,0)</f>
        <v>DECIMOCUARTO MES</v>
      </c>
      <c r="K610" s="98" t="str">
        <f t="shared" si="18"/>
        <v>Posgrado</v>
      </c>
      <c r="L610" s="98" t="s">
        <v>395</v>
      </c>
    </row>
    <row r="611" spans="3:12" ht="15.75" thickBot="1" x14ac:dyDescent="0.3">
      <c r="C611" s="137" t="s">
        <v>489</v>
      </c>
      <c r="D611" s="199"/>
      <c r="E611" s="152">
        <v>12</v>
      </c>
      <c r="F611" s="305">
        <f>HLOOKUP($C611,$BZ$2:$CM$3,2,0)</f>
        <v>17866.8</v>
      </c>
      <c r="G611" s="113">
        <f>D611*E611*F611</f>
        <v>0</v>
      </c>
      <c r="H611" s="166"/>
      <c r="I611" s="114" t="s">
        <v>496</v>
      </c>
      <c r="J611" s="114" t="str">
        <f>VLOOKUP(I611,Presupuesto!$B$11:$C$565,2,0)</f>
        <v>SUELDOS Y SALARIOS PERMANENTES</v>
      </c>
      <c r="K611" s="98" t="str">
        <f t="shared" si="18"/>
        <v>Posgrado</v>
      </c>
      <c r="L611" s="98" t="s">
        <v>395</v>
      </c>
    </row>
    <row r="612" spans="3:12" x14ac:dyDescent="0.25">
      <c r="C612" s="171" t="s">
        <v>58</v>
      </c>
      <c r="D612" s="163"/>
      <c r="E612" s="154">
        <v>0</v>
      </c>
      <c r="F612" s="100">
        <f>IF(E611=0,"",(G611/E611)/12*E611)</f>
        <v>0</v>
      </c>
      <c r="G612" s="97">
        <f>F612</f>
        <v>0</v>
      </c>
      <c r="H612" s="164"/>
      <c r="I612" s="116" t="s">
        <v>516</v>
      </c>
      <c r="J612" s="116" t="str">
        <f>VLOOKUP(I612,Presupuesto!$B$11:$C$565,2,0)</f>
        <v>AGUINALDO Y DECIMO CUARTO MES</v>
      </c>
      <c r="K612" s="98" t="str">
        <f t="shared" si="18"/>
        <v>Posgrado</v>
      </c>
      <c r="L612" s="98" t="s">
        <v>395</v>
      </c>
    </row>
    <row r="613" spans="3:12" ht="15.75" thickBot="1" x14ac:dyDescent="0.3">
      <c r="C613" s="172" t="s">
        <v>59</v>
      </c>
      <c r="D613" s="163"/>
      <c r="E613" s="154">
        <v>0</v>
      </c>
      <c r="F613" s="117">
        <f>IF(E611&lt;6,"",((E611-6)/12)*(G611/E611))</f>
        <v>0</v>
      </c>
      <c r="G613" s="97">
        <f>F613</f>
        <v>0</v>
      </c>
      <c r="H613" s="164"/>
      <c r="I613" s="101" t="s">
        <v>519</v>
      </c>
      <c r="J613" s="101" t="str">
        <f>VLOOKUP(I613,Presupuesto!$B$11:$C$565,2,0)</f>
        <v>DECIMOCUARTO MES</v>
      </c>
      <c r="K613" s="98" t="str">
        <f t="shared" si="18"/>
        <v>Posgrado</v>
      </c>
      <c r="L613" s="98" t="s">
        <v>395</v>
      </c>
    </row>
    <row r="614" spans="3:12" ht="15.75" thickBot="1" x14ac:dyDescent="0.3">
      <c r="C614" s="137" t="s">
        <v>490</v>
      </c>
      <c r="D614" s="199"/>
      <c r="E614" s="152">
        <v>12</v>
      </c>
      <c r="F614" s="305">
        <f>HLOOKUP($C614,$BZ$2:$CM$3,2,0)</f>
        <v>13896.4</v>
      </c>
      <c r="G614" s="113">
        <f>D614*E614*F614</f>
        <v>0</v>
      </c>
      <c r="H614" s="166"/>
      <c r="I614" s="114" t="s">
        <v>496</v>
      </c>
      <c r="J614" s="114" t="str">
        <f>VLOOKUP(I614,Presupuesto!$B$11:$C$565,2,0)</f>
        <v>SUELDOS Y SALARIOS PERMANENTES</v>
      </c>
      <c r="K614" s="98" t="str">
        <f t="shared" si="18"/>
        <v>Posgrado</v>
      </c>
      <c r="L614" s="98" t="s">
        <v>395</v>
      </c>
    </row>
    <row r="615" spans="3:12" x14ac:dyDescent="0.25">
      <c r="C615" s="171" t="s">
        <v>58</v>
      </c>
      <c r="D615" s="163"/>
      <c r="E615" s="154">
        <v>0</v>
      </c>
      <c r="F615" s="100">
        <f>IF(E614=0,"",(G614/E614)/12*E614)</f>
        <v>0</v>
      </c>
      <c r="G615" s="97">
        <f>F615</f>
        <v>0</v>
      </c>
      <c r="H615" s="164"/>
      <c r="I615" s="116" t="s">
        <v>516</v>
      </c>
      <c r="J615" s="116" t="str">
        <f>VLOOKUP(I615,Presupuesto!$B$11:$C$565,2,0)</f>
        <v>AGUINALDO Y DECIMO CUARTO MES</v>
      </c>
      <c r="K615" s="98" t="str">
        <f t="shared" si="18"/>
        <v>Posgrado</v>
      </c>
      <c r="L615" s="98" t="s">
        <v>395</v>
      </c>
    </row>
    <row r="616" spans="3:12" ht="15.75" thickBot="1" x14ac:dyDescent="0.3">
      <c r="C616" s="172" t="s">
        <v>59</v>
      </c>
      <c r="D616" s="163"/>
      <c r="E616" s="154">
        <v>0</v>
      </c>
      <c r="F616" s="117">
        <f>IF(E614&lt;6,"",((E614-6)/12)*(G614/E614))</f>
        <v>0</v>
      </c>
      <c r="G616" s="97">
        <f>F616</f>
        <v>0</v>
      </c>
      <c r="H616" s="164"/>
      <c r="I616" s="101" t="s">
        <v>519</v>
      </c>
      <c r="J616" s="101" t="str">
        <f>VLOOKUP(I616,Presupuesto!$B$11:$C$565,2,0)</f>
        <v>DECIMOCUARTO MES</v>
      </c>
      <c r="K616" s="98" t="str">
        <f t="shared" si="18"/>
        <v>Posgrado</v>
      </c>
      <c r="L616" s="98" t="s">
        <v>395</v>
      </c>
    </row>
    <row r="617" spans="3:12" ht="15.75" thickBot="1" x14ac:dyDescent="0.3">
      <c r="C617" s="137" t="s">
        <v>491</v>
      </c>
      <c r="D617" s="199"/>
      <c r="E617" s="152">
        <v>12</v>
      </c>
      <c r="F617" s="305">
        <f>HLOOKUP($C617,$BZ$2:$CM$3,2,0)</f>
        <v>15004.09</v>
      </c>
      <c r="G617" s="113">
        <f>D617*E617*F617</f>
        <v>0</v>
      </c>
      <c r="H617" s="166"/>
      <c r="I617" s="114" t="s">
        <v>496</v>
      </c>
      <c r="J617" s="114" t="str">
        <f>VLOOKUP(I617,Presupuesto!$B$11:$C$565,2,0)</f>
        <v>SUELDOS Y SALARIOS PERMANENTES</v>
      </c>
      <c r="K617" s="98" t="str">
        <f t="shared" si="18"/>
        <v>Posgrado</v>
      </c>
      <c r="L617" s="98" t="s">
        <v>395</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si="18"/>
        <v>Posgrado</v>
      </c>
      <c r="L618" s="98" t="s">
        <v>395</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18"/>
        <v>Posgrado</v>
      </c>
      <c r="L619" s="98" t="s">
        <v>395</v>
      </c>
    </row>
    <row r="620" spans="3:12" ht="15.75" thickBot="1" x14ac:dyDescent="0.3">
      <c r="C620" s="137" t="s">
        <v>492</v>
      </c>
      <c r="D620" s="199"/>
      <c r="E620" s="152">
        <v>12</v>
      </c>
      <c r="F620" s="305">
        <f>HLOOKUP($C620,$BZ$2:$CM$3,2,0)</f>
        <v>13238.9</v>
      </c>
      <c r="G620" s="113">
        <f>D620*E620*F620</f>
        <v>0</v>
      </c>
      <c r="H620" s="166"/>
      <c r="I620" s="114" t="s">
        <v>496</v>
      </c>
      <c r="J620" s="114" t="str">
        <f>VLOOKUP(I620,Presupuesto!$B$11:$C$565,2,0)</f>
        <v>SUELDOS Y SALARIOS PERMANENTES</v>
      </c>
      <c r="K620" s="98" t="str">
        <f t="shared" si="18"/>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18"/>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18"/>
        <v>Posgrado</v>
      </c>
      <c r="L622" s="98" t="s">
        <v>395</v>
      </c>
    </row>
    <row r="623" spans="3:12" ht="15.75" thickBot="1" x14ac:dyDescent="0.3">
      <c r="C623" s="137" t="s">
        <v>493</v>
      </c>
      <c r="D623" s="199"/>
      <c r="E623" s="152">
        <v>12</v>
      </c>
      <c r="F623" s="305">
        <f>HLOOKUP($C623,$BZ$2:$CM$3,2,0)</f>
        <v>12356.31</v>
      </c>
      <c r="G623" s="113">
        <f>D623*E623*F623</f>
        <v>0</v>
      </c>
      <c r="H623" s="166"/>
      <c r="I623" s="114" t="s">
        <v>496</v>
      </c>
      <c r="J623" s="114" t="str">
        <f>VLOOKUP(I623,Presupuesto!$B$11:$C$565,2,0)</f>
        <v>SUELDOS Y SALARIOS PERMANENTES</v>
      </c>
      <c r="K623" s="98" t="str">
        <f t="shared" ref="K623:K640" si="19">$K$590</f>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19"/>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19"/>
        <v>Posgrado</v>
      </c>
      <c r="L625" s="98" t="s">
        <v>395</v>
      </c>
    </row>
    <row r="626" spans="3:12" ht="15.75" thickBot="1" x14ac:dyDescent="0.3">
      <c r="C626" s="137" t="s">
        <v>494</v>
      </c>
      <c r="D626" s="199"/>
      <c r="E626" s="152">
        <v>12</v>
      </c>
      <c r="F626" s="305">
        <f>HLOOKUP($C626,$BZ$2:$CM$3,2,0)</f>
        <v>463.22</v>
      </c>
      <c r="G626" s="113">
        <f>D626*E626*F626</f>
        <v>0</v>
      </c>
      <c r="H626" s="166"/>
      <c r="I626" s="114" t="s">
        <v>496</v>
      </c>
      <c r="J626" s="114" t="str">
        <f>VLOOKUP(I626,Presupuesto!$B$11:$C$565,2,0)</f>
        <v>SUELDOS Y SALARIOS PERMANENTES</v>
      </c>
      <c r="K626" s="98" t="str">
        <f t="shared" si="19"/>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19"/>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19"/>
        <v>Posgrado</v>
      </c>
      <c r="L628" s="98" t="s">
        <v>395</v>
      </c>
    </row>
    <row r="629" spans="3:12" ht="15.75" thickBot="1" x14ac:dyDescent="0.3">
      <c r="C629" s="137" t="s">
        <v>495</v>
      </c>
      <c r="D629" s="199"/>
      <c r="E629" s="152">
        <v>12</v>
      </c>
      <c r="F629" s="305">
        <f>HLOOKUP($C629,$BZ$2:$CM$3,2,0)</f>
        <v>2007.3</v>
      </c>
      <c r="G629" s="113">
        <f>D629*E629*F629</f>
        <v>0</v>
      </c>
      <c r="H629" s="166"/>
      <c r="I629" s="114" t="s">
        <v>496</v>
      </c>
      <c r="J629" s="114" t="str">
        <f>VLOOKUP(I629,Presupuesto!$B$11:$C$565,2,0)</f>
        <v>SUELDOS Y SALARIOS PERMANENTES</v>
      </c>
      <c r="K629" s="98" t="str">
        <f t="shared" si="19"/>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19"/>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19"/>
        <v>Posgrado</v>
      </c>
      <c r="L631" s="98" t="s">
        <v>395</v>
      </c>
    </row>
    <row r="632" spans="3:12" ht="15.75" thickBot="1" x14ac:dyDescent="0.3">
      <c r="C632" s="140" t="s">
        <v>83</v>
      </c>
      <c r="D632" s="199"/>
      <c r="E632" s="152">
        <v>12</v>
      </c>
      <c r="F632" s="139">
        <v>30000</v>
      </c>
      <c r="G632" s="113">
        <f>D632*E632*F632</f>
        <v>0</v>
      </c>
      <c r="H632" s="166"/>
      <c r="I632" s="114" t="s">
        <v>564</v>
      </c>
      <c r="J632" s="114" t="str">
        <f>VLOOKUP(I632,Presupuesto!$B$11:$C$565,2,0)</f>
        <v>CONTRATOS ESPECIALES</v>
      </c>
      <c r="K632" s="98" t="str">
        <f t="shared" si="19"/>
        <v>Posgrado</v>
      </c>
      <c r="L632" s="98" t="s">
        <v>395</v>
      </c>
    </row>
    <row r="633" spans="3:12" x14ac:dyDescent="0.25">
      <c r="C633" s="171" t="s">
        <v>58</v>
      </c>
      <c r="D633" s="163"/>
      <c r="E633" s="154">
        <v>0</v>
      </c>
      <c r="F633" s="117">
        <f>IF(E632=0,"",(G632/E632)/12*E632)</f>
        <v>0</v>
      </c>
      <c r="G633" s="97">
        <f>F633</f>
        <v>0</v>
      </c>
      <c r="H633" s="164"/>
      <c r="I633" s="101" t="s">
        <v>564</v>
      </c>
      <c r="J633" s="101" t="str">
        <f>VLOOKUP(I633,Presupuesto!$B$11:$C$565,2,0)</f>
        <v>CONTRATOS ESPECIALES</v>
      </c>
      <c r="K633" s="98" t="str">
        <f t="shared" si="19"/>
        <v>Posgrado</v>
      </c>
      <c r="L633" s="98" t="s">
        <v>394</v>
      </c>
    </row>
    <row r="634" spans="3:12" ht="15.75" thickBot="1" x14ac:dyDescent="0.3">
      <c r="C634" s="172" t="s">
        <v>59</v>
      </c>
      <c r="D634" s="163"/>
      <c r="E634" s="154">
        <v>0</v>
      </c>
      <c r="F634" s="100">
        <f>IF(E632&lt;6,"",((E632-6)/12)*(G632/E632))</f>
        <v>0</v>
      </c>
      <c r="G634" s="97">
        <f>F634</f>
        <v>0</v>
      </c>
      <c r="H634" s="164"/>
      <c r="I634" s="101" t="s">
        <v>564</v>
      </c>
      <c r="J634" s="101" t="str">
        <f>VLOOKUP(I634,Presupuesto!$B$11:$C$565,2,0)</f>
        <v>CONTRATOS ESPECIALES</v>
      </c>
      <c r="K634" s="98" t="str">
        <f t="shared" si="19"/>
        <v>Posgrado</v>
      </c>
      <c r="L634" s="98" t="s">
        <v>399</v>
      </c>
    </row>
    <row r="635" spans="3:12" ht="15.75" thickBot="1" x14ac:dyDescent="0.3">
      <c r="C635" s="140" t="s">
        <v>60</v>
      </c>
      <c r="D635" s="199"/>
      <c r="E635" s="152">
        <v>12</v>
      </c>
      <c r="F635" s="118">
        <v>30000</v>
      </c>
      <c r="G635" s="113">
        <f>D635*E635*F635</f>
        <v>0</v>
      </c>
      <c r="H635" s="166"/>
      <c r="I635" s="114" t="s">
        <v>705</v>
      </c>
      <c r="J635" s="114" t="str">
        <f>VLOOKUP(I635,Presupuesto!$B$11:$C$565,2,0)</f>
        <v>OTROS SERVICIOS TECNICOS Y PROFESIONALES</v>
      </c>
      <c r="K635" s="98" t="str">
        <f t="shared" si="19"/>
        <v>Posgrado</v>
      </c>
      <c r="L635" s="98" t="s">
        <v>394</v>
      </c>
    </row>
    <row r="636" spans="3:12" x14ac:dyDescent="0.25">
      <c r="C636" s="171" t="s">
        <v>58</v>
      </c>
      <c r="D636" s="163"/>
      <c r="E636" s="154">
        <v>0</v>
      </c>
      <c r="F636" s="100">
        <v>0</v>
      </c>
      <c r="G636" s="97">
        <f>F636</f>
        <v>0</v>
      </c>
      <c r="H636" s="164"/>
      <c r="I636" s="101" t="s">
        <v>705</v>
      </c>
      <c r="J636" s="101" t="str">
        <f>VLOOKUP(I636,Presupuesto!$B$11:$C$565,2,0)</f>
        <v>OTROS SERVICIOS TECNICOS Y PROFESIONALES</v>
      </c>
      <c r="K636" s="98" t="str">
        <f t="shared" si="19"/>
        <v>Posgrado</v>
      </c>
      <c r="L636" s="98" t="s">
        <v>394</v>
      </c>
    </row>
    <row r="637" spans="3:12" ht="15.75" thickBot="1" x14ac:dyDescent="0.3">
      <c r="C637" s="172" t="s">
        <v>59</v>
      </c>
      <c r="D637" s="163"/>
      <c r="E637" s="154">
        <v>0</v>
      </c>
      <c r="F637" s="100">
        <v>0</v>
      </c>
      <c r="G637" s="97">
        <f>F637</f>
        <v>0</v>
      </c>
      <c r="H637" s="164"/>
      <c r="I637" s="101" t="s">
        <v>705</v>
      </c>
      <c r="J637" s="101" t="str">
        <f>VLOOKUP(I637,Presupuesto!$B$11:$C$565,2,0)</f>
        <v>OTROS SERVICIOS TECNICOS Y PROFESIONALES</v>
      </c>
      <c r="K637" s="98" t="str">
        <f t="shared" si="19"/>
        <v>Posgrado</v>
      </c>
      <c r="L637" s="98" t="s">
        <v>394</v>
      </c>
    </row>
    <row r="638" spans="3:12" ht="15.75" thickBot="1" x14ac:dyDescent="0.3">
      <c r="C638" s="140" t="s">
        <v>61</v>
      </c>
      <c r="D638" s="199"/>
      <c r="E638" s="152">
        <v>12</v>
      </c>
      <c r="F638" s="118">
        <v>30000</v>
      </c>
      <c r="G638" s="113">
        <f>D638*E638*F638</f>
        <v>0</v>
      </c>
      <c r="H638" s="166"/>
      <c r="I638" s="114" t="s">
        <v>496</v>
      </c>
      <c r="J638" s="114" t="str">
        <f>VLOOKUP(I638,Presupuesto!$B$11:$C$565,2,0)</f>
        <v>SUELDOS Y SALARIOS PERMANENTES</v>
      </c>
      <c r="K638" s="98" t="str">
        <f t="shared" si="19"/>
        <v>Posgrado</v>
      </c>
      <c r="L638" s="98" t="s">
        <v>394</v>
      </c>
    </row>
    <row r="639" spans="3:12" x14ac:dyDescent="0.25">
      <c r="C639" s="171" t="s">
        <v>58</v>
      </c>
      <c r="D639" s="169"/>
      <c r="E639" s="131">
        <v>0</v>
      </c>
      <c r="F639" s="119">
        <f>IF(E638=0,"",(G638/E638)/12*E638)</f>
        <v>0</v>
      </c>
      <c r="G639" s="120">
        <f>F639</f>
        <v>0</v>
      </c>
      <c r="H639" s="164"/>
      <c r="I639" s="101" t="s">
        <v>516</v>
      </c>
      <c r="J639" s="101" t="str">
        <f>VLOOKUP(I639,Presupuesto!$B$11:$C$565,2,0)</f>
        <v>AGUINALDO Y DECIMO CUARTO MES</v>
      </c>
      <c r="K639" s="98" t="str">
        <f t="shared" si="19"/>
        <v>Posgrado</v>
      </c>
      <c r="L639" s="98" t="s">
        <v>394</v>
      </c>
    </row>
    <row r="640" spans="3:12" ht="15.75" thickBot="1" x14ac:dyDescent="0.3">
      <c r="C640" s="173" t="s">
        <v>59</v>
      </c>
      <c r="D640" s="162"/>
      <c r="E640" s="132">
        <v>0</v>
      </c>
      <c r="F640" s="105">
        <f>IF(E638&lt;6,"",((E638-6)/12)*(G638/E638))</f>
        <v>0</v>
      </c>
      <c r="G640" s="105">
        <f>F640</f>
        <v>0</v>
      </c>
      <c r="H640" s="162"/>
      <c r="I640" s="106" t="s">
        <v>519</v>
      </c>
      <c r="J640" s="124" t="str">
        <f>VLOOKUP(I640,Presupuesto!$B$11:$C$565,2,0)</f>
        <v>DECIMOCUARTO MES</v>
      </c>
      <c r="K640" s="106" t="str">
        <f t="shared" si="19"/>
        <v>Posgrado</v>
      </c>
      <c r="L640" s="124" t="s">
        <v>394</v>
      </c>
    </row>
    <row r="642" spans="3:12" ht="15.75" thickBot="1" x14ac:dyDescent="0.3"/>
    <row r="643" spans="3:12" ht="15.75" thickBot="1" x14ac:dyDescent="0.3">
      <c r="C643" s="69" t="s">
        <v>43</v>
      </c>
      <c r="D643" s="30">
        <f>SUM(G650:G700)</f>
        <v>0</v>
      </c>
      <c r="E643" s="93"/>
      <c r="F643" s="93"/>
      <c r="G643" s="93"/>
      <c r="H643" s="76"/>
      <c r="I643" s="76"/>
      <c r="J643" s="76"/>
      <c r="K643" s="153"/>
    </row>
    <row r="644" spans="3:12" x14ac:dyDescent="0.25">
      <c r="D644" s="31"/>
      <c r="E644" s="93"/>
      <c r="F644" s="93"/>
      <c r="G644" s="93"/>
      <c r="H644" s="76"/>
      <c r="I644" s="76"/>
      <c r="J644" s="76"/>
      <c r="K644" s="153"/>
    </row>
    <row r="645" spans="3:12" x14ac:dyDescent="0.25">
      <c r="D645" s="31"/>
      <c r="E645" s="93"/>
      <c r="F645" s="93"/>
      <c r="G645" s="93"/>
      <c r="H645" s="76"/>
      <c r="I645" s="76"/>
      <c r="J645" s="76"/>
      <c r="K645" s="153"/>
    </row>
    <row r="646" spans="3:12" ht="15.75" x14ac:dyDescent="0.25">
      <c r="C646" s="202" t="s">
        <v>392</v>
      </c>
      <c r="D646" s="370"/>
      <c r="E646" s="93"/>
      <c r="F646" s="93"/>
      <c r="G646" s="93"/>
      <c r="H646" s="76"/>
      <c r="I646" s="76"/>
      <c r="J646" s="76"/>
      <c r="K646" s="153"/>
    </row>
    <row r="647" spans="3:12" ht="18.75" x14ac:dyDescent="0.25">
      <c r="C647" s="211" t="e">
        <f>IFERROR(VLOOKUP(D646,'1. Desarrollo e Innov. Curricu.'!$E:$F,2,FALSE),IFERROR(VLOOKUP(D646,'2. Investigación Científica'!$E:$F,2,FALSE),IFERROR(VLOOKUP(D646,'3. Vinculación Univ. Sociedad'!$E:$F,2,FALSE),IFERROR(VLOOKUP(D646,'4. Docencia y Profesorado Univ.'!$E:$F,2,FALSE),IFERROR(VLOOKUP(D646,'5. Estudiantes y Graduados'!$E:$F,2,FALSE),IFERROR(VLOOKUP(D646,'11. Gestion Administrativa'!$E:$F,2,FALSE),IFERROR(VLOOKUP(D646,'13. Gestión Académica'!$E:$F,2,FALSE),IFERROR(VLOOKUP(D646,'8. Asegura. de la Calid. y M'!$E:$F,2,FALSE),IFERROR(VLOOKUP(D646,'6. Gestión del Conocimiento'!$E:$F,2,FALSE),IFERROR(VLOOKUP(D646,'15. Gobernabilidad y Proceso...'!$E:$F,2,FALSE),IFERROR(VLOOKUP(D646,'12. Gestión del Talento Humano'!$E:$F,2,FALSE),IFERROR(VLOOKUP(D646,'14. Internacional... de la E.S.'!$E:$F,2,FALSE),IFERROR(VLOOKUP(D646,'10. Posgrado'!$E:$F,2,FALSE),IFERROR(VLOOKUP(D646,'17. Gestión TIC'!$E:$F,2,FALSE),IFERROR(VLOOKUP(D646,'16. Desa. del Sistema Educ.Sup.'!$E:$F,2,FALSE),IFERROR(VLOOKUP(D646,'9. Cultura de Inno. Insti...'!$E:$F,2,FALSE),VLOOKUP(D646,'7. Lo Esencial de la Reforma U.'!$E:$F,2,0)))))))))))))))))</f>
        <v>#N/A</v>
      </c>
      <c r="D647" s="31"/>
      <c r="E647" s="93"/>
      <c r="F647" s="93"/>
      <c r="G647" s="93"/>
      <c r="H647" s="76"/>
      <c r="I647" s="76"/>
      <c r="J647" s="76"/>
      <c r="K647" s="153"/>
    </row>
    <row r="648" spans="3:12" ht="15.75" thickBot="1" x14ac:dyDescent="0.3">
      <c r="C648" s="177"/>
      <c r="D648" s="31"/>
      <c r="E648" s="93"/>
      <c r="F648" s="93"/>
      <c r="G648" s="93"/>
      <c r="H648" s="76"/>
      <c r="I648" s="76"/>
      <c r="J648" s="76"/>
      <c r="K648" s="153"/>
    </row>
    <row r="649" spans="3:12" ht="30.75" thickBot="1" x14ac:dyDescent="0.3">
      <c r="C649" s="134" t="s">
        <v>44</v>
      </c>
      <c r="D649" s="138" t="s">
        <v>55</v>
      </c>
      <c r="E649" s="170" t="s">
        <v>56</v>
      </c>
      <c r="F649" s="138" t="s">
        <v>57</v>
      </c>
      <c r="G649" s="135" t="s">
        <v>27</v>
      </c>
      <c r="H649" s="133" t="s">
        <v>131</v>
      </c>
      <c r="I649" s="136" t="s">
        <v>46</v>
      </c>
      <c r="J649" s="136" t="s">
        <v>132</v>
      </c>
      <c r="K649" s="136" t="s">
        <v>410</v>
      </c>
      <c r="L649" s="136" t="s">
        <v>411</v>
      </c>
    </row>
    <row r="650" spans="3:12" ht="15.75" thickBot="1" x14ac:dyDescent="0.3">
      <c r="C650" s="137" t="s">
        <v>482</v>
      </c>
      <c r="D650" s="199"/>
      <c r="E650" s="152">
        <v>12</v>
      </c>
      <c r="F650" s="305">
        <f>HLOOKUP($C650,$BZ$2:$CM$3,2,0)</f>
        <v>43674.39</v>
      </c>
      <c r="G650" s="113">
        <f>D650*E650*F650</f>
        <v>0</v>
      </c>
      <c r="H650" s="166"/>
      <c r="I650" s="114" t="s">
        <v>496</v>
      </c>
      <c r="J650" s="114" t="str">
        <f>VLOOKUP(I650,Presupuesto!$B$11:$C$565,2,0)</f>
        <v>SUELDOS Y SALARIOS PERMANENTES</v>
      </c>
      <c r="K650" s="219" t="s">
        <v>1454</v>
      </c>
      <c r="L650" s="98" t="s">
        <v>394</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ref="K651:K682" si="20">$K$650</f>
        <v>Posgrado</v>
      </c>
      <c r="L651" s="98" t="s">
        <v>412</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0"/>
        <v>Posgrado</v>
      </c>
      <c r="L652" s="98" t="s">
        <v>395</v>
      </c>
    </row>
    <row r="653" spans="3:12" ht="15.75" thickBot="1" x14ac:dyDescent="0.3">
      <c r="C653" s="137" t="s">
        <v>483</v>
      </c>
      <c r="D653" s="199"/>
      <c r="E653" s="152">
        <v>12</v>
      </c>
      <c r="F653" s="305">
        <f>HLOOKUP($C653,$BZ$2:$CM$3,2,0)</f>
        <v>39703.99</v>
      </c>
      <c r="G653" s="113">
        <f>D653*E653*F653</f>
        <v>0</v>
      </c>
      <c r="H653" s="166"/>
      <c r="I653" s="114" t="s">
        <v>496</v>
      </c>
      <c r="J653" s="114" t="str">
        <f>VLOOKUP(I653,Presupuesto!$B$11:$C$565,2,0)</f>
        <v>SUELDOS Y SALARIOS PERMANENTES</v>
      </c>
      <c r="K653" s="98" t="str">
        <f t="shared" si="20"/>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0"/>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0"/>
        <v>Posgrado</v>
      </c>
      <c r="L655" s="98" t="s">
        <v>395</v>
      </c>
    </row>
    <row r="656" spans="3:12" ht="15.75" thickBot="1" x14ac:dyDescent="0.3">
      <c r="C656" s="137" t="s">
        <v>484</v>
      </c>
      <c r="D656" s="199"/>
      <c r="E656" s="152">
        <v>12</v>
      </c>
      <c r="F656" s="305">
        <f>HLOOKUP($C656,$BZ$2:$CM$3,2,0)</f>
        <v>35733.589999999997</v>
      </c>
      <c r="G656" s="113">
        <f>D656*E656*F656</f>
        <v>0</v>
      </c>
      <c r="H656" s="166"/>
      <c r="I656" s="114" t="s">
        <v>496</v>
      </c>
      <c r="J656" s="114" t="str">
        <f>VLOOKUP(I656,Presupuesto!$B$11:$C$565,2,0)</f>
        <v>SUELDOS Y SALARIOS PERMANENTES</v>
      </c>
      <c r="K656" s="98" t="str">
        <f t="shared" si="20"/>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0"/>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0"/>
        <v>Posgrado</v>
      </c>
      <c r="L658" s="98" t="s">
        <v>395</v>
      </c>
    </row>
    <row r="659" spans="3:12" ht="15.75" thickBot="1" x14ac:dyDescent="0.3">
      <c r="C659" s="137" t="s">
        <v>485</v>
      </c>
      <c r="D659" s="199"/>
      <c r="E659" s="152">
        <v>12</v>
      </c>
      <c r="F659" s="305">
        <f>HLOOKUP($C659,$BZ$2:$CM$3,2,0)</f>
        <v>31763.19</v>
      </c>
      <c r="G659" s="113">
        <f>D659*E659*F659</f>
        <v>0</v>
      </c>
      <c r="H659" s="166"/>
      <c r="I659" s="114" t="s">
        <v>496</v>
      </c>
      <c r="J659" s="114" t="str">
        <f>VLOOKUP(I659,Presupuesto!$B$11:$C$565,2,0)</f>
        <v>SUELDOS Y SALARIOS PERMANENTES</v>
      </c>
      <c r="K659" s="98" t="str">
        <f t="shared" si="20"/>
        <v>Posgrado</v>
      </c>
      <c r="L659" s="98" t="s">
        <v>395</v>
      </c>
    </row>
    <row r="660" spans="3:12" x14ac:dyDescent="0.25">
      <c r="C660" s="171" t="s">
        <v>58</v>
      </c>
      <c r="D660" s="163"/>
      <c r="E660" s="154">
        <v>0</v>
      </c>
      <c r="F660" s="100">
        <f>IF(E659=0,"",(G659/E659)/12*E659)</f>
        <v>0</v>
      </c>
      <c r="G660" s="97">
        <f>F660</f>
        <v>0</v>
      </c>
      <c r="H660" s="164"/>
      <c r="I660" s="116" t="s">
        <v>516</v>
      </c>
      <c r="J660" s="116" t="str">
        <f>VLOOKUP(I660,Presupuesto!$B$11:$C$565,2,0)</f>
        <v>AGUINALDO Y DECIMO CUARTO MES</v>
      </c>
      <c r="K660" s="98" t="str">
        <f t="shared" si="20"/>
        <v>Posgrado</v>
      </c>
      <c r="L660" s="98" t="s">
        <v>395</v>
      </c>
    </row>
    <row r="661" spans="3:12" ht="15.75" thickBot="1" x14ac:dyDescent="0.3">
      <c r="C661" s="172" t="s">
        <v>59</v>
      </c>
      <c r="D661" s="163"/>
      <c r="E661" s="154">
        <v>0</v>
      </c>
      <c r="F661" s="117">
        <f>IF(E659&lt;6,"",((E659-6)/12)*(G659/E659))</f>
        <v>0</v>
      </c>
      <c r="G661" s="97">
        <f>F661</f>
        <v>0</v>
      </c>
      <c r="H661" s="164"/>
      <c r="I661" s="101" t="s">
        <v>519</v>
      </c>
      <c r="J661" s="101" t="str">
        <f>VLOOKUP(I661,Presupuesto!$B$11:$C$565,2,0)</f>
        <v>DECIMOCUARTO MES</v>
      </c>
      <c r="K661" s="98" t="str">
        <f t="shared" si="20"/>
        <v>Posgrado</v>
      </c>
      <c r="L661" s="98" t="s">
        <v>395</v>
      </c>
    </row>
    <row r="662" spans="3:12" ht="15.75" thickBot="1" x14ac:dyDescent="0.3">
      <c r="C662" s="137" t="s">
        <v>486</v>
      </c>
      <c r="D662" s="199"/>
      <c r="E662" s="152">
        <v>12</v>
      </c>
      <c r="F662" s="305">
        <f>HLOOKUP($C662,$BZ$2:$CM$3,2,0)</f>
        <v>29777.99</v>
      </c>
      <c r="G662" s="113">
        <f>D662*E662*F662</f>
        <v>0</v>
      </c>
      <c r="H662" s="166"/>
      <c r="I662" s="114" t="s">
        <v>496</v>
      </c>
      <c r="J662" s="114" t="str">
        <f>VLOOKUP(I662,Presupuesto!$B$11:$C$565,2,0)</f>
        <v>SUELDOS Y SALARIOS PERMANENTES</v>
      </c>
      <c r="K662" s="98" t="str">
        <f t="shared" si="20"/>
        <v>Posgrado</v>
      </c>
      <c r="L662" s="98" t="s">
        <v>395</v>
      </c>
    </row>
    <row r="663" spans="3:12" x14ac:dyDescent="0.25">
      <c r="C663" s="171" t="s">
        <v>58</v>
      </c>
      <c r="D663" s="163"/>
      <c r="E663" s="154">
        <v>0</v>
      </c>
      <c r="F663" s="100">
        <f>IF(E662=0,"",(G662/E662)/12*E662)</f>
        <v>0</v>
      </c>
      <c r="G663" s="97">
        <f>F663</f>
        <v>0</v>
      </c>
      <c r="H663" s="164"/>
      <c r="I663" s="116" t="s">
        <v>516</v>
      </c>
      <c r="J663" s="116" t="str">
        <f>VLOOKUP(I663,Presupuesto!$B$11:$C$565,2,0)</f>
        <v>AGUINALDO Y DECIMO CUARTO MES</v>
      </c>
      <c r="K663" s="98" t="str">
        <f t="shared" si="20"/>
        <v>Posgrado</v>
      </c>
      <c r="L663" s="98" t="s">
        <v>395</v>
      </c>
    </row>
    <row r="664" spans="3:12" ht="15.75" thickBot="1" x14ac:dyDescent="0.3">
      <c r="C664" s="172" t="s">
        <v>59</v>
      </c>
      <c r="D664" s="163"/>
      <c r="E664" s="154">
        <v>0</v>
      </c>
      <c r="F664" s="117">
        <f>IF(E662&lt;6,"",((E662-6)/12)*(G662/E662))</f>
        <v>0</v>
      </c>
      <c r="G664" s="97">
        <f>F664</f>
        <v>0</v>
      </c>
      <c r="H664" s="164"/>
      <c r="I664" s="101" t="s">
        <v>519</v>
      </c>
      <c r="J664" s="101" t="str">
        <f>VLOOKUP(I664,Presupuesto!$B$11:$C$565,2,0)</f>
        <v>DECIMOCUARTO MES</v>
      </c>
      <c r="K664" s="98" t="str">
        <f t="shared" si="20"/>
        <v>Posgrado</v>
      </c>
      <c r="L664" s="98" t="s">
        <v>395</v>
      </c>
    </row>
    <row r="665" spans="3:12" ht="15.75" thickBot="1" x14ac:dyDescent="0.3">
      <c r="C665" s="137" t="s">
        <v>487</v>
      </c>
      <c r="D665" s="199"/>
      <c r="E665" s="152">
        <v>12</v>
      </c>
      <c r="F665" s="305">
        <f>HLOOKUP($C665,$BZ$2:$CM$3,2,0)</f>
        <v>27792.79</v>
      </c>
      <c r="G665" s="113">
        <f>D665*E665*F665</f>
        <v>0</v>
      </c>
      <c r="H665" s="166"/>
      <c r="I665" s="114" t="s">
        <v>496</v>
      </c>
      <c r="J665" s="114" t="str">
        <f>VLOOKUP(I665,Presupuesto!$B$11:$C$565,2,0)</f>
        <v>SUELDOS Y SALARIOS PERMANENTES</v>
      </c>
      <c r="K665" s="98" t="str">
        <f t="shared" si="20"/>
        <v>Posgrado</v>
      </c>
      <c r="L665" s="98" t="s">
        <v>395</v>
      </c>
    </row>
    <row r="666" spans="3:12" x14ac:dyDescent="0.25">
      <c r="C666" s="171" t="s">
        <v>58</v>
      </c>
      <c r="D666" s="163"/>
      <c r="E666" s="154">
        <v>0</v>
      </c>
      <c r="F666" s="100">
        <f>IF(E665=0,"",(G665/E665)/12*E665)</f>
        <v>0</v>
      </c>
      <c r="G666" s="97">
        <f>F666</f>
        <v>0</v>
      </c>
      <c r="H666" s="164"/>
      <c r="I666" s="116" t="s">
        <v>516</v>
      </c>
      <c r="J666" s="116" t="str">
        <f>VLOOKUP(I666,Presupuesto!$B$11:$C$565,2,0)</f>
        <v>AGUINALDO Y DECIMO CUARTO MES</v>
      </c>
      <c r="K666" s="98" t="str">
        <f t="shared" si="20"/>
        <v>Posgrado</v>
      </c>
      <c r="L666" s="98" t="s">
        <v>395</v>
      </c>
    </row>
    <row r="667" spans="3:12" ht="15.75" thickBot="1" x14ac:dyDescent="0.3">
      <c r="C667" s="172" t="s">
        <v>59</v>
      </c>
      <c r="D667" s="163"/>
      <c r="E667" s="154">
        <v>0</v>
      </c>
      <c r="F667" s="117">
        <f>IF(E665&lt;6,"",((E665-6)/12)*(G665/E665))</f>
        <v>0</v>
      </c>
      <c r="G667" s="97">
        <f>F667</f>
        <v>0</v>
      </c>
      <c r="H667" s="164"/>
      <c r="I667" s="101" t="s">
        <v>519</v>
      </c>
      <c r="J667" s="101" t="str">
        <f>VLOOKUP(I667,Presupuesto!$B$11:$C$565,2,0)</f>
        <v>DECIMOCUARTO MES</v>
      </c>
      <c r="K667" s="98" t="str">
        <f t="shared" si="20"/>
        <v>Posgrado</v>
      </c>
      <c r="L667" s="98" t="s">
        <v>395</v>
      </c>
    </row>
    <row r="668" spans="3:12" ht="15.75" thickBot="1" x14ac:dyDescent="0.3">
      <c r="C668" s="137" t="s">
        <v>488</v>
      </c>
      <c r="D668" s="199"/>
      <c r="E668" s="152">
        <v>12</v>
      </c>
      <c r="F668" s="305">
        <f>HLOOKUP($C668,$BZ$2:$CM$3,2,0)</f>
        <v>18859.39</v>
      </c>
      <c r="G668" s="113">
        <f>D668*E668*F668</f>
        <v>0</v>
      </c>
      <c r="H668" s="166"/>
      <c r="I668" s="114" t="s">
        <v>496</v>
      </c>
      <c r="J668" s="114" t="str">
        <f>VLOOKUP(I668,Presupuesto!$B$11:$C$565,2,0)</f>
        <v>SUELDOS Y SALARIOS PERMANENTES</v>
      </c>
      <c r="K668" s="98" t="str">
        <f t="shared" si="20"/>
        <v>Posgrado</v>
      </c>
      <c r="L668" s="98" t="s">
        <v>395</v>
      </c>
    </row>
    <row r="669" spans="3:12" x14ac:dyDescent="0.25">
      <c r="C669" s="171" t="s">
        <v>58</v>
      </c>
      <c r="D669" s="163"/>
      <c r="E669" s="154">
        <v>0</v>
      </c>
      <c r="F669" s="100">
        <f>IF(E668=0,"",(G668/E668)/12*E668)</f>
        <v>0</v>
      </c>
      <c r="G669" s="97">
        <f>F669</f>
        <v>0</v>
      </c>
      <c r="H669" s="164"/>
      <c r="I669" s="116" t="s">
        <v>516</v>
      </c>
      <c r="J669" s="116" t="str">
        <f>VLOOKUP(I669,Presupuesto!$B$11:$C$565,2,0)</f>
        <v>AGUINALDO Y DECIMO CUARTO MES</v>
      </c>
      <c r="K669" s="98" t="str">
        <f t="shared" si="20"/>
        <v>Posgrado</v>
      </c>
      <c r="L669" s="98" t="s">
        <v>395</v>
      </c>
    </row>
    <row r="670" spans="3:12" ht="15.75" thickBot="1" x14ac:dyDescent="0.3">
      <c r="C670" s="172" t="s">
        <v>59</v>
      </c>
      <c r="D670" s="163"/>
      <c r="E670" s="154">
        <v>0</v>
      </c>
      <c r="F670" s="117">
        <f>IF(E668&lt;6,"",((E668-6)/12)*(G668/E668))</f>
        <v>0</v>
      </c>
      <c r="G670" s="97">
        <f>F670</f>
        <v>0</v>
      </c>
      <c r="H670" s="164"/>
      <c r="I670" s="101" t="s">
        <v>519</v>
      </c>
      <c r="J670" s="101" t="str">
        <f>VLOOKUP(I670,Presupuesto!$B$11:$C$565,2,0)</f>
        <v>DECIMOCUARTO MES</v>
      </c>
      <c r="K670" s="98" t="str">
        <f t="shared" si="20"/>
        <v>Posgrado</v>
      </c>
      <c r="L670" s="98" t="s">
        <v>395</v>
      </c>
    </row>
    <row r="671" spans="3:12" ht="15.75" thickBot="1" x14ac:dyDescent="0.3">
      <c r="C671" s="137" t="s">
        <v>489</v>
      </c>
      <c r="D671" s="199"/>
      <c r="E671" s="152">
        <v>12</v>
      </c>
      <c r="F671" s="305">
        <f>HLOOKUP($C671,$BZ$2:$CM$3,2,0)</f>
        <v>17866.8</v>
      </c>
      <c r="G671" s="113">
        <f>D671*E671*F671</f>
        <v>0</v>
      </c>
      <c r="H671" s="166"/>
      <c r="I671" s="114" t="s">
        <v>496</v>
      </c>
      <c r="J671" s="114" t="str">
        <f>VLOOKUP(I671,Presupuesto!$B$11:$C$565,2,0)</f>
        <v>SUELDOS Y SALARIOS PERMANENTES</v>
      </c>
      <c r="K671" s="98" t="str">
        <f t="shared" si="20"/>
        <v>Posgrado</v>
      </c>
      <c r="L671" s="98" t="s">
        <v>395</v>
      </c>
    </row>
    <row r="672" spans="3:12" x14ac:dyDescent="0.25">
      <c r="C672" s="171" t="s">
        <v>58</v>
      </c>
      <c r="D672" s="163"/>
      <c r="E672" s="154">
        <v>0</v>
      </c>
      <c r="F672" s="100">
        <f>IF(E671=0,"",(G671/E671)/12*E671)</f>
        <v>0</v>
      </c>
      <c r="G672" s="97">
        <f>F672</f>
        <v>0</v>
      </c>
      <c r="H672" s="164"/>
      <c r="I672" s="116" t="s">
        <v>516</v>
      </c>
      <c r="J672" s="116" t="str">
        <f>VLOOKUP(I672,Presupuesto!$B$11:$C$565,2,0)</f>
        <v>AGUINALDO Y DECIMO CUARTO MES</v>
      </c>
      <c r="K672" s="98" t="str">
        <f t="shared" si="20"/>
        <v>Posgrado</v>
      </c>
      <c r="L672" s="98" t="s">
        <v>395</v>
      </c>
    </row>
    <row r="673" spans="3:12" ht="15.75" thickBot="1" x14ac:dyDescent="0.3">
      <c r="C673" s="172" t="s">
        <v>59</v>
      </c>
      <c r="D673" s="163"/>
      <c r="E673" s="154">
        <v>0</v>
      </c>
      <c r="F673" s="117">
        <f>IF(E671&lt;6,"",((E671-6)/12)*(G671/E671))</f>
        <v>0</v>
      </c>
      <c r="G673" s="97">
        <f>F673</f>
        <v>0</v>
      </c>
      <c r="H673" s="164"/>
      <c r="I673" s="101" t="s">
        <v>519</v>
      </c>
      <c r="J673" s="101" t="str">
        <f>VLOOKUP(I673,Presupuesto!$B$11:$C$565,2,0)</f>
        <v>DECIMOCUARTO MES</v>
      </c>
      <c r="K673" s="98" t="str">
        <f t="shared" si="20"/>
        <v>Posgrado</v>
      </c>
      <c r="L673" s="98" t="s">
        <v>395</v>
      </c>
    </row>
    <row r="674" spans="3:12" ht="15.75" thickBot="1" x14ac:dyDescent="0.3">
      <c r="C674" s="137" t="s">
        <v>490</v>
      </c>
      <c r="D674" s="199"/>
      <c r="E674" s="152">
        <v>12</v>
      </c>
      <c r="F674" s="305">
        <f>HLOOKUP($C674,$BZ$2:$CM$3,2,0)</f>
        <v>13896.4</v>
      </c>
      <c r="G674" s="113">
        <f>D674*E674*F674</f>
        <v>0</v>
      </c>
      <c r="H674" s="166"/>
      <c r="I674" s="114" t="s">
        <v>496</v>
      </c>
      <c r="J674" s="114" t="str">
        <f>VLOOKUP(I674,Presupuesto!$B$11:$C$565,2,0)</f>
        <v>SUELDOS Y SALARIOS PERMANENTES</v>
      </c>
      <c r="K674" s="98" t="str">
        <f t="shared" si="20"/>
        <v>Posgrado</v>
      </c>
      <c r="L674" s="98" t="s">
        <v>395</v>
      </c>
    </row>
    <row r="675" spans="3:12" x14ac:dyDescent="0.25">
      <c r="C675" s="171" t="s">
        <v>58</v>
      </c>
      <c r="D675" s="163"/>
      <c r="E675" s="154">
        <v>0</v>
      </c>
      <c r="F675" s="100">
        <f>IF(E674=0,"",(G674/E674)/12*E674)</f>
        <v>0</v>
      </c>
      <c r="G675" s="97">
        <f>F675</f>
        <v>0</v>
      </c>
      <c r="H675" s="164"/>
      <c r="I675" s="116" t="s">
        <v>516</v>
      </c>
      <c r="J675" s="116" t="str">
        <f>VLOOKUP(I675,Presupuesto!$B$11:$C$565,2,0)</f>
        <v>AGUINALDO Y DECIMO CUARTO MES</v>
      </c>
      <c r="K675" s="98" t="str">
        <f t="shared" si="20"/>
        <v>Posgrado</v>
      </c>
      <c r="L675" s="98" t="s">
        <v>395</v>
      </c>
    </row>
    <row r="676" spans="3:12" ht="15.75" thickBot="1" x14ac:dyDescent="0.3">
      <c r="C676" s="172" t="s">
        <v>59</v>
      </c>
      <c r="D676" s="163"/>
      <c r="E676" s="154">
        <v>0</v>
      </c>
      <c r="F676" s="117">
        <f>IF(E674&lt;6,"",((E674-6)/12)*(G674/E674))</f>
        <v>0</v>
      </c>
      <c r="G676" s="97">
        <f>F676</f>
        <v>0</v>
      </c>
      <c r="H676" s="164"/>
      <c r="I676" s="101" t="s">
        <v>519</v>
      </c>
      <c r="J676" s="101" t="str">
        <f>VLOOKUP(I676,Presupuesto!$B$11:$C$565,2,0)</f>
        <v>DECIMOCUARTO MES</v>
      </c>
      <c r="K676" s="98" t="str">
        <f t="shared" si="20"/>
        <v>Posgrado</v>
      </c>
      <c r="L676" s="98" t="s">
        <v>395</v>
      </c>
    </row>
    <row r="677" spans="3:12" ht="15.75" thickBot="1" x14ac:dyDescent="0.3">
      <c r="C677" s="137" t="s">
        <v>491</v>
      </c>
      <c r="D677" s="199"/>
      <c r="E677" s="152">
        <v>12</v>
      </c>
      <c r="F677" s="305">
        <f>HLOOKUP($C677,$BZ$2:$CM$3,2,0)</f>
        <v>15004.09</v>
      </c>
      <c r="G677" s="113">
        <f>D677*E677*F677</f>
        <v>0</v>
      </c>
      <c r="H677" s="166"/>
      <c r="I677" s="114" t="s">
        <v>496</v>
      </c>
      <c r="J677" s="114" t="str">
        <f>VLOOKUP(I677,Presupuesto!$B$11:$C$565,2,0)</f>
        <v>SUELDOS Y SALARIOS PERMANENTES</v>
      </c>
      <c r="K677" s="98" t="str">
        <f t="shared" si="20"/>
        <v>Posgrado</v>
      </c>
      <c r="L677" s="98" t="s">
        <v>395</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si="20"/>
        <v>Posgrado</v>
      </c>
      <c r="L678" s="98" t="s">
        <v>395</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0"/>
        <v>Posgrado</v>
      </c>
      <c r="L679" s="98" t="s">
        <v>395</v>
      </c>
    </row>
    <row r="680" spans="3:12" ht="15.75" thickBot="1" x14ac:dyDescent="0.3">
      <c r="C680" s="137" t="s">
        <v>492</v>
      </c>
      <c r="D680" s="199"/>
      <c r="E680" s="152">
        <v>12</v>
      </c>
      <c r="F680" s="305">
        <f>HLOOKUP($C680,$BZ$2:$CM$3,2,0)</f>
        <v>13238.9</v>
      </c>
      <c r="G680" s="113">
        <f>D680*E680*F680</f>
        <v>0</v>
      </c>
      <c r="H680" s="166"/>
      <c r="I680" s="114" t="s">
        <v>496</v>
      </c>
      <c r="J680" s="114" t="str">
        <f>VLOOKUP(I680,Presupuesto!$B$11:$C$565,2,0)</f>
        <v>SUELDOS Y SALARIOS PERMANENTES</v>
      </c>
      <c r="K680" s="98" t="str">
        <f t="shared" si="20"/>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0"/>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0"/>
        <v>Posgrado</v>
      </c>
      <c r="L682" s="98" t="s">
        <v>395</v>
      </c>
    </row>
    <row r="683" spans="3:12" ht="15.75" thickBot="1" x14ac:dyDescent="0.3">
      <c r="C683" s="137" t="s">
        <v>493</v>
      </c>
      <c r="D683" s="199"/>
      <c r="E683" s="152">
        <v>12</v>
      </c>
      <c r="F683" s="305">
        <f>HLOOKUP($C683,$BZ$2:$CM$3,2,0)</f>
        <v>12356.31</v>
      </c>
      <c r="G683" s="113">
        <f>D683*E683*F683</f>
        <v>0</v>
      </c>
      <c r="H683" s="166"/>
      <c r="I683" s="114" t="s">
        <v>496</v>
      </c>
      <c r="J683" s="114" t="str">
        <f>VLOOKUP(I683,Presupuesto!$B$11:$C$565,2,0)</f>
        <v>SUELDOS Y SALARIOS PERMANENTES</v>
      </c>
      <c r="K683" s="98" t="str">
        <f t="shared" ref="K683:K700" si="21">$K$650</f>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1"/>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1"/>
        <v>Posgrado</v>
      </c>
      <c r="L685" s="98" t="s">
        <v>395</v>
      </c>
    </row>
    <row r="686" spans="3:12" ht="15.75" thickBot="1" x14ac:dyDescent="0.3">
      <c r="C686" s="137" t="s">
        <v>494</v>
      </c>
      <c r="D686" s="199"/>
      <c r="E686" s="152">
        <v>12</v>
      </c>
      <c r="F686" s="305">
        <f>HLOOKUP($C686,$BZ$2:$CM$3,2,0)</f>
        <v>463.22</v>
      </c>
      <c r="G686" s="113">
        <f>D686*E686*F686</f>
        <v>0</v>
      </c>
      <c r="H686" s="166"/>
      <c r="I686" s="114" t="s">
        <v>496</v>
      </c>
      <c r="J686" s="114" t="str">
        <f>VLOOKUP(I686,Presupuesto!$B$11:$C$565,2,0)</f>
        <v>SUELDOS Y SALARIOS PERMANENTES</v>
      </c>
      <c r="K686" s="98" t="str">
        <f t="shared" si="21"/>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1"/>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1"/>
        <v>Posgrado</v>
      </c>
      <c r="L688" s="98" t="s">
        <v>395</v>
      </c>
    </row>
    <row r="689" spans="3:12" ht="15.75" thickBot="1" x14ac:dyDescent="0.3">
      <c r="C689" s="137" t="s">
        <v>495</v>
      </c>
      <c r="D689" s="199"/>
      <c r="E689" s="152">
        <v>12</v>
      </c>
      <c r="F689" s="305">
        <f>HLOOKUP($C689,$BZ$2:$CM$3,2,0)</f>
        <v>2007.3</v>
      </c>
      <c r="G689" s="113">
        <f>D689*E689*F689</f>
        <v>0</v>
      </c>
      <c r="H689" s="166"/>
      <c r="I689" s="114" t="s">
        <v>496</v>
      </c>
      <c r="J689" s="114" t="str">
        <f>VLOOKUP(I689,Presupuesto!$B$11:$C$565,2,0)</f>
        <v>SUELDOS Y SALARIOS PERMANENTES</v>
      </c>
      <c r="K689" s="98" t="str">
        <f t="shared" si="21"/>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1"/>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1"/>
        <v>Posgrado</v>
      </c>
      <c r="L691" s="98" t="s">
        <v>395</v>
      </c>
    </row>
    <row r="692" spans="3:12" ht="15.75" thickBot="1" x14ac:dyDescent="0.3">
      <c r="C692" s="140" t="s">
        <v>83</v>
      </c>
      <c r="D692" s="199"/>
      <c r="E692" s="152">
        <v>12</v>
      </c>
      <c r="F692" s="139">
        <v>30000</v>
      </c>
      <c r="G692" s="113">
        <f>D692*E692*F692</f>
        <v>0</v>
      </c>
      <c r="H692" s="166"/>
      <c r="I692" s="114" t="s">
        <v>564</v>
      </c>
      <c r="J692" s="114" t="str">
        <f>VLOOKUP(I692,Presupuesto!$B$11:$C$565,2,0)</f>
        <v>CONTRATOS ESPECIALES</v>
      </c>
      <c r="K692" s="98" t="str">
        <f t="shared" si="21"/>
        <v>Posgrado</v>
      </c>
      <c r="L692" s="98" t="s">
        <v>395</v>
      </c>
    </row>
    <row r="693" spans="3:12" x14ac:dyDescent="0.25">
      <c r="C693" s="171" t="s">
        <v>58</v>
      </c>
      <c r="D693" s="163"/>
      <c r="E693" s="154">
        <v>0</v>
      </c>
      <c r="F693" s="117">
        <f>IF(E692=0,"",(G692/E692)/12*E692)</f>
        <v>0</v>
      </c>
      <c r="G693" s="97">
        <f>F693</f>
        <v>0</v>
      </c>
      <c r="H693" s="164"/>
      <c r="I693" s="101" t="s">
        <v>564</v>
      </c>
      <c r="J693" s="101" t="str">
        <f>VLOOKUP(I693,Presupuesto!$B$11:$C$565,2,0)</f>
        <v>CONTRATOS ESPECIALES</v>
      </c>
      <c r="K693" s="98" t="str">
        <f t="shared" si="21"/>
        <v>Posgrado</v>
      </c>
      <c r="L693" s="98" t="s">
        <v>394</v>
      </c>
    </row>
    <row r="694" spans="3:12" ht="15.75" thickBot="1" x14ac:dyDescent="0.3">
      <c r="C694" s="172" t="s">
        <v>59</v>
      </c>
      <c r="D694" s="163"/>
      <c r="E694" s="154">
        <v>0</v>
      </c>
      <c r="F694" s="100">
        <f>IF(E692&lt;6,"",((E692-6)/12)*(G692/E692))</f>
        <v>0</v>
      </c>
      <c r="G694" s="97">
        <f>F694</f>
        <v>0</v>
      </c>
      <c r="H694" s="164"/>
      <c r="I694" s="101" t="s">
        <v>564</v>
      </c>
      <c r="J694" s="101" t="str">
        <f>VLOOKUP(I694,Presupuesto!$B$11:$C$565,2,0)</f>
        <v>CONTRATOS ESPECIALES</v>
      </c>
      <c r="K694" s="98" t="str">
        <f t="shared" si="21"/>
        <v>Posgrado</v>
      </c>
      <c r="L694" s="98" t="s">
        <v>399</v>
      </c>
    </row>
    <row r="695" spans="3:12" ht="15.75" thickBot="1" x14ac:dyDescent="0.3">
      <c r="C695" s="140" t="s">
        <v>60</v>
      </c>
      <c r="D695" s="199"/>
      <c r="E695" s="152">
        <v>12</v>
      </c>
      <c r="F695" s="118">
        <v>30000</v>
      </c>
      <c r="G695" s="113">
        <f>D695*E695*F695</f>
        <v>0</v>
      </c>
      <c r="H695" s="166"/>
      <c r="I695" s="114" t="s">
        <v>705</v>
      </c>
      <c r="J695" s="114" t="str">
        <f>VLOOKUP(I695,Presupuesto!$B$11:$C$565,2,0)</f>
        <v>OTROS SERVICIOS TECNICOS Y PROFESIONALES</v>
      </c>
      <c r="K695" s="98" t="str">
        <f t="shared" si="21"/>
        <v>Posgrado</v>
      </c>
      <c r="L695" s="98" t="s">
        <v>394</v>
      </c>
    </row>
    <row r="696" spans="3:12" x14ac:dyDescent="0.25">
      <c r="C696" s="171" t="s">
        <v>58</v>
      </c>
      <c r="D696" s="163"/>
      <c r="E696" s="154">
        <v>0</v>
      </c>
      <c r="F696" s="100">
        <v>0</v>
      </c>
      <c r="G696" s="97">
        <f>F696</f>
        <v>0</v>
      </c>
      <c r="H696" s="164"/>
      <c r="I696" s="101" t="s">
        <v>705</v>
      </c>
      <c r="J696" s="101" t="str">
        <f>VLOOKUP(I696,Presupuesto!$B$11:$C$565,2,0)</f>
        <v>OTROS SERVICIOS TECNICOS Y PROFESIONALES</v>
      </c>
      <c r="K696" s="98" t="str">
        <f t="shared" si="21"/>
        <v>Posgrado</v>
      </c>
      <c r="L696" s="98" t="s">
        <v>394</v>
      </c>
    </row>
    <row r="697" spans="3:12" ht="15.75" thickBot="1" x14ac:dyDescent="0.3">
      <c r="C697" s="172" t="s">
        <v>59</v>
      </c>
      <c r="D697" s="163"/>
      <c r="E697" s="154">
        <v>0</v>
      </c>
      <c r="F697" s="100">
        <v>0</v>
      </c>
      <c r="G697" s="97">
        <f>F697</f>
        <v>0</v>
      </c>
      <c r="H697" s="164"/>
      <c r="I697" s="101" t="s">
        <v>705</v>
      </c>
      <c r="J697" s="101" t="str">
        <f>VLOOKUP(I697,Presupuesto!$B$11:$C$565,2,0)</f>
        <v>OTROS SERVICIOS TECNICOS Y PROFESIONALES</v>
      </c>
      <c r="K697" s="98" t="str">
        <f t="shared" si="21"/>
        <v>Posgrado</v>
      </c>
      <c r="L697" s="98" t="s">
        <v>394</v>
      </c>
    </row>
    <row r="698" spans="3:12" ht="15.75" thickBot="1" x14ac:dyDescent="0.3">
      <c r="C698" s="140" t="s">
        <v>61</v>
      </c>
      <c r="D698" s="199"/>
      <c r="E698" s="152">
        <v>12</v>
      </c>
      <c r="F698" s="118">
        <v>30000</v>
      </c>
      <c r="G698" s="113">
        <f>D698*E698*F698</f>
        <v>0</v>
      </c>
      <c r="H698" s="166"/>
      <c r="I698" s="114" t="s">
        <v>496</v>
      </c>
      <c r="J698" s="114" t="str">
        <f>VLOOKUP(I698,Presupuesto!$B$11:$C$565,2,0)</f>
        <v>SUELDOS Y SALARIOS PERMANENTES</v>
      </c>
      <c r="K698" s="98" t="str">
        <f t="shared" si="21"/>
        <v>Posgrado</v>
      </c>
      <c r="L698" s="98" t="s">
        <v>394</v>
      </c>
    </row>
    <row r="699" spans="3:12" x14ac:dyDescent="0.25">
      <c r="C699" s="171" t="s">
        <v>58</v>
      </c>
      <c r="D699" s="169"/>
      <c r="E699" s="131">
        <v>0</v>
      </c>
      <c r="F699" s="119">
        <f>IF(E698=0,"",(G698/E698)/12*E698)</f>
        <v>0</v>
      </c>
      <c r="G699" s="120">
        <f>F699</f>
        <v>0</v>
      </c>
      <c r="H699" s="164"/>
      <c r="I699" s="101" t="s">
        <v>516</v>
      </c>
      <c r="J699" s="101" t="str">
        <f>VLOOKUP(I699,Presupuesto!$B$11:$C$565,2,0)</f>
        <v>AGUINALDO Y DECIMO CUARTO MES</v>
      </c>
      <c r="K699" s="98" t="str">
        <f t="shared" si="21"/>
        <v>Posgrado</v>
      </c>
      <c r="L699" s="98" t="s">
        <v>394</v>
      </c>
    </row>
    <row r="700" spans="3:12" ht="15.75" thickBot="1" x14ac:dyDescent="0.3">
      <c r="C700" s="173" t="s">
        <v>59</v>
      </c>
      <c r="D700" s="162"/>
      <c r="E700" s="132">
        <v>0</v>
      </c>
      <c r="F700" s="105">
        <f>IF(E698&lt;6,"",((E698-6)/12)*(G698/E698))</f>
        <v>0</v>
      </c>
      <c r="G700" s="105">
        <f>F700</f>
        <v>0</v>
      </c>
      <c r="H700" s="162"/>
      <c r="I700" s="106" t="s">
        <v>519</v>
      </c>
      <c r="J700" s="124" t="str">
        <f>VLOOKUP(I700,Presupuesto!$B$11:$C$565,2,0)</f>
        <v>DECIMOCUARTO MES</v>
      </c>
      <c r="K700" s="106" t="str">
        <f t="shared" si="21"/>
        <v>Posgrado</v>
      </c>
      <c r="L700" s="124" t="s">
        <v>394</v>
      </c>
    </row>
    <row r="702" spans="3:12" ht="15.75" thickBot="1" x14ac:dyDescent="0.3"/>
    <row r="703" spans="3:12" ht="15.75" thickBot="1" x14ac:dyDescent="0.3">
      <c r="C703" s="69" t="s">
        <v>43</v>
      </c>
      <c r="D703" s="30">
        <f>SUM(G710:G760)</f>
        <v>0</v>
      </c>
      <c r="E703" s="93"/>
      <c r="F703" s="93"/>
      <c r="G703" s="93"/>
      <c r="H703" s="76"/>
      <c r="I703" s="76"/>
      <c r="J703" s="76"/>
    </row>
    <row r="704" spans="3:12" x14ac:dyDescent="0.25">
      <c r="D704" s="31"/>
      <c r="E704" s="93"/>
      <c r="F704" s="93"/>
      <c r="G704" s="93"/>
      <c r="H704" s="76"/>
      <c r="I704" s="76"/>
      <c r="J704" s="76"/>
      <c r="K704" s="153"/>
    </row>
    <row r="705" spans="3:12" x14ac:dyDescent="0.25">
      <c r="D705" s="31"/>
      <c r="E705" s="93"/>
      <c r="F705" s="93"/>
      <c r="G705" s="93"/>
      <c r="H705" s="76"/>
      <c r="I705" s="76"/>
      <c r="J705" s="76"/>
      <c r="K705" s="153"/>
    </row>
    <row r="706" spans="3:12" ht="15.75" x14ac:dyDescent="0.25">
      <c r="C706" s="202" t="s">
        <v>392</v>
      </c>
      <c r="D706" s="370"/>
      <c r="E706" s="93"/>
      <c r="F706" s="93"/>
      <c r="G706" s="93"/>
      <c r="H706" s="76"/>
      <c r="I706" s="76"/>
      <c r="J706" s="76"/>
      <c r="K706" s="153"/>
    </row>
    <row r="707" spans="3:12" ht="18.75" x14ac:dyDescent="0.25">
      <c r="C707" s="211" t="e">
        <f>IFERROR(VLOOKUP(D706,'1. Desarrollo e Innov. Curricu.'!$E:$F,2,FALSE),IFERROR(VLOOKUP(D706,'2. Investigación Científica'!$E:$F,2,FALSE),IFERROR(VLOOKUP(D706,'3. Vinculación Univ. Sociedad'!$E:$F,2,FALSE),IFERROR(VLOOKUP(D706,'4. Docencia y Profesorado Univ.'!$E:$F,2,FALSE),IFERROR(VLOOKUP(D706,'5. Estudiantes y Graduados'!$E:$F,2,FALSE),IFERROR(VLOOKUP(D706,'11. Gestion Administrativa'!$E:$F,2,FALSE),IFERROR(VLOOKUP(D706,'13. Gestión Académica'!$E:$F,2,FALSE),IFERROR(VLOOKUP(D706,'8. Asegura. de la Calid. y M'!$E:$F,2,FALSE),IFERROR(VLOOKUP(D706,'6. Gestión del Conocimiento'!$E:$F,2,FALSE),IFERROR(VLOOKUP(D706,'15. Gobernabilidad y Proceso...'!$E:$F,2,FALSE),IFERROR(VLOOKUP(D706,'12. Gestión del Talento Humano'!$E:$F,2,FALSE),IFERROR(VLOOKUP(D706,'14. Internacional... de la E.S.'!$E:$F,2,FALSE),IFERROR(VLOOKUP(D706,'10. Posgrado'!$E:$F,2,FALSE),IFERROR(VLOOKUP(D706,'17. Gestión TIC'!$E:$F,2,FALSE),IFERROR(VLOOKUP(D706,'16. Desa. del Sistema Educ.Sup.'!$E:$F,2,FALSE),IFERROR(VLOOKUP(D706,'9. Cultura de Inno. Insti...'!$E:$F,2,FALSE),VLOOKUP(D706,'7. Lo Esencial de la Reforma U.'!$E:$F,2,0)))))))))))))))))</f>
        <v>#N/A</v>
      </c>
      <c r="D707" s="31"/>
      <c r="E707" s="93"/>
      <c r="F707" s="93"/>
      <c r="G707" s="93"/>
      <c r="H707" s="76"/>
      <c r="I707" s="76"/>
      <c r="J707" s="76"/>
      <c r="K707" s="153"/>
    </row>
    <row r="708" spans="3:12" ht="15.75" thickBot="1" x14ac:dyDescent="0.3">
      <c r="C708" s="177"/>
      <c r="D708" s="31"/>
      <c r="E708" s="93"/>
      <c r="F708" s="93"/>
      <c r="G708" s="93"/>
      <c r="H708" s="76"/>
      <c r="I708" s="76"/>
      <c r="J708" s="76"/>
      <c r="K708" s="153"/>
    </row>
    <row r="709" spans="3:12" ht="30.75" thickBot="1" x14ac:dyDescent="0.3">
      <c r="C709" s="134" t="s">
        <v>44</v>
      </c>
      <c r="D709" s="138" t="s">
        <v>55</v>
      </c>
      <c r="E709" s="170" t="s">
        <v>56</v>
      </c>
      <c r="F709" s="138" t="s">
        <v>57</v>
      </c>
      <c r="G709" s="135" t="s">
        <v>27</v>
      </c>
      <c r="H709" s="133" t="s">
        <v>131</v>
      </c>
      <c r="I709" s="136" t="s">
        <v>46</v>
      </c>
      <c r="J709" s="136" t="s">
        <v>132</v>
      </c>
      <c r="K709" s="136" t="s">
        <v>410</v>
      </c>
      <c r="L709" s="136" t="s">
        <v>411</v>
      </c>
    </row>
    <row r="710" spans="3:12" ht="15.75" thickBot="1" x14ac:dyDescent="0.3">
      <c r="C710" s="137" t="s">
        <v>482</v>
      </c>
      <c r="D710" s="199"/>
      <c r="E710" s="152">
        <v>12</v>
      </c>
      <c r="F710" s="305">
        <f>HLOOKUP($C710,$BZ$2:$CM$3,2,0)</f>
        <v>43674.39</v>
      </c>
      <c r="G710" s="113">
        <f>D710*E710*F710</f>
        <v>0</v>
      </c>
      <c r="H710" s="166"/>
      <c r="I710" s="114" t="s">
        <v>496</v>
      </c>
      <c r="J710" s="114" t="str">
        <f>VLOOKUP(I710,Presupuesto!$B$11:$C$565,2,0)</f>
        <v>SUELDOS Y SALARIOS PERMANENTES</v>
      </c>
      <c r="K710" s="219" t="s">
        <v>1454</v>
      </c>
      <c r="L710" s="98" t="s">
        <v>394</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ref="K711:K742" si="22">$K$710</f>
        <v>Posgrado</v>
      </c>
      <c r="L711" s="98" t="s">
        <v>412</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2"/>
        <v>Posgrado</v>
      </c>
      <c r="L712" s="98" t="s">
        <v>395</v>
      </c>
    </row>
    <row r="713" spans="3:12" ht="15.75" thickBot="1" x14ac:dyDescent="0.3">
      <c r="C713" s="137" t="s">
        <v>483</v>
      </c>
      <c r="D713" s="199"/>
      <c r="E713" s="152">
        <v>12</v>
      </c>
      <c r="F713" s="305">
        <f>HLOOKUP($C713,$BZ$2:$CM$3,2,0)</f>
        <v>39703.99</v>
      </c>
      <c r="G713" s="113">
        <f>D713*E713*F713</f>
        <v>0</v>
      </c>
      <c r="H713" s="166"/>
      <c r="I713" s="114" t="s">
        <v>496</v>
      </c>
      <c r="J713" s="114" t="str">
        <f>VLOOKUP(I713,Presupuesto!$B$11:$C$565,2,0)</f>
        <v>SUELDOS Y SALARIOS PERMANENTES</v>
      </c>
      <c r="K713" s="98" t="str">
        <f t="shared" si="22"/>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2"/>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2"/>
        <v>Posgrado</v>
      </c>
      <c r="L715" s="98" t="s">
        <v>395</v>
      </c>
    </row>
    <row r="716" spans="3:12" ht="15.75" thickBot="1" x14ac:dyDescent="0.3">
      <c r="C716" s="137" t="s">
        <v>484</v>
      </c>
      <c r="D716" s="199"/>
      <c r="E716" s="152">
        <v>12</v>
      </c>
      <c r="F716" s="305">
        <f>HLOOKUP($C716,$BZ$2:$CM$3,2,0)</f>
        <v>35733.589999999997</v>
      </c>
      <c r="G716" s="113">
        <f>D716*E716*F716</f>
        <v>0</v>
      </c>
      <c r="H716" s="166"/>
      <c r="I716" s="114" t="s">
        <v>496</v>
      </c>
      <c r="J716" s="114" t="str">
        <f>VLOOKUP(I716,Presupuesto!$B$11:$C$565,2,0)</f>
        <v>SUELDOS Y SALARIOS PERMANENTES</v>
      </c>
      <c r="K716" s="98" t="str">
        <f t="shared" si="22"/>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2"/>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2"/>
        <v>Posgrado</v>
      </c>
      <c r="L718" s="98" t="s">
        <v>395</v>
      </c>
    </row>
    <row r="719" spans="3:12" ht="15.75" thickBot="1" x14ac:dyDescent="0.3">
      <c r="C719" s="137" t="s">
        <v>485</v>
      </c>
      <c r="D719" s="199"/>
      <c r="E719" s="152">
        <v>12</v>
      </c>
      <c r="F719" s="305">
        <f>HLOOKUP($C719,$BZ$2:$CM$3,2,0)</f>
        <v>31763.19</v>
      </c>
      <c r="G719" s="113">
        <f>D719*E719*F719</f>
        <v>0</v>
      </c>
      <c r="H719" s="166"/>
      <c r="I719" s="114" t="s">
        <v>496</v>
      </c>
      <c r="J719" s="114" t="str">
        <f>VLOOKUP(I719,Presupuesto!$B$11:$C$565,2,0)</f>
        <v>SUELDOS Y SALARIOS PERMANENTES</v>
      </c>
      <c r="K719" s="98" t="str">
        <f t="shared" si="22"/>
        <v>Posgrado</v>
      </c>
      <c r="L719" s="98" t="s">
        <v>395</v>
      </c>
    </row>
    <row r="720" spans="3:12" x14ac:dyDescent="0.25">
      <c r="C720" s="171" t="s">
        <v>58</v>
      </c>
      <c r="D720" s="163"/>
      <c r="E720" s="154">
        <v>0</v>
      </c>
      <c r="F720" s="100">
        <f>IF(E719=0,"",(G719/E719)/12*E719)</f>
        <v>0</v>
      </c>
      <c r="G720" s="97">
        <f>F720</f>
        <v>0</v>
      </c>
      <c r="H720" s="164"/>
      <c r="I720" s="116" t="s">
        <v>516</v>
      </c>
      <c r="J720" s="116" t="str">
        <f>VLOOKUP(I720,Presupuesto!$B$11:$C$565,2,0)</f>
        <v>AGUINALDO Y DECIMO CUARTO MES</v>
      </c>
      <c r="K720" s="98" t="str">
        <f t="shared" si="22"/>
        <v>Posgrado</v>
      </c>
      <c r="L720" s="98" t="s">
        <v>395</v>
      </c>
    </row>
    <row r="721" spans="3:12" ht="15.75" thickBot="1" x14ac:dyDescent="0.3">
      <c r="C721" s="172" t="s">
        <v>59</v>
      </c>
      <c r="D721" s="163"/>
      <c r="E721" s="154">
        <v>0</v>
      </c>
      <c r="F721" s="117">
        <f>IF(E719&lt;6,"",((E719-6)/12)*(G719/E719))</f>
        <v>0</v>
      </c>
      <c r="G721" s="97">
        <f>F721</f>
        <v>0</v>
      </c>
      <c r="H721" s="164"/>
      <c r="I721" s="101" t="s">
        <v>519</v>
      </c>
      <c r="J721" s="101" t="str">
        <f>VLOOKUP(I721,Presupuesto!$B$11:$C$565,2,0)</f>
        <v>DECIMOCUARTO MES</v>
      </c>
      <c r="K721" s="98" t="str">
        <f t="shared" si="22"/>
        <v>Posgrado</v>
      </c>
      <c r="L721" s="98" t="s">
        <v>395</v>
      </c>
    </row>
    <row r="722" spans="3:12" ht="15.75" thickBot="1" x14ac:dyDescent="0.3">
      <c r="C722" s="137" t="s">
        <v>486</v>
      </c>
      <c r="D722" s="199"/>
      <c r="E722" s="152">
        <v>12</v>
      </c>
      <c r="F722" s="305">
        <f>HLOOKUP($C722,$BZ$2:$CM$3,2,0)</f>
        <v>29777.99</v>
      </c>
      <c r="G722" s="113">
        <f>D722*E722*F722</f>
        <v>0</v>
      </c>
      <c r="H722" s="166"/>
      <c r="I722" s="114" t="s">
        <v>496</v>
      </c>
      <c r="J722" s="114" t="str">
        <f>VLOOKUP(I722,Presupuesto!$B$11:$C$565,2,0)</f>
        <v>SUELDOS Y SALARIOS PERMANENTES</v>
      </c>
      <c r="K722" s="98" t="str">
        <f t="shared" si="22"/>
        <v>Posgrado</v>
      </c>
      <c r="L722" s="98" t="s">
        <v>395</v>
      </c>
    </row>
    <row r="723" spans="3:12" x14ac:dyDescent="0.25">
      <c r="C723" s="171" t="s">
        <v>58</v>
      </c>
      <c r="D723" s="163"/>
      <c r="E723" s="154">
        <v>0</v>
      </c>
      <c r="F723" s="100">
        <f>IF(E722=0,"",(G722/E722)/12*E722)</f>
        <v>0</v>
      </c>
      <c r="G723" s="97">
        <f>F723</f>
        <v>0</v>
      </c>
      <c r="H723" s="164"/>
      <c r="I723" s="116" t="s">
        <v>516</v>
      </c>
      <c r="J723" s="116" t="str">
        <f>VLOOKUP(I723,Presupuesto!$B$11:$C$565,2,0)</f>
        <v>AGUINALDO Y DECIMO CUARTO MES</v>
      </c>
      <c r="K723" s="98" t="str">
        <f t="shared" si="22"/>
        <v>Posgrado</v>
      </c>
      <c r="L723" s="98" t="s">
        <v>395</v>
      </c>
    </row>
    <row r="724" spans="3:12" ht="15.75" thickBot="1" x14ac:dyDescent="0.3">
      <c r="C724" s="172" t="s">
        <v>59</v>
      </c>
      <c r="D724" s="163"/>
      <c r="E724" s="154">
        <v>0</v>
      </c>
      <c r="F724" s="117">
        <f>IF(E722&lt;6,"",((E722-6)/12)*(G722/E722))</f>
        <v>0</v>
      </c>
      <c r="G724" s="97">
        <f>F724</f>
        <v>0</v>
      </c>
      <c r="H724" s="164"/>
      <c r="I724" s="101" t="s">
        <v>519</v>
      </c>
      <c r="J724" s="101" t="str">
        <f>VLOOKUP(I724,Presupuesto!$B$11:$C$565,2,0)</f>
        <v>DECIMOCUARTO MES</v>
      </c>
      <c r="K724" s="98" t="str">
        <f t="shared" si="22"/>
        <v>Posgrado</v>
      </c>
      <c r="L724" s="98" t="s">
        <v>395</v>
      </c>
    </row>
    <row r="725" spans="3:12" ht="15.75" thickBot="1" x14ac:dyDescent="0.3">
      <c r="C725" s="137" t="s">
        <v>487</v>
      </c>
      <c r="D725" s="199"/>
      <c r="E725" s="152">
        <v>12</v>
      </c>
      <c r="F725" s="305">
        <f>HLOOKUP($C725,$BZ$2:$CM$3,2,0)</f>
        <v>27792.79</v>
      </c>
      <c r="G725" s="113">
        <f>D725*E725*F725</f>
        <v>0</v>
      </c>
      <c r="H725" s="166"/>
      <c r="I725" s="114" t="s">
        <v>496</v>
      </c>
      <c r="J725" s="114" t="str">
        <f>VLOOKUP(I725,Presupuesto!$B$11:$C$565,2,0)</f>
        <v>SUELDOS Y SALARIOS PERMANENTES</v>
      </c>
      <c r="K725" s="98" t="str">
        <f t="shared" si="22"/>
        <v>Posgrado</v>
      </c>
      <c r="L725" s="98" t="s">
        <v>395</v>
      </c>
    </row>
    <row r="726" spans="3:12" x14ac:dyDescent="0.25">
      <c r="C726" s="171" t="s">
        <v>58</v>
      </c>
      <c r="D726" s="163"/>
      <c r="E726" s="154">
        <v>0</v>
      </c>
      <c r="F726" s="100">
        <f>IF(E725=0,"",(G725/E725)/12*E725)</f>
        <v>0</v>
      </c>
      <c r="G726" s="97">
        <f>F726</f>
        <v>0</v>
      </c>
      <c r="H726" s="164"/>
      <c r="I726" s="116" t="s">
        <v>516</v>
      </c>
      <c r="J726" s="116" t="str">
        <f>VLOOKUP(I726,Presupuesto!$B$11:$C$565,2,0)</f>
        <v>AGUINALDO Y DECIMO CUARTO MES</v>
      </c>
      <c r="K726" s="98" t="str">
        <f t="shared" si="22"/>
        <v>Posgrado</v>
      </c>
      <c r="L726" s="98" t="s">
        <v>395</v>
      </c>
    </row>
    <row r="727" spans="3:12" ht="15.75" thickBot="1" x14ac:dyDescent="0.3">
      <c r="C727" s="172" t="s">
        <v>59</v>
      </c>
      <c r="D727" s="163"/>
      <c r="E727" s="154">
        <v>0</v>
      </c>
      <c r="F727" s="117">
        <f>IF(E725&lt;6,"",((E725-6)/12)*(G725/E725))</f>
        <v>0</v>
      </c>
      <c r="G727" s="97">
        <f>F727</f>
        <v>0</v>
      </c>
      <c r="H727" s="164"/>
      <c r="I727" s="101" t="s">
        <v>519</v>
      </c>
      <c r="J727" s="101" t="str">
        <f>VLOOKUP(I727,Presupuesto!$B$11:$C$565,2,0)</f>
        <v>DECIMOCUARTO MES</v>
      </c>
      <c r="K727" s="98" t="str">
        <f t="shared" si="22"/>
        <v>Posgrado</v>
      </c>
      <c r="L727" s="98" t="s">
        <v>395</v>
      </c>
    </row>
    <row r="728" spans="3:12" ht="15.75" thickBot="1" x14ac:dyDescent="0.3">
      <c r="C728" s="137" t="s">
        <v>488</v>
      </c>
      <c r="D728" s="199"/>
      <c r="E728" s="152">
        <v>12</v>
      </c>
      <c r="F728" s="305">
        <f>HLOOKUP($C728,$BZ$2:$CM$3,2,0)</f>
        <v>18859.39</v>
      </c>
      <c r="G728" s="113">
        <f>D728*E728*F728</f>
        <v>0</v>
      </c>
      <c r="H728" s="166"/>
      <c r="I728" s="114" t="s">
        <v>496</v>
      </c>
      <c r="J728" s="114" t="str">
        <f>VLOOKUP(I728,Presupuesto!$B$11:$C$565,2,0)</f>
        <v>SUELDOS Y SALARIOS PERMANENTES</v>
      </c>
      <c r="K728" s="98" t="str">
        <f t="shared" si="22"/>
        <v>Posgrado</v>
      </c>
      <c r="L728" s="98" t="s">
        <v>395</v>
      </c>
    </row>
    <row r="729" spans="3:12" x14ac:dyDescent="0.25">
      <c r="C729" s="171" t="s">
        <v>58</v>
      </c>
      <c r="D729" s="163"/>
      <c r="E729" s="154">
        <v>0</v>
      </c>
      <c r="F729" s="100">
        <f>IF(E728=0,"",(G728/E728)/12*E728)</f>
        <v>0</v>
      </c>
      <c r="G729" s="97">
        <f>F729</f>
        <v>0</v>
      </c>
      <c r="H729" s="164"/>
      <c r="I729" s="116" t="s">
        <v>516</v>
      </c>
      <c r="J729" s="116" t="str">
        <f>VLOOKUP(I729,Presupuesto!$B$11:$C$565,2,0)</f>
        <v>AGUINALDO Y DECIMO CUARTO MES</v>
      </c>
      <c r="K729" s="98" t="str">
        <f t="shared" si="22"/>
        <v>Posgrado</v>
      </c>
      <c r="L729" s="98" t="s">
        <v>395</v>
      </c>
    </row>
    <row r="730" spans="3:12" ht="15.75" thickBot="1" x14ac:dyDescent="0.3">
      <c r="C730" s="172" t="s">
        <v>59</v>
      </c>
      <c r="D730" s="163"/>
      <c r="E730" s="154">
        <v>0</v>
      </c>
      <c r="F730" s="117">
        <f>IF(E728&lt;6,"",((E728-6)/12)*(G728/E728))</f>
        <v>0</v>
      </c>
      <c r="G730" s="97">
        <f>F730</f>
        <v>0</v>
      </c>
      <c r="H730" s="164"/>
      <c r="I730" s="101" t="s">
        <v>519</v>
      </c>
      <c r="J730" s="101" t="str">
        <f>VLOOKUP(I730,Presupuesto!$B$11:$C$565,2,0)</f>
        <v>DECIMOCUARTO MES</v>
      </c>
      <c r="K730" s="98" t="str">
        <f t="shared" si="22"/>
        <v>Posgrado</v>
      </c>
      <c r="L730" s="98" t="s">
        <v>395</v>
      </c>
    </row>
    <row r="731" spans="3:12" ht="15.75" thickBot="1" x14ac:dyDescent="0.3">
      <c r="C731" s="137" t="s">
        <v>489</v>
      </c>
      <c r="D731" s="199"/>
      <c r="E731" s="152">
        <v>12</v>
      </c>
      <c r="F731" s="305">
        <f>HLOOKUP($C731,$BZ$2:$CM$3,2,0)</f>
        <v>17866.8</v>
      </c>
      <c r="G731" s="113">
        <f>D731*E731*F731</f>
        <v>0</v>
      </c>
      <c r="H731" s="166"/>
      <c r="I731" s="114" t="s">
        <v>496</v>
      </c>
      <c r="J731" s="114" t="str">
        <f>VLOOKUP(I731,Presupuesto!$B$11:$C$565,2,0)</f>
        <v>SUELDOS Y SALARIOS PERMANENTES</v>
      </c>
      <c r="K731" s="98" t="str">
        <f t="shared" si="22"/>
        <v>Posgrado</v>
      </c>
      <c r="L731" s="98" t="s">
        <v>395</v>
      </c>
    </row>
    <row r="732" spans="3:12" x14ac:dyDescent="0.25">
      <c r="C732" s="171" t="s">
        <v>58</v>
      </c>
      <c r="D732" s="163"/>
      <c r="E732" s="154">
        <v>0</v>
      </c>
      <c r="F732" s="100">
        <f>IF(E731=0,"",(G731/E731)/12*E731)</f>
        <v>0</v>
      </c>
      <c r="G732" s="97">
        <f>F732</f>
        <v>0</v>
      </c>
      <c r="H732" s="164"/>
      <c r="I732" s="116" t="s">
        <v>516</v>
      </c>
      <c r="J732" s="116" t="str">
        <f>VLOOKUP(I732,Presupuesto!$B$11:$C$565,2,0)</f>
        <v>AGUINALDO Y DECIMO CUARTO MES</v>
      </c>
      <c r="K732" s="98" t="str">
        <f t="shared" si="22"/>
        <v>Posgrado</v>
      </c>
      <c r="L732" s="98" t="s">
        <v>395</v>
      </c>
    </row>
    <row r="733" spans="3:12" ht="15.75" thickBot="1" x14ac:dyDescent="0.3">
      <c r="C733" s="172" t="s">
        <v>59</v>
      </c>
      <c r="D733" s="163"/>
      <c r="E733" s="154">
        <v>0</v>
      </c>
      <c r="F733" s="117">
        <f>IF(E731&lt;6,"",((E731-6)/12)*(G731/E731))</f>
        <v>0</v>
      </c>
      <c r="G733" s="97">
        <f>F733</f>
        <v>0</v>
      </c>
      <c r="H733" s="164"/>
      <c r="I733" s="101" t="s">
        <v>519</v>
      </c>
      <c r="J733" s="101" t="str">
        <f>VLOOKUP(I733,Presupuesto!$B$11:$C$565,2,0)</f>
        <v>DECIMOCUARTO MES</v>
      </c>
      <c r="K733" s="98" t="str">
        <f t="shared" si="22"/>
        <v>Posgrado</v>
      </c>
      <c r="L733" s="98" t="s">
        <v>395</v>
      </c>
    </row>
    <row r="734" spans="3:12" ht="15.75" thickBot="1" x14ac:dyDescent="0.3">
      <c r="C734" s="137" t="s">
        <v>490</v>
      </c>
      <c r="D734" s="199"/>
      <c r="E734" s="152">
        <v>12</v>
      </c>
      <c r="F734" s="305">
        <f>HLOOKUP($C734,$BZ$2:$CM$3,2,0)</f>
        <v>13896.4</v>
      </c>
      <c r="G734" s="113">
        <f>D734*E734*F734</f>
        <v>0</v>
      </c>
      <c r="H734" s="166"/>
      <c r="I734" s="114" t="s">
        <v>496</v>
      </c>
      <c r="J734" s="114" t="str">
        <f>VLOOKUP(I734,Presupuesto!$B$11:$C$565,2,0)</f>
        <v>SUELDOS Y SALARIOS PERMANENTES</v>
      </c>
      <c r="K734" s="98" t="str">
        <f t="shared" si="22"/>
        <v>Posgrado</v>
      </c>
      <c r="L734" s="98" t="s">
        <v>395</v>
      </c>
    </row>
    <row r="735" spans="3:12" x14ac:dyDescent="0.25">
      <c r="C735" s="171" t="s">
        <v>58</v>
      </c>
      <c r="D735" s="163"/>
      <c r="E735" s="154">
        <v>0</v>
      </c>
      <c r="F735" s="100">
        <f>IF(E734=0,"",(G734/E734)/12*E734)</f>
        <v>0</v>
      </c>
      <c r="G735" s="97">
        <f>F735</f>
        <v>0</v>
      </c>
      <c r="H735" s="164"/>
      <c r="I735" s="116" t="s">
        <v>516</v>
      </c>
      <c r="J735" s="116" t="str">
        <f>VLOOKUP(I735,Presupuesto!$B$11:$C$565,2,0)</f>
        <v>AGUINALDO Y DECIMO CUARTO MES</v>
      </c>
      <c r="K735" s="98" t="str">
        <f t="shared" si="22"/>
        <v>Posgrado</v>
      </c>
      <c r="L735" s="98" t="s">
        <v>395</v>
      </c>
    </row>
    <row r="736" spans="3:12" ht="15.75" thickBot="1" x14ac:dyDescent="0.3">
      <c r="C736" s="172" t="s">
        <v>59</v>
      </c>
      <c r="D736" s="163"/>
      <c r="E736" s="154">
        <v>0</v>
      </c>
      <c r="F736" s="117">
        <f>IF(E734&lt;6,"",((E734-6)/12)*(G734/E734))</f>
        <v>0</v>
      </c>
      <c r="G736" s="97">
        <f>F736</f>
        <v>0</v>
      </c>
      <c r="H736" s="164"/>
      <c r="I736" s="101" t="s">
        <v>519</v>
      </c>
      <c r="J736" s="101" t="str">
        <f>VLOOKUP(I736,Presupuesto!$B$11:$C$565,2,0)</f>
        <v>DECIMOCUARTO MES</v>
      </c>
      <c r="K736" s="98" t="str">
        <f t="shared" si="22"/>
        <v>Posgrado</v>
      </c>
      <c r="L736" s="98" t="s">
        <v>395</v>
      </c>
    </row>
    <row r="737" spans="3:12" ht="15.75" thickBot="1" x14ac:dyDescent="0.3">
      <c r="C737" s="137" t="s">
        <v>491</v>
      </c>
      <c r="D737" s="199"/>
      <c r="E737" s="152">
        <v>12</v>
      </c>
      <c r="F737" s="305">
        <f>HLOOKUP($C737,$BZ$2:$CM$3,2,0)</f>
        <v>15004.09</v>
      </c>
      <c r="G737" s="113">
        <f>D737*E737*F737</f>
        <v>0</v>
      </c>
      <c r="H737" s="166"/>
      <c r="I737" s="114" t="s">
        <v>496</v>
      </c>
      <c r="J737" s="114" t="str">
        <f>VLOOKUP(I737,Presupuesto!$B$11:$C$565,2,0)</f>
        <v>SUELDOS Y SALARIOS PERMANENTES</v>
      </c>
      <c r="K737" s="98" t="str">
        <f t="shared" si="22"/>
        <v>Posgrado</v>
      </c>
      <c r="L737" s="98" t="s">
        <v>395</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si="22"/>
        <v>Posgrado</v>
      </c>
      <c r="L738" s="98" t="s">
        <v>395</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2"/>
        <v>Posgrado</v>
      </c>
      <c r="L739" s="98" t="s">
        <v>395</v>
      </c>
    </row>
    <row r="740" spans="3:12" ht="15.75" thickBot="1" x14ac:dyDescent="0.3">
      <c r="C740" s="137" t="s">
        <v>492</v>
      </c>
      <c r="D740" s="199"/>
      <c r="E740" s="152">
        <v>12</v>
      </c>
      <c r="F740" s="305">
        <f>HLOOKUP($C740,$BZ$2:$CM$3,2,0)</f>
        <v>13238.9</v>
      </c>
      <c r="G740" s="113">
        <f>D740*E740*F740</f>
        <v>0</v>
      </c>
      <c r="H740" s="166"/>
      <c r="I740" s="114" t="s">
        <v>496</v>
      </c>
      <c r="J740" s="114" t="str">
        <f>VLOOKUP(I740,Presupuesto!$B$11:$C$565,2,0)</f>
        <v>SUELDOS Y SALARIOS PERMANENTES</v>
      </c>
      <c r="K740" s="98" t="str">
        <f t="shared" si="22"/>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2"/>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2"/>
        <v>Posgrado</v>
      </c>
      <c r="L742" s="98" t="s">
        <v>395</v>
      </c>
    </row>
    <row r="743" spans="3:12" ht="15.75" thickBot="1" x14ac:dyDescent="0.3">
      <c r="C743" s="137" t="s">
        <v>493</v>
      </c>
      <c r="D743" s="199"/>
      <c r="E743" s="152">
        <v>12</v>
      </c>
      <c r="F743" s="305">
        <f>HLOOKUP($C743,$BZ$2:$CM$3,2,0)</f>
        <v>12356.31</v>
      </c>
      <c r="G743" s="113">
        <f>D743*E743*F743</f>
        <v>0</v>
      </c>
      <c r="H743" s="166"/>
      <c r="I743" s="114" t="s">
        <v>496</v>
      </c>
      <c r="J743" s="114" t="str">
        <f>VLOOKUP(I743,Presupuesto!$B$11:$C$565,2,0)</f>
        <v>SUELDOS Y SALARIOS PERMANENTES</v>
      </c>
      <c r="K743" s="98" t="str">
        <f t="shared" ref="K743:K760" si="23">$K$710</f>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3"/>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3"/>
        <v>Posgrado</v>
      </c>
      <c r="L745" s="98" t="s">
        <v>395</v>
      </c>
    </row>
    <row r="746" spans="3:12" ht="15.75" thickBot="1" x14ac:dyDescent="0.3">
      <c r="C746" s="137" t="s">
        <v>494</v>
      </c>
      <c r="D746" s="199"/>
      <c r="E746" s="152">
        <v>12</v>
      </c>
      <c r="F746" s="305">
        <f>HLOOKUP($C746,$BZ$2:$CM$3,2,0)</f>
        <v>463.22</v>
      </c>
      <c r="G746" s="113">
        <f>D746*E746*F746</f>
        <v>0</v>
      </c>
      <c r="H746" s="166"/>
      <c r="I746" s="114" t="s">
        <v>496</v>
      </c>
      <c r="J746" s="114" t="str">
        <f>VLOOKUP(I746,Presupuesto!$B$11:$C$565,2,0)</f>
        <v>SUELDOS Y SALARIOS PERMANENTES</v>
      </c>
      <c r="K746" s="98" t="str">
        <f t="shared" si="23"/>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3"/>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3"/>
        <v>Posgrado</v>
      </c>
      <c r="L748" s="98" t="s">
        <v>395</v>
      </c>
    </row>
    <row r="749" spans="3:12" ht="15.75" thickBot="1" x14ac:dyDescent="0.3">
      <c r="C749" s="137" t="s">
        <v>495</v>
      </c>
      <c r="D749" s="199"/>
      <c r="E749" s="152">
        <v>12</v>
      </c>
      <c r="F749" s="305">
        <f>HLOOKUP($C749,$BZ$2:$CM$3,2,0)</f>
        <v>2007.3</v>
      </c>
      <c r="G749" s="113">
        <f>D749*E749*F749</f>
        <v>0</v>
      </c>
      <c r="H749" s="166"/>
      <c r="I749" s="114" t="s">
        <v>496</v>
      </c>
      <c r="J749" s="114" t="str">
        <f>VLOOKUP(I749,Presupuesto!$B$11:$C$565,2,0)</f>
        <v>SUELDOS Y SALARIOS PERMANENTES</v>
      </c>
      <c r="K749" s="98" t="str">
        <f t="shared" si="23"/>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3"/>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3"/>
        <v>Posgrado</v>
      </c>
      <c r="L751" s="98" t="s">
        <v>395</v>
      </c>
    </row>
    <row r="752" spans="3:12" ht="15.75" thickBot="1" x14ac:dyDescent="0.3">
      <c r="C752" s="140" t="s">
        <v>83</v>
      </c>
      <c r="D752" s="199"/>
      <c r="E752" s="152">
        <v>12</v>
      </c>
      <c r="F752" s="139">
        <v>30000</v>
      </c>
      <c r="G752" s="113">
        <f>D752*E752*F752</f>
        <v>0</v>
      </c>
      <c r="H752" s="166"/>
      <c r="I752" s="114" t="s">
        <v>564</v>
      </c>
      <c r="J752" s="114" t="str">
        <f>VLOOKUP(I752,Presupuesto!$B$11:$C$565,2,0)</f>
        <v>CONTRATOS ESPECIALES</v>
      </c>
      <c r="K752" s="98" t="str">
        <f t="shared" si="23"/>
        <v>Posgrado</v>
      </c>
      <c r="L752" s="98" t="s">
        <v>395</v>
      </c>
    </row>
    <row r="753" spans="3:12" x14ac:dyDescent="0.25">
      <c r="C753" s="171" t="s">
        <v>58</v>
      </c>
      <c r="D753" s="163"/>
      <c r="E753" s="154">
        <v>0</v>
      </c>
      <c r="F753" s="117">
        <f>IF(E752=0,"",(G752/E752)/12*E752)</f>
        <v>0</v>
      </c>
      <c r="G753" s="97">
        <f>F753</f>
        <v>0</v>
      </c>
      <c r="H753" s="164"/>
      <c r="I753" s="101" t="s">
        <v>564</v>
      </c>
      <c r="J753" s="101" t="str">
        <f>VLOOKUP(I753,Presupuesto!$B$11:$C$565,2,0)</f>
        <v>CONTRATOS ESPECIALES</v>
      </c>
      <c r="K753" s="98" t="str">
        <f t="shared" si="23"/>
        <v>Posgrado</v>
      </c>
      <c r="L753" s="98" t="s">
        <v>394</v>
      </c>
    </row>
    <row r="754" spans="3:12" ht="15.75" thickBot="1" x14ac:dyDescent="0.3">
      <c r="C754" s="172" t="s">
        <v>59</v>
      </c>
      <c r="D754" s="163"/>
      <c r="E754" s="154">
        <v>0</v>
      </c>
      <c r="F754" s="100">
        <f>IF(E752&lt;6,"",((E752-6)/12)*(G752/E752))</f>
        <v>0</v>
      </c>
      <c r="G754" s="97">
        <f>F754</f>
        <v>0</v>
      </c>
      <c r="H754" s="164"/>
      <c r="I754" s="101" t="s">
        <v>564</v>
      </c>
      <c r="J754" s="101" t="str">
        <f>VLOOKUP(I754,Presupuesto!$B$11:$C$565,2,0)</f>
        <v>CONTRATOS ESPECIALES</v>
      </c>
      <c r="K754" s="98" t="str">
        <f t="shared" si="23"/>
        <v>Posgrado</v>
      </c>
      <c r="L754" s="98" t="s">
        <v>399</v>
      </c>
    </row>
    <row r="755" spans="3:12" ht="15.75" thickBot="1" x14ac:dyDescent="0.3">
      <c r="C755" s="140" t="s">
        <v>60</v>
      </c>
      <c r="D755" s="199"/>
      <c r="E755" s="152">
        <v>12</v>
      </c>
      <c r="F755" s="118">
        <v>30000</v>
      </c>
      <c r="G755" s="113">
        <f>D755*E755*F755</f>
        <v>0</v>
      </c>
      <c r="H755" s="166"/>
      <c r="I755" s="114" t="s">
        <v>705</v>
      </c>
      <c r="J755" s="114" t="str">
        <f>VLOOKUP(I755,Presupuesto!$B$11:$C$565,2,0)</f>
        <v>OTROS SERVICIOS TECNICOS Y PROFESIONALES</v>
      </c>
      <c r="K755" s="98" t="str">
        <f t="shared" si="23"/>
        <v>Posgrado</v>
      </c>
      <c r="L755" s="98" t="s">
        <v>394</v>
      </c>
    </row>
    <row r="756" spans="3:12" x14ac:dyDescent="0.25">
      <c r="C756" s="171" t="s">
        <v>58</v>
      </c>
      <c r="D756" s="163"/>
      <c r="E756" s="154">
        <v>0</v>
      </c>
      <c r="F756" s="100">
        <v>0</v>
      </c>
      <c r="G756" s="97">
        <f>F756</f>
        <v>0</v>
      </c>
      <c r="H756" s="164"/>
      <c r="I756" s="101" t="s">
        <v>705</v>
      </c>
      <c r="J756" s="101" t="str">
        <f>VLOOKUP(I756,Presupuesto!$B$11:$C$565,2,0)</f>
        <v>OTROS SERVICIOS TECNICOS Y PROFESIONALES</v>
      </c>
      <c r="K756" s="98" t="str">
        <f t="shared" si="23"/>
        <v>Posgrado</v>
      </c>
      <c r="L756" s="98" t="s">
        <v>394</v>
      </c>
    </row>
    <row r="757" spans="3:12" ht="15.75" thickBot="1" x14ac:dyDescent="0.3">
      <c r="C757" s="172" t="s">
        <v>59</v>
      </c>
      <c r="D757" s="163"/>
      <c r="E757" s="154">
        <v>0</v>
      </c>
      <c r="F757" s="100">
        <v>0</v>
      </c>
      <c r="G757" s="97">
        <f>F757</f>
        <v>0</v>
      </c>
      <c r="H757" s="164"/>
      <c r="I757" s="101" t="s">
        <v>705</v>
      </c>
      <c r="J757" s="101" t="str">
        <f>VLOOKUP(I757,Presupuesto!$B$11:$C$565,2,0)</f>
        <v>OTROS SERVICIOS TECNICOS Y PROFESIONALES</v>
      </c>
      <c r="K757" s="98" t="str">
        <f t="shared" si="23"/>
        <v>Posgrado</v>
      </c>
      <c r="L757" s="98" t="s">
        <v>394</v>
      </c>
    </row>
    <row r="758" spans="3:12" ht="15.75" thickBot="1" x14ac:dyDescent="0.3">
      <c r="C758" s="140" t="s">
        <v>61</v>
      </c>
      <c r="D758" s="199"/>
      <c r="E758" s="152">
        <v>12</v>
      </c>
      <c r="F758" s="118">
        <v>30000</v>
      </c>
      <c r="G758" s="113">
        <f>D758*E758*F758</f>
        <v>0</v>
      </c>
      <c r="H758" s="166"/>
      <c r="I758" s="114" t="s">
        <v>496</v>
      </c>
      <c r="J758" s="114" t="str">
        <f>VLOOKUP(I758,Presupuesto!$B$11:$C$565,2,0)</f>
        <v>SUELDOS Y SALARIOS PERMANENTES</v>
      </c>
      <c r="K758" s="98" t="str">
        <f t="shared" si="23"/>
        <v>Posgrado</v>
      </c>
      <c r="L758" s="98" t="s">
        <v>394</v>
      </c>
    </row>
    <row r="759" spans="3:12" x14ac:dyDescent="0.25">
      <c r="C759" s="171" t="s">
        <v>58</v>
      </c>
      <c r="D759" s="169"/>
      <c r="E759" s="131">
        <v>0</v>
      </c>
      <c r="F759" s="119">
        <f>IF(E758=0,"",(G758/E758)/12*E758)</f>
        <v>0</v>
      </c>
      <c r="G759" s="120">
        <f>F759</f>
        <v>0</v>
      </c>
      <c r="H759" s="164"/>
      <c r="I759" s="101" t="s">
        <v>516</v>
      </c>
      <c r="J759" s="101" t="str">
        <f>VLOOKUP(I759,Presupuesto!$B$11:$C$565,2,0)</f>
        <v>AGUINALDO Y DECIMO CUARTO MES</v>
      </c>
      <c r="K759" s="98" t="str">
        <f t="shared" si="23"/>
        <v>Posgrado</v>
      </c>
      <c r="L759" s="98" t="s">
        <v>394</v>
      </c>
    </row>
    <row r="760" spans="3:12" ht="15.75" thickBot="1" x14ac:dyDescent="0.3">
      <c r="C760" s="173" t="s">
        <v>59</v>
      </c>
      <c r="D760" s="162"/>
      <c r="E760" s="132">
        <v>0</v>
      </c>
      <c r="F760" s="105">
        <f>IF(E758&lt;6,"",((E758-6)/12)*(G758/E758))</f>
        <v>0</v>
      </c>
      <c r="G760" s="105">
        <f>F760</f>
        <v>0</v>
      </c>
      <c r="H760" s="162"/>
      <c r="I760" s="106" t="s">
        <v>519</v>
      </c>
      <c r="J760" s="124" t="str">
        <f>VLOOKUP(I760,Presupuesto!$B$11:$C$565,2,0)</f>
        <v>DECIMOCUARTO MES</v>
      </c>
      <c r="K760" s="106" t="str">
        <f t="shared" si="23"/>
        <v>Posgrado</v>
      </c>
      <c r="L760" s="124" t="s">
        <v>394</v>
      </c>
    </row>
    <row r="762" spans="3:12" ht="15.75" thickBot="1" x14ac:dyDescent="0.3"/>
    <row r="763" spans="3:12" ht="15.75" thickBot="1" x14ac:dyDescent="0.3">
      <c r="C763" s="69" t="s">
        <v>43</v>
      </c>
      <c r="D763" s="30">
        <f>SUM(G770:G820)</f>
        <v>0</v>
      </c>
      <c r="E763" s="93"/>
      <c r="F763" s="93"/>
      <c r="G763" s="93"/>
      <c r="H763" s="76"/>
      <c r="I763" s="76"/>
      <c r="J763" s="76"/>
    </row>
    <row r="764" spans="3:12" x14ac:dyDescent="0.25">
      <c r="D764" s="31"/>
      <c r="E764" s="93"/>
      <c r="F764" s="93"/>
      <c r="G764" s="93"/>
      <c r="H764" s="76"/>
      <c r="I764" s="76"/>
      <c r="J764" s="76"/>
    </row>
    <row r="765" spans="3:12" x14ac:dyDescent="0.25">
      <c r="D765" s="31"/>
      <c r="E765" s="93"/>
      <c r="F765" s="93"/>
      <c r="G765" s="93"/>
      <c r="H765" s="76"/>
      <c r="I765" s="76"/>
      <c r="J765" s="76"/>
      <c r="K765" s="153"/>
    </row>
    <row r="766" spans="3:12" ht="15.75" x14ac:dyDescent="0.25">
      <c r="C766" s="202" t="s">
        <v>392</v>
      </c>
      <c r="D766" s="370"/>
      <c r="E766" s="93"/>
      <c r="F766" s="93"/>
      <c r="G766" s="93"/>
      <c r="H766" s="76"/>
      <c r="I766" s="76"/>
      <c r="J766" s="76"/>
      <c r="K766" s="153"/>
    </row>
    <row r="767" spans="3:12" ht="18.75" x14ac:dyDescent="0.25">
      <c r="C767" s="211" t="e">
        <f>IFERROR(VLOOKUP(D766,'1. Desarrollo e Innov. Curricu.'!$E:$F,2,FALSE),IFERROR(VLOOKUP(D766,'2. Investigación Científica'!$E:$F,2,FALSE),IFERROR(VLOOKUP(D766,'3. Vinculación Univ. Sociedad'!$E:$F,2,FALSE),IFERROR(VLOOKUP(D766,'4. Docencia y Profesorado Univ.'!$E:$F,2,FALSE),IFERROR(VLOOKUP(D766,'5. Estudiantes y Graduados'!$E:$F,2,FALSE),IFERROR(VLOOKUP(D766,'11. Gestion Administrativa'!$E:$F,2,FALSE),IFERROR(VLOOKUP(D766,'13. Gestión Académica'!$E:$F,2,FALSE),IFERROR(VLOOKUP(D766,'8. Asegura. de la Calid. y M'!$E:$F,2,FALSE),IFERROR(VLOOKUP(D766,'6. Gestión del Conocimiento'!$E:$F,2,FALSE),IFERROR(VLOOKUP(D766,'15. Gobernabilidad y Proceso...'!$E:$F,2,FALSE),IFERROR(VLOOKUP(D766,'12. Gestión del Talento Humano'!$E:$F,2,FALSE),IFERROR(VLOOKUP(D766,'14. Internacional... de la E.S.'!$E:$F,2,FALSE),IFERROR(VLOOKUP(D766,'10. Posgrado'!$E:$F,2,FALSE),IFERROR(VLOOKUP(D766,'17. Gestión TIC'!$E:$F,2,FALSE),IFERROR(VLOOKUP(D766,'16. Desa. del Sistema Educ.Sup.'!$E:$F,2,FALSE),IFERROR(VLOOKUP(D766,'9. Cultura de Inno. Insti...'!$E:$F,2,FALSE),VLOOKUP(D766,'7. Lo Esencial de la Reforma U.'!$E:$F,2,0)))))))))))))))))</f>
        <v>#N/A</v>
      </c>
      <c r="D767" s="31"/>
      <c r="E767" s="93"/>
      <c r="F767" s="93"/>
      <c r="G767" s="93"/>
      <c r="H767" s="76"/>
      <c r="I767" s="76"/>
      <c r="J767" s="76"/>
      <c r="K767" s="153"/>
    </row>
    <row r="768" spans="3:12" ht="15.75" thickBot="1" x14ac:dyDescent="0.3">
      <c r="C768" s="177"/>
      <c r="D768" s="31"/>
      <c r="E768" s="93"/>
      <c r="F768" s="93"/>
      <c r="G768" s="93"/>
      <c r="H768" s="76"/>
      <c r="I768" s="76"/>
      <c r="J768" s="76"/>
      <c r="K768" s="153"/>
    </row>
    <row r="769" spans="3:12" ht="30.75" thickBot="1" x14ac:dyDescent="0.3">
      <c r="C769" s="134" t="s">
        <v>44</v>
      </c>
      <c r="D769" s="138" t="s">
        <v>55</v>
      </c>
      <c r="E769" s="170" t="s">
        <v>56</v>
      </c>
      <c r="F769" s="138" t="s">
        <v>57</v>
      </c>
      <c r="G769" s="135" t="s">
        <v>27</v>
      </c>
      <c r="H769" s="133" t="s">
        <v>131</v>
      </c>
      <c r="I769" s="136" t="s">
        <v>46</v>
      </c>
      <c r="J769" s="136" t="s">
        <v>132</v>
      </c>
      <c r="K769" s="136" t="s">
        <v>410</v>
      </c>
      <c r="L769" s="136" t="s">
        <v>411</v>
      </c>
    </row>
    <row r="770" spans="3:12" ht="15.75" thickBot="1" x14ac:dyDescent="0.3">
      <c r="C770" s="137" t="s">
        <v>482</v>
      </c>
      <c r="D770" s="199"/>
      <c r="E770" s="152">
        <v>12</v>
      </c>
      <c r="F770" s="305">
        <f>HLOOKUP($C770,$BZ$2:$CM$3,2,0)</f>
        <v>43674.39</v>
      </c>
      <c r="G770" s="113">
        <f>D770*E770*F770</f>
        <v>0</v>
      </c>
      <c r="H770" s="166"/>
      <c r="I770" s="114" t="s">
        <v>496</v>
      </c>
      <c r="J770" s="114" t="str">
        <f>VLOOKUP(I770,Presupuesto!$B$11:$C$565,2,0)</f>
        <v>SUELDOS Y SALARIOS PERMANENTES</v>
      </c>
      <c r="K770" s="219" t="s">
        <v>1454</v>
      </c>
      <c r="L770" s="98" t="s">
        <v>394</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ref="K771:K802" si="24">$K$770</f>
        <v>Posgrado</v>
      </c>
      <c r="L771" s="98" t="s">
        <v>412</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4"/>
        <v>Posgrado</v>
      </c>
      <c r="L772" s="98" t="s">
        <v>395</v>
      </c>
    </row>
    <row r="773" spans="3:12" ht="15.75" thickBot="1" x14ac:dyDescent="0.3">
      <c r="C773" s="137" t="s">
        <v>483</v>
      </c>
      <c r="D773" s="199"/>
      <c r="E773" s="152">
        <v>12</v>
      </c>
      <c r="F773" s="305">
        <f>HLOOKUP($C773,$BZ$2:$CM$3,2,0)</f>
        <v>39703.99</v>
      </c>
      <c r="G773" s="113">
        <f>D773*E773*F773</f>
        <v>0</v>
      </c>
      <c r="H773" s="166"/>
      <c r="I773" s="114" t="s">
        <v>496</v>
      </c>
      <c r="J773" s="114" t="str">
        <f>VLOOKUP(I773,Presupuesto!$B$11:$C$565,2,0)</f>
        <v>SUELDOS Y SALARIOS PERMANENTES</v>
      </c>
      <c r="K773" s="98" t="str">
        <f t="shared" si="24"/>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4"/>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4"/>
        <v>Posgrado</v>
      </c>
      <c r="L775" s="98" t="s">
        <v>395</v>
      </c>
    </row>
    <row r="776" spans="3:12" ht="15.75" thickBot="1" x14ac:dyDescent="0.3">
      <c r="C776" s="137" t="s">
        <v>484</v>
      </c>
      <c r="D776" s="199"/>
      <c r="E776" s="152">
        <v>12</v>
      </c>
      <c r="F776" s="305">
        <f>HLOOKUP($C776,$BZ$2:$CM$3,2,0)</f>
        <v>35733.589999999997</v>
      </c>
      <c r="G776" s="113">
        <f>D776*E776*F776</f>
        <v>0</v>
      </c>
      <c r="H776" s="166"/>
      <c r="I776" s="114" t="s">
        <v>496</v>
      </c>
      <c r="J776" s="114" t="str">
        <f>VLOOKUP(I776,Presupuesto!$B$11:$C$565,2,0)</f>
        <v>SUELDOS Y SALARIOS PERMANENTES</v>
      </c>
      <c r="K776" s="98" t="str">
        <f t="shared" si="24"/>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4"/>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4"/>
        <v>Posgrado</v>
      </c>
      <c r="L778" s="98" t="s">
        <v>395</v>
      </c>
    </row>
    <row r="779" spans="3:12" ht="15.75" thickBot="1" x14ac:dyDescent="0.3">
      <c r="C779" s="137" t="s">
        <v>485</v>
      </c>
      <c r="D779" s="199"/>
      <c r="E779" s="152">
        <v>12</v>
      </c>
      <c r="F779" s="305">
        <f>HLOOKUP($C779,$BZ$2:$CM$3,2,0)</f>
        <v>31763.19</v>
      </c>
      <c r="G779" s="113">
        <f>D779*E779*F779</f>
        <v>0</v>
      </c>
      <c r="H779" s="166"/>
      <c r="I779" s="114" t="s">
        <v>496</v>
      </c>
      <c r="J779" s="114" t="str">
        <f>VLOOKUP(I779,Presupuesto!$B$11:$C$565,2,0)</f>
        <v>SUELDOS Y SALARIOS PERMANENTES</v>
      </c>
      <c r="K779" s="98" t="str">
        <f t="shared" si="24"/>
        <v>Posgrado</v>
      </c>
      <c r="L779" s="98" t="s">
        <v>395</v>
      </c>
    </row>
    <row r="780" spans="3:12" x14ac:dyDescent="0.25">
      <c r="C780" s="171" t="s">
        <v>58</v>
      </c>
      <c r="D780" s="163"/>
      <c r="E780" s="154">
        <v>0</v>
      </c>
      <c r="F780" s="100">
        <f>IF(E779=0,"",(G779/E779)/12*E779)</f>
        <v>0</v>
      </c>
      <c r="G780" s="97">
        <f>F780</f>
        <v>0</v>
      </c>
      <c r="H780" s="164"/>
      <c r="I780" s="116" t="s">
        <v>516</v>
      </c>
      <c r="J780" s="116" t="str">
        <f>VLOOKUP(I780,Presupuesto!$B$11:$C$565,2,0)</f>
        <v>AGUINALDO Y DECIMO CUARTO MES</v>
      </c>
      <c r="K780" s="98" t="str">
        <f t="shared" si="24"/>
        <v>Posgrado</v>
      </c>
      <c r="L780" s="98" t="s">
        <v>395</v>
      </c>
    </row>
    <row r="781" spans="3:12" ht="15.75" thickBot="1" x14ac:dyDescent="0.3">
      <c r="C781" s="172" t="s">
        <v>59</v>
      </c>
      <c r="D781" s="163"/>
      <c r="E781" s="154">
        <v>0</v>
      </c>
      <c r="F781" s="117">
        <f>IF(E779&lt;6,"",((E779-6)/12)*(G779/E779))</f>
        <v>0</v>
      </c>
      <c r="G781" s="97">
        <f>F781</f>
        <v>0</v>
      </c>
      <c r="H781" s="164"/>
      <c r="I781" s="101" t="s">
        <v>519</v>
      </c>
      <c r="J781" s="101" t="str">
        <f>VLOOKUP(I781,Presupuesto!$B$11:$C$565,2,0)</f>
        <v>DECIMOCUARTO MES</v>
      </c>
      <c r="K781" s="98" t="str">
        <f t="shared" si="24"/>
        <v>Posgrado</v>
      </c>
      <c r="L781" s="98" t="s">
        <v>395</v>
      </c>
    </row>
    <row r="782" spans="3:12" ht="15.75" thickBot="1" x14ac:dyDescent="0.3">
      <c r="C782" s="137" t="s">
        <v>486</v>
      </c>
      <c r="D782" s="199"/>
      <c r="E782" s="152">
        <v>12</v>
      </c>
      <c r="F782" s="305">
        <f>HLOOKUP($C782,$BZ$2:$CM$3,2,0)</f>
        <v>29777.99</v>
      </c>
      <c r="G782" s="113">
        <f>D782*E782*F782</f>
        <v>0</v>
      </c>
      <c r="H782" s="166"/>
      <c r="I782" s="114" t="s">
        <v>496</v>
      </c>
      <c r="J782" s="114" t="str">
        <f>VLOOKUP(I782,Presupuesto!$B$11:$C$565,2,0)</f>
        <v>SUELDOS Y SALARIOS PERMANENTES</v>
      </c>
      <c r="K782" s="98" t="str">
        <f t="shared" si="24"/>
        <v>Posgrado</v>
      </c>
      <c r="L782" s="98" t="s">
        <v>395</v>
      </c>
    </row>
    <row r="783" spans="3:12" x14ac:dyDescent="0.25">
      <c r="C783" s="171" t="s">
        <v>58</v>
      </c>
      <c r="D783" s="163"/>
      <c r="E783" s="154">
        <v>0</v>
      </c>
      <c r="F783" s="100">
        <f>IF(E782=0,"",(G782/E782)/12*E782)</f>
        <v>0</v>
      </c>
      <c r="G783" s="97">
        <f>F783</f>
        <v>0</v>
      </c>
      <c r="H783" s="164"/>
      <c r="I783" s="116" t="s">
        <v>516</v>
      </c>
      <c r="J783" s="116" t="str">
        <f>VLOOKUP(I783,Presupuesto!$B$11:$C$565,2,0)</f>
        <v>AGUINALDO Y DECIMO CUARTO MES</v>
      </c>
      <c r="K783" s="98" t="str">
        <f t="shared" si="24"/>
        <v>Posgrado</v>
      </c>
      <c r="L783" s="98" t="s">
        <v>395</v>
      </c>
    </row>
    <row r="784" spans="3:12" ht="15.75" thickBot="1" x14ac:dyDescent="0.3">
      <c r="C784" s="172" t="s">
        <v>59</v>
      </c>
      <c r="D784" s="163"/>
      <c r="E784" s="154">
        <v>0</v>
      </c>
      <c r="F784" s="117">
        <f>IF(E782&lt;6,"",((E782-6)/12)*(G782/E782))</f>
        <v>0</v>
      </c>
      <c r="G784" s="97">
        <f>F784</f>
        <v>0</v>
      </c>
      <c r="H784" s="164"/>
      <c r="I784" s="101" t="s">
        <v>519</v>
      </c>
      <c r="J784" s="101" t="str">
        <f>VLOOKUP(I784,Presupuesto!$B$11:$C$565,2,0)</f>
        <v>DECIMOCUARTO MES</v>
      </c>
      <c r="K784" s="98" t="str">
        <f t="shared" si="24"/>
        <v>Posgrado</v>
      </c>
      <c r="L784" s="98" t="s">
        <v>395</v>
      </c>
    </row>
    <row r="785" spans="3:12" ht="15.75" thickBot="1" x14ac:dyDescent="0.3">
      <c r="C785" s="137" t="s">
        <v>487</v>
      </c>
      <c r="D785" s="199"/>
      <c r="E785" s="152">
        <v>12</v>
      </c>
      <c r="F785" s="305">
        <f>HLOOKUP($C785,$BZ$2:$CM$3,2,0)</f>
        <v>27792.79</v>
      </c>
      <c r="G785" s="113">
        <f>D785*E785*F785</f>
        <v>0</v>
      </c>
      <c r="H785" s="166"/>
      <c r="I785" s="114" t="s">
        <v>496</v>
      </c>
      <c r="J785" s="114" t="str">
        <f>VLOOKUP(I785,Presupuesto!$B$11:$C$565,2,0)</f>
        <v>SUELDOS Y SALARIOS PERMANENTES</v>
      </c>
      <c r="K785" s="98" t="str">
        <f t="shared" si="24"/>
        <v>Posgrado</v>
      </c>
      <c r="L785" s="98" t="s">
        <v>395</v>
      </c>
    </row>
    <row r="786" spans="3:12" x14ac:dyDescent="0.25">
      <c r="C786" s="171" t="s">
        <v>58</v>
      </c>
      <c r="D786" s="163"/>
      <c r="E786" s="154">
        <v>0</v>
      </c>
      <c r="F786" s="100">
        <f>IF(E785=0,"",(G785/E785)/12*E785)</f>
        <v>0</v>
      </c>
      <c r="G786" s="97">
        <f>F786</f>
        <v>0</v>
      </c>
      <c r="H786" s="164"/>
      <c r="I786" s="116" t="s">
        <v>516</v>
      </c>
      <c r="J786" s="116" t="str">
        <f>VLOOKUP(I786,Presupuesto!$B$11:$C$565,2,0)</f>
        <v>AGUINALDO Y DECIMO CUARTO MES</v>
      </c>
      <c r="K786" s="98" t="str">
        <f t="shared" si="24"/>
        <v>Posgrado</v>
      </c>
      <c r="L786" s="98" t="s">
        <v>395</v>
      </c>
    </row>
    <row r="787" spans="3:12" ht="15.75" thickBot="1" x14ac:dyDescent="0.3">
      <c r="C787" s="172" t="s">
        <v>59</v>
      </c>
      <c r="D787" s="163"/>
      <c r="E787" s="154">
        <v>0</v>
      </c>
      <c r="F787" s="117">
        <f>IF(E785&lt;6,"",((E785-6)/12)*(G785/E785))</f>
        <v>0</v>
      </c>
      <c r="G787" s="97">
        <f>F787</f>
        <v>0</v>
      </c>
      <c r="H787" s="164"/>
      <c r="I787" s="101" t="s">
        <v>519</v>
      </c>
      <c r="J787" s="101" t="str">
        <f>VLOOKUP(I787,Presupuesto!$B$11:$C$565,2,0)</f>
        <v>DECIMOCUARTO MES</v>
      </c>
      <c r="K787" s="98" t="str">
        <f t="shared" si="24"/>
        <v>Posgrado</v>
      </c>
      <c r="L787" s="98" t="s">
        <v>395</v>
      </c>
    </row>
    <row r="788" spans="3:12" ht="15.75" thickBot="1" x14ac:dyDescent="0.3">
      <c r="C788" s="137" t="s">
        <v>488</v>
      </c>
      <c r="D788" s="199"/>
      <c r="E788" s="152">
        <v>12</v>
      </c>
      <c r="F788" s="305">
        <f>HLOOKUP($C788,$BZ$2:$CM$3,2,0)</f>
        <v>18859.39</v>
      </c>
      <c r="G788" s="113">
        <f>D788*E788*F788</f>
        <v>0</v>
      </c>
      <c r="H788" s="166"/>
      <c r="I788" s="114" t="s">
        <v>496</v>
      </c>
      <c r="J788" s="114" t="str">
        <f>VLOOKUP(I788,Presupuesto!$B$11:$C$565,2,0)</f>
        <v>SUELDOS Y SALARIOS PERMANENTES</v>
      </c>
      <c r="K788" s="98" t="str">
        <f t="shared" si="24"/>
        <v>Posgrado</v>
      </c>
      <c r="L788" s="98" t="s">
        <v>395</v>
      </c>
    </row>
    <row r="789" spans="3:12" x14ac:dyDescent="0.25">
      <c r="C789" s="171" t="s">
        <v>58</v>
      </c>
      <c r="D789" s="163"/>
      <c r="E789" s="154">
        <v>0</v>
      </c>
      <c r="F789" s="100">
        <f>IF(E788=0,"",(G788/E788)/12*E788)</f>
        <v>0</v>
      </c>
      <c r="G789" s="97">
        <f>F789</f>
        <v>0</v>
      </c>
      <c r="H789" s="164"/>
      <c r="I789" s="116" t="s">
        <v>516</v>
      </c>
      <c r="J789" s="116" t="str">
        <f>VLOOKUP(I789,Presupuesto!$B$11:$C$565,2,0)</f>
        <v>AGUINALDO Y DECIMO CUARTO MES</v>
      </c>
      <c r="K789" s="98" t="str">
        <f t="shared" si="24"/>
        <v>Posgrado</v>
      </c>
      <c r="L789" s="98" t="s">
        <v>395</v>
      </c>
    </row>
    <row r="790" spans="3:12" ht="15.75" thickBot="1" x14ac:dyDescent="0.3">
      <c r="C790" s="172" t="s">
        <v>59</v>
      </c>
      <c r="D790" s="163"/>
      <c r="E790" s="154">
        <v>0</v>
      </c>
      <c r="F790" s="117">
        <f>IF(E788&lt;6,"",((E788-6)/12)*(G788/E788))</f>
        <v>0</v>
      </c>
      <c r="G790" s="97">
        <f>F790</f>
        <v>0</v>
      </c>
      <c r="H790" s="164"/>
      <c r="I790" s="101" t="s">
        <v>519</v>
      </c>
      <c r="J790" s="101" t="str">
        <f>VLOOKUP(I790,Presupuesto!$B$11:$C$565,2,0)</f>
        <v>DECIMOCUARTO MES</v>
      </c>
      <c r="K790" s="98" t="str">
        <f t="shared" si="24"/>
        <v>Posgrado</v>
      </c>
      <c r="L790" s="98" t="s">
        <v>395</v>
      </c>
    </row>
    <row r="791" spans="3:12" ht="15.75" thickBot="1" x14ac:dyDescent="0.3">
      <c r="C791" s="137" t="s">
        <v>489</v>
      </c>
      <c r="D791" s="199"/>
      <c r="E791" s="152">
        <v>12</v>
      </c>
      <c r="F791" s="305">
        <f>HLOOKUP($C791,$BZ$2:$CM$3,2,0)</f>
        <v>17866.8</v>
      </c>
      <c r="G791" s="113">
        <f>D791*E791*F791</f>
        <v>0</v>
      </c>
      <c r="H791" s="166"/>
      <c r="I791" s="114" t="s">
        <v>496</v>
      </c>
      <c r="J791" s="114" t="str">
        <f>VLOOKUP(I791,Presupuesto!$B$11:$C$565,2,0)</f>
        <v>SUELDOS Y SALARIOS PERMANENTES</v>
      </c>
      <c r="K791" s="98" t="str">
        <f t="shared" si="24"/>
        <v>Posgrado</v>
      </c>
      <c r="L791" s="98" t="s">
        <v>395</v>
      </c>
    </row>
    <row r="792" spans="3:12" x14ac:dyDescent="0.25">
      <c r="C792" s="171" t="s">
        <v>58</v>
      </c>
      <c r="D792" s="163"/>
      <c r="E792" s="154">
        <v>0</v>
      </c>
      <c r="F792" s="100">
        <f>IF(E791=0,"",(G791/E791)/12*E791)</f>
        <v>0</v>
      </c>
      <c r="G792" s="97">
        <f>F792</f>
        <v>0</v>
      </c>
      <c r="H792" s="164"/>
      <c r="I792" s="116" t="s">
        <v>516</v>
      </c>
      <c r="J792" s="116" t="str">
        <f>VLOOKUP(I792,Presupuesto!$B$11:$C$565,2,0)</f>
        <v>AGUINALDO Y DECIMO CUARTO MES</v>
      </c>
      <c r="K792" s="98" t="str">
        <f t="shared" si="24"/>
        <v>Posgrado</v>
      </c>
      <c r="L792" s="98" t="s">
        <v>395</v>
      </c>
    </row>
    <row r="793" spans="3:12" ht="15.75" thickBot="1" x14ac:dyDescent="0.3">
      <c r="C793" s="172" t="s">
        <v>59</v>
      </c>
      <c r="D793" s="163"/>
      <c r="E793" s="154">
        <v>0</v>
      </c>
      <c r="F793" s="117">
        <f>IF(E791&lt;6,"",((E791-6)/12)*(G791/E791))</f>
        <v>0</v>
      </c>
      <c r="G793" s="97">
        <f>F793</f>
        <v>0</v>
      </c>
      <c r="H793" s="164"/>
      <c r="I793" s="101" t="s">
        <v>519</v>
      </c>
      <c r="J793" s="101" t="str">
        <f>VLOOKUP(I793,Presupuesto!$B$11:$C$565,2,0)</f>
        <v>DECIMOCUARTO MES</v>
      </c>
      <c r="K793" s="98" t="str">
        <f t="shared" si="24"/>
        <v>Posgrado</v>
      </c>
      <c r="L793" s="98" t="s">
        <v>395</v>
      </c>
    </row>
    <row r="794" spans="3:12" ht="15.75" thickBot="1" x14ac:dyDescent="0.3">
      <c r="C794" s="137" t="s">
        <v>490</v>
      </c>
      <c r="D794" s="199"/>
      <c r="E794" s="152">
        <v>12</v>
      </c>
      <c r="F794" s="305">
        <f>HLOOKUP($C794,$BZ$2:$CM$3,2,0)</f>
        <v>13896.4</v>
      </c>
      <c r="G794" s="113">
        <f>D794*E794*F794</f>
        <v>0</v>
      </c>
      <c r="H794" s="166"/>
      <c r="I794" s="114" t="s">
        <v>496</v>
      </c>
      <c r="J794" s="114" t="str">
        <f>VLOOKUP(I794,Presupuesto!$B$11:$C$565,2,0)</f>
        <v>SUELDOS Y SALARIOS PERMANENTES</v>
      </c>
      <c r="K794" s="98" t="str">
        <f t="shared" si="24"/>
        <v>Posgrado</v>
      </c>
      <c r="L794" s="98" t="s">
        <v>395</v>
      </c>
    </row>
    <row r="795" spans="3:12" x14ac:dyDescent="0.25">
      <c r="C795" s="171" t="s">
        <v>58</v>
      </c>
      <c r="D795" s="163"/>
      <c r="E795" s="154">
        <v>0</v>
      </c>
      <c r="F795" s="100">
        <f>IF(E794=0,"",(G794/E794)/12*E794)</f>
        <v>0</v>
      </c>
      <c r="G795" s="97">
        <f>F795</f>
        <v>0</v>
      </c>
      <c r="H795" s="164"/>
      <c r="I795" s="116" t="s">
        <v>516</v>
      </c>
      <c r="J795" s="116" t="str">
        <f>VLOOKUP(I795,Presupuesto!$B$11:$C$565,2,0)</f>
        <v>AGUINALDO Y DECIMO CUARTO MES</v>
      </c>
      <c r="K795" s="98" t="str">
        <f t="shared" si="24"/>
        <v>Posgrado</v>
      </c>
      <c r="L795" s="98" t="s">
        <v>395</v>
      </c>
    </row>
    <row r="796" spans="3:12" ht="15.75" thickBot="1" x14ac:dyDescent="0.3">
      <c r="C796" s="172" t="s">
        <v>59</v>
      </c>
      <c r="D796" s="163"/>
      <c r="E796" s="154">
        <v>0</v>
      </c>
      <c r="F796" s="117">
        <f>IF(E794&lt;6,"",((E794-6)/12)*(G794/E794))</f>
        <v>0</v>
      </c>
      <c r="G796" s="97">
        <f>F796</f>
        <v>0</v>
      </c>
      <c r="H796" s="164"/>
      <c r="I796" s="101" t="s">
        <v>519</v>
      </c>
      <c r="J796" s="101" t="str">
        <f>VLOOKUP(I796,Presupuesto!$B$11:$C$565,2,0)</f>
        <v>DECIMOCUARTO MES</v>
      </c>
      <c r="K796" s="98" t="str">
        <f t="shared" si="24"/>
        <v>Posgrado</v>
      </c>
      <c r="L796" s="98" t="s">
        <v>395</v>
      </c>
    </row>
    <row r="797" spans="3:12" ht="15.75" thickBot="1" x14ac:dyDescent="0.3">
      <c r="C797" s="137" t="s">
        <v>491</v>
      </c>
      <c r="D797" s="199"/>
      <c r="E797" s="152">
        <v>12</v>
      </c>
      <c r="F797" s="305">
        <f>HLOOKUP($C797,$BZ$2:$CM$3,2,0)</f>
        <v>15004.09</v>
      </c>
      <c r="G797" s="113">
        <f>D797*E797*F797</f>
        <v>0</v>
      </c>
      <c r="H797" s="166"/>
      <c r="I797" s="114" t="s">
        <v>496</v>
      </c>
      <c r="J797" s="114" t="str">
        <f>VLOOKUP(I797,Presupuesto!$B$11:$C$565,2,0)</f>
        <v>SUELDOS Y SALARIOS PERMANENTES</v>
      </c>
      <c r="K797" s="98" t="str">
        <f t="shared" si="24"/>
        <v>Posgrado</v>
      </c>
      <c r="L797" s="98" t="s">
        <v>395</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si="24"/>
        <v>Posgrado</v>
      </c>
      <c r="L798" s="98" t="s">
        <v>395</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4"/>
        <v>Posgrado</v>
      </c>
      <c r="L799" s="98" t="s">
        <v>395</v>
      </c>
    </row>
    <row r="800" spans="3:12" ht="15.75" thickBot="1" x14ac:dyDescent="0.3">
      <c r="C800" s="137" t="s">
        <v>492</v>
      </c>
      <c r="D800" s="199"/>
      <c r="E800" s="152">
        <v>12</v>
      </c>
      <c r="F800" s="305">
        <f>HLOOKUP($C800,$BZ$2:$CM$3,2,0)</f>
        <v>13238.9</v>
      </c>
      <c r="G800" s="113">
        <f>D800*E800*F800</f>
        <v>0</v>
      </c>
      <c r="H800" s="166"/>
      <c r="I800" s="114" t="s">
        <v>496</v>
      </c>
      <c r="J800" s="114" t="str">
        <f>VLOOKUP(I800,Presupuesto!$B$11:$C$565,2,0)</f>
        <v>SUELDOS Y SALARIOS PERMANENTES</v>
      </c>
      <c r="K800" s="98" t="str">
        <f t="shared" si="24"/>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4"/>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4"/>
        <v>Posgrado</v>
      </c>
      <c r="L802" s="98" t="s">
        <v>395</v>
      </c>
    </row>
    <row r="803" spans="3:12" ht="15.75" thickBot="1" x14ac:dyDescent="0.3">
      <c r="C803" s="137" t="s">
        <v>493</v>
      </c>
      <c r="D803" s="199"/>
      <c r="E803" s="152">
        <v>12</v>
      </c>
      <c r="F803" s="305">
        <f>HLOOKUP($C803,$BZ$2:$CM$3,2,0)</f>
        <v>12356.31</v>
      </c>
      <c r="G803" s="113">
        <f>D803*E803*F803</f>
        <v>0</v>
      </c>
      <c r="H803" s="166"/>
      <c r="I803" s="114" t="s">
        <v>496</v>
      </c>
      <c r="J803" s="114" t="str">
        <f>VLOOKUP(I803,Presupuesto!$B$11:$C$565,2,0)</f>
        <v>SUELDOS Y SALARIOS PERMANENTES</v>
      </c>
      <c r="K803" s="98" t="str">
        <f t="shared" ref="K803:K820" si="25">$K$770</f>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5"/>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5"/>
        <v>Posgrado</v>
      </c>
      <c r="L805" s="98" t="s">
        <v>395</v>
      </c>
    </row>
    <row r="806" spans="3:12" ht="15.75" thickBot="1" x14ac:dyDescent="0.3">
      <c r="C806" s="137" t="s">
        <v>494</v>
      </c>
      <c r="D806" s="199"/>
      <c r="E806" s="152">
        <v>12</v>
      </c>
      <c r="F806" s="305">
        <f>HLOOKUP($C806,$BZ$2:$CM$3,2,0)</f>
        <v>463.22</v>
      </c>
      <c r="G806" s="113">
        <f>D806*E806*F806</f>
        <v>0</v>
      </c>
      <c r="H806" s="166"/>
      <c r="I806" s="114" t="s">
        <v>496</v>
      </c>
      <c r="J806" s="114" t="str">
        <f>VLOOKUP(I806,Presupuesto!$B$11:$C$565,2,0)</f>
        <v>SUELDOS Y SALARIOS PERMANENTES</v>
      </c>
      <c r="K806" s="98" t="str">
        <f t="shared" si="25"/>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5"/>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5"/>
        <v>Posgrado</v>
      </c>
      <c r="L808" s="98" t="s">
        <v>395</v>
      </c>
    </row>
    <row r="809" spans="3:12" ht="15.75" thickBot="1" x14ac:dyDescent="0.3">
      <c r="C809" s="137" t="s">
        <v>495</v>
      </c>
      <c r="D809" s="199"/>
      <c r="E809" s="152">
        <v>12</v>
      </c>
      <c r="F809" s="305">
        <f>HLOOKUP($C809,$BZ$2:$CM$3,2,0)</f>
        <v>2007.3</v>
      </c>
      <c r="G809" s="113">
        <f>D809*E809*F809</f>
        <v>0</v>
      </c>
      <c r="H809" s="166"/>
      <c r="I809" s="114" t="s">
        <v>496</v>
      </c>
      <c r="J809" s="114" t="str">
        <f>VLOOKUP(I809,Presupuesto!$B$11:$C$565,2,0)</f>
        <v>SUELDOS Y SALARIOS PERMANENTES</v>
      </c>
      <c r="K809" s="98" t="str">
        <f t="shared" si="25"/>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5"/>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5"/>
        <v>Posgrado</v>
      </c>
      <c r="L811" s="98" t="s">
        <v>395</v>
      </c>
    </row>
    <row r="812" spans="3:12" ht="15.75" thickBot="1" x14ac:dyDescent="0.3">
      <c r="C812" s="140" t="s">
        <v>83</v>
      </c>
      <c r="D812" s="199"/>
      <c r="E812" s="152">
        <v>12</v>
      </c>
      <c r="F812" s="139">
        <v>30000</v>
      </c>
      <c r="G812" s="113">
        <f>D812*E812*F812</f>
        <v>0</v>
      </c>
      <c r="H812" s="166"/>
      <c r="I812" s="114" t="s">
        <v>564</v>
      </c>
      <c r="J812" s="114" t="str">
        <f>VLOOKUP(I812,Presupuesto!$B$11:$C$565,2,0)</f>
        <v>CONTRATOS ESPECIALES</v>
      </c>
      <c r="K812" s="98" t="str">
        <f t="shared" si="25"/>
        <v>Posgrado</v>
      </c>
      <c r="L812" s="98" t="s">
        <v>395</v>
      </c>
    </row>
    <row r="813" spans="3:12" x14ac:dyDescent="0.25">
      <c r="C813" s="171" t="s">
        <v>58</v>
      </c>
      <c r="D813" s="163"/>
      <c r="E813" s="154">
        <v>0</v>
      </c>
      <c r="F813" s="117">
        <f>IF(E812=0,"",(G812/E812)/12*E812)</f>
        <v>0</v>
      </c>
      <c r="G813" s="97">
        <f>F813</f>
        <v>0</v>
      </c>
      <c r="H813" s="164"/>
      <c r="I813" s="101" t="s">
        <v>564</v>
      </c>
      <c r="J813" s="101" t="str">
        <f>VLOOKUP(I813,Presupuesto!$B$11:$C$565,2,0)</f>
        <v>CONTRATOS ESPECIALES</v>
      </c>
      <c r="K813" s="98" t="str">
        <f t="shared" si="25"/>
        <v>Posgrado</v>
      </c>
      <c r="L813" s="98" t="s">
        <v>394</v>
      </c>
    </row>
    <row r="814" spans="3:12" ht="15.75" thickBot="1" x14ac:dyDescent="0.3">
      <c r="C814" s="172" t="s">
        <v>59</v>
      </c>
      <c r="D814" s="163"/>
      <c r="E814" s="154">
        <v>0</v>
      </c>
      <c r="F814" s="100">
        <f>IF(E812&lt;6,"",((E812-6)/12)*(G812/E812))</f>
        <v>0</v>
      </c>
      <c r="G814" s="97">
        <f>F814</f>
        <v>0</v>
      </c>
      <c r="H814" s="164"/>
      <c r="I814" s="101" t="s">
        <v>564</v>
      </c>
      <c r="J814" s="101" t="str">
        <f>VLOOKUP(I814,Presupuesto!$B$11:$C$565,2,0)</f>
        <v>CONTRATOS ESPECIALES</v>
      </c>
      <c r="K814" s="98" t="str">
        <f t="shared" si="25"/>
        <v>Posgrado</v>
      </c>
      <c r="L814" s="98" t="s">
        <v>399</v>
      </c>
    </row>
    <row r="815" spans="3:12" ht="15.75" thickBot="1" x14ac:dyDescent="0.3">
      <c r="C815" s="140" t="s">
        <v>60</v>
      </c>
      <c r="D815" s="199"/>
      <c r="E815" s="152">
        <v>12</v>
      </c>
      <c r="F815" s="118">
        <v>30000</v>
      </c>
      <c r="G815" s="113">
        <f>D815*E815*F815</f>
        <v>0</v>
      </c>
      <c r="H815" s="166"/>
      <c r="I815" s="114" t="s">
        <v>705</v>
      </c>
      <c r="J815" s="114" t="str">
        <f>VLOOKUP(I815,Presupuesto!$B$11:$C$565,2,0)</f>
        <v>OTROS SERVICIOS TECNICOS Y PROFESIONALES</v>
      </c>
      <c r="K815" s="98" t="str">
        <f t="shared" si="25"/>
        <v>Posgrado</v>
      </c>
      <c r="L815" s="98" t="s">
        <v>394</v>
      </c>
    </row>
    <row r="816" spans="3:12" x14ac:dyDescent="0.25">
      <c r="C816" s="171" t="s">
        <v>58</v>
      </c>
      <c r="D816" s="163"/>
      <c r="E816" s="154">
        <v>0</v>
      </c>
      <c r="F816" s="100">
        <v>0</v>
      </c>
      <c r="G816" s="97">
        <f>F816</f>
        <v>0</v>
      </c>
      <c r="H816" s="164"/>
      <c r="I816" s="101" t="s">
        <v>705</v>
      </c>
      <c r="J816" s="101" t="str">
        <f>VLOOKUP(I816,Presupuesto!$B$11:$C$565,2,0)</f>
        <v>OTROS SERVICIOS TECNICOS Y PROFESIONALES</v>
      </c>
      <c r="K816" s="98" t="str">
        <f t="shared" si="25"/>
        <v>Posgrado</v>
      </c>
      <c r="L816" s="98" t="s">
        <v>394</v>
      </c>
    </row>
    <row r="817" spans="3:12" ht="15.75" thickBot="1" x14ac:dyDescent="0.3">
      <c r="C817" s="172" t="s">
        <v>59</v>
      </c>
      <c r="D817" s="163"/>
      <c r="E817" s="154">
        <v>0</v>
      </c>
      <c r="F817" s="100">
        <v>0</v>
      </c>
      <c r="G817" s="97">
        <f>F817</f>
        <v>0</v>
      </c>
      <c r="H817" s="164"/>
      <c r="I817" s="101" t="s">
        <v>705</v>
      </c>
      <c r="J817" s="101" t="str">
        <f>VLOOKUP(I817,Presupuesto!$B$11:$C$565,2,0)</f>
        <v>OTROS SERVICIOS TECNICOS Y PROFESIONALES</v>
      </c>
      <c r="K817" s="98" t="str">
        <f t="shared" si="25"/>
        <v>Posgrado</v>
      </c>
      <c r="L817" s="98" t="s">
        <v>394</v>
      </c>
    </row>
    <row r="818" spans="3:12" ht="15.75" thickBot="1" x14ac:dyDescent="0.3">
      <c r="C818" s="140" t="s">
        <v>61</v>
      </c>
      <c r="D818" s="199"/>
      <c r="E818" s="152">
        <v>12</v>
      </c>
      <c r="F818" s="118">
        <v>30000</v>
      </c>
      <c r="G818" s="113">
        <f>D818*E818*F818</f>
        <v>0</v>
      </c>
      <c r="H818" s="166"/>
      <c r="I818" s="114" t="s">
        <v>496</v>
      </c>
      <c r="J818" s="114" t="str">
        <f>VLOOKUP(I818,Presupuesto!$B$11:$C$565,2,0)</f>
        <v>SUELDOS Y SALARIOS PERMANENTES</v>
      </c>
      <c r="K818" s="98" t="str">
        <f t="shared" si="25"/>
        <v>Posgrado</v>
      </c>
      <c r="L818" s="98" t="s">
        <v>394</v>
      </c>
    </row>
    <row r="819" spans="3:12" x14ac:dyDescent="0.25">
      <c r="C819" s="171" t="s">
        <v>58</v>
      </c>
      <c r="D819" s="169"/>
      <c r="E819" s="131">
        <v>0</v>
      </c>
      <c r="F819" s="119">
        <f>IF(E818=0,"",(G818/E818)/12*E818)</f>
        <v>0</v>
      </c>
      <c r="G819" s="120">
        <f>F819</f>
        <v>0</v>
      </c>
      <c r="H819" s="164"/>
      <c r="I819" s="101" t="s">
        <v>516</v>
      </c>
      <c r="J819" s="101" t="str">
        <f>VLOOKUP(I819,Presupuesto!$B$11:$C$565,2,0)</f>
        <v>AGUINALDO Y DECIMO CUARTO MES</v>
      </c>
      <c r="K819" s="98" t="str">
        <f t="shared" si="25"/>
        <v>Posgrado</v>
      </c>
      <c r="L819" s="98" t="s">
        <v>394</v>
      </c>
    </row>
    <row r="820" spans="3:12" ht="15.75" thickBot="1" x14ac:dyDescent="0.3">
      <c r="C820" s="173" t="s">
        <v>59</v>
      </c>
      <c r="D820" s="162"/>
      <c r="E820" s="132">
        <v>0</v>
      </c>
      <c r="F820" s="105">
        <f>IF(E818&lt;6,"",((E818-6)/12)*(G818/E818))</f>
        <v>0</v>
      </c>
      <c r="G820" s="105">
        <f>F820</f>
        <v>0</v>
      </c>
      <c r="H820" s="162"/>
      <c r="I820" s="106" t="s">
        <v>519</v>
      </c>
      <c r="J820" s="124" t="str">
        <f>VLOOKUP(I820,Presupuesto!$B$11:$C$565,2,0)</f>
        <v>DECIMOCUARTO MES</v>
      </c>
      <c r="K820" s="106" t="str">
        <f t="shared" si="25"/>
        <v>Posgrado</v>
      </c>
      <c r="L820" s="124" t="s">
        <v>394</v>
      </c>
    </row>
    <row r="822" spans="3:12" ht="15.75" thickBot="1" x14ac:dyDescent="0.3"/>
    <row r="823" spans="3:12" ht="15.75" thickBot="1" x14ac:dyDescent="0.3">
      <c r="C823" s="69" t="s">
        <v>43</v>
      </c>
      <c r="D823" s="30">
        <f>SUM(G830:G880)</f>
        <v>0</v>
      </c>
      <c r="E823" s="93"/>
      <c r="F823" s="93"/>
      <c r="G823" s="93"/>
      <c r="H823" s="76"/>
      <c r="I823" s="76"/>
      <c r="J823" s="76"/>
    </row>
    <row r="824" spans="3:12" x14ac:dyDescent="0.25">
      <c r="D824" s="31"/>
      <c r="E824" s="93"/>
      <c r="F824" s="93"/>
      <c r="G824" s="93"/>
      <c r="H824" s="76"/>
      <c r="I824" s="76"/>
      <c r="J824" s="76"/>
    </row>
    <row r="825" spans="3:12" x14ac:dyDescent="0.25">
      <c r="D825" s="31"/>
      <c r="E825" s="93"/>
      <c r="F825" s="93"/>
      <c r="G825" s="93"/>
      <c r="H825" s="76"/>
      <c r="I825" s="76"/>
      <c r="J825" s="76"/>
    </row>
    <row r="826" spans="3:12" ht="15.75" x14ac:dyDescent="0.25">
      <c r="C826" s="202" t="s">
        <v>392</v>
      </c>
      <c r="D826" s="370"/>
      <c r="E826" s="93"/>
      <c r="F826" s="93"/>
      <c r="G826" s="93"/>
      <c r="H826" s="76"/>
      <c r="I826" s="76"/>
      <c r="J826" s="76"/>
      <c r="K826" s="153"/>
    </row>
    <row r="827" spans="3:12" ht="18.75" x14ac:dyDescent="0.25">
      <c r="C827" s="211" t="e">
        <f>IFERROR(VLOOKUP(D826,'1. Desarrollo e Innov. Curricu.'!$E:$F,2,FALSE),IFERROR(VLOOKUP(D826,'2. Investigación Científica'!$E:$F,2,FALSE),IFERROR(VLOOKUP(D826,'3. Vinculación Univ. Sociedad'!$E:$F,2,FALSE),IFERROR(VLOOKUP(D826,'4. Docencia y Profesorado Univ.'!$E:$F,2,FALSE),IFERROR(VLOOKUP(D826,'5. Estudiantes y Graduados'!$E:$F,2,FALSE),IFERROR(VLOOKUP(D826,'11. Gestion Administrativa'!$E:$F,2,FALSE),IFERROR(VLOOKUP(D826,'13. Gestión Académica'!$E:$F,2,FALSE),IFERROR(VLOOKUP(D826,'8. Asegura. de la Calid. y M'!$E:$F,2,FALSE),IFERROR(VLOOKUP(D826,'6. Gestión del Conocimiento'!$E:$F,2,FALSE),IFERROR(VLOOKUP(D826,'15. Gobernabilidad y Proceso...'!$E:$F,2,FALSE),IFERROR(VLOOKUP(D826,'12. Gestión del Talento Humano'!$E:$F,2,FALSE),IFERROR(VLOOKUP(D826,'14. Internacional... de la E.S.'!$E:$F,2,FALSE),IFERROR(VLOOKUP(D826,'10. Posgrado'!$E:$F,2,FALSE),IFERROR(VLOOKUP(D826,'17. Gestión TIC'!$E:$F,2,FALSE),IFERROR(VLOOKUP(D826,'16. Desa. del Sistema Educ.Sup.'!$E:$F,2,FALSE),IFERROR(VLOOKUP(D826,'9. Cultura de Inno. Insti...'!$E:$F,2,FALSE),VLOOKUP(D826,'7. Lo Esencial de la Reforma U.'!$E:$F,2,0)))))))))))))))))</f>
        <v>#N/A</v>
      </c>
      <c r="D827" s="31"/>
      <c r="E827" s="93"/>
      <c r="F827" s="93"/>
      <c r="G827" s="93"/>
      <c r="H827" s="76"/>
      <c r="I827" s="76"/>
      <c r="J827" s="76"/>
      <c r="K827" s="153"/>
    </row>
    <row r="828" spans="3:12" ht="15.75" thickBot="1" x14ac:dyDescent="0.3">
      <c r="C828" s="177"/>
      <c r="D828" s="31"/>
      <c r="E828" s="93"/>
      <c r="F828" s="93"/>
      <c r="G828" s="93"/>
      <c r="H828" s="76"/>
      <c r="I828" s="76"/>
      <c r="J828" s="76"/>
      <c r="K828" s="153"/>
    </row>
    <row r="829" spans="3:12" ht="30.75" thickBot="1" x14ac:dyDescent="0.3">
      <c r="C829" s="134" t="s">
        <v>44</v>
      </c>
      <c r="D829" s="138" t="s">
        <v>55</v>
      </c>
      <c r="E829" s="170" t="s">
        <v>56</v>
      </c>
      <c r="F829" s="138" t="s">
        <v>57</v>
      </c>
      <c r="G829" s="135" t="s">
        <v>27</v>
      </c>
      <c r="H829" s="133" t="s">
        <v>131</v>
      </c>
      <c r="I829" s="136" t="s">
        <v>46</v>
      </c>
      <c r="J829" s="136" t="s">
        <v>132</v>
      </c>
      <c r="K829" s="136" t="s">
        <v>410</v>
      </c>
      <c r="L829" s="136" t="s">
        <v>411</v>
      </c>
    </row>
    <row r="830" spans="3:12" ht="15.75" thickBot="1" x14ac:dyDescent="0.3">
      <c r="C830" s="137" t="s">
        <v>482</v>
      </c>
      <c r="D830" s="199"/>
      <c r="E830" s="152">
        <v>12</v>
      </c>
      <c r="F830" s="305">
        <f>HLOOKUP($C830,$BZ$2:$CM$3,2,0)</f>
        <v>43674.39</v>
      </c>
      <c r="G830" s="113">
        <f>D830*E830*F830</f>
        <v>0</v>
      </c>
      <c r="H830" s="166"/>
      <c r="I830" s="114" t="s">
        <v>496</v>
      </c>
      <c r="J830" s="114" t="str">
        <f>VLOOKUP(I830,Presupuesto!$B$11:$C$565,2,0)</f>
        <v>SUELDOS Y SALARIOS PERMANENTES</v>
      </c>
      <c r="K830" s="219" t="s">
        <v>1454</v>
      </c>
      <c r="L830" s="98" t="s">
        <v>394</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ref="K831:K862" si="26">$K$830</f>
        <v>Posgrado</v>
      </c>
      <c r="L831" s="98" t="s">
        <v>412</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6"/>
        <v>Posgrado</v>
      </c>
      <c r="L832" s="98" t="s">
        <v>395</v>
      </c>
    </row>
    <row r="833" spans="3:12" ht="15.75" thickBot="1" x14ac:dyDescent="0.3">
      <c r="C833" s="137" t="s">
        <v>483</v>
      </c>
      <c r="D833" s="199"/>
      <c r="E833" s="152">
        <v>12</v>
      </c>
      <c r="F833" s="305">
        <f>HLOOKUP($C833,$BZ$2:$CM$3,2,0)</f>
        <v>39703.99</v>
      </c>
      <c r="G833" s="113">
        <f>D833*E833*F833</f>
        <v>0</v>
      </c>
      <c r="H833" s="166"/>
      <c r="I833" s="114" t="s">
        <v>496</v>
      </c>
      <c r="J833" s="114" t="str">
        <f>VLOOKUP(I833,Presupuesto!$B$11:$C$565,2,0)</f>
        <v>SUELDOS Y SALARIOS PERMANENTES</v>
      </c>
      <c r="K833" s="98" t="str">
        <f t="shared" si="26"/>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6"/>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6"/>
        <v>Posgrado</v>
      </c>
      <c r="L835" s="98" t="s">
        <v>395</v>
      </c>
    </row>
    <row r="836" spans="3:12" ht="15.75" thickBot="1" x14ac:dyDescent="0.3">
      <c r="C836" s="137" t="s">
        <v>484</v>
      </c>
      <c r="D836" s="199"/>
      <c r="E836" s="152">
        <v>12</v>
      </c>
      <c r="F836" s="305">
        <f>HLOOKUP($C836,$BZ$2:$CM$3,2,0)</f>
        <v>35733.589999999997</v>
      </c>
      <c r="G836" s="113">
        <f>D836*E836*F836</f>
        <v>0</v>
      </c>
      <c r="H836" s="166"/>
      <c r="I836" s="114" t="s">
        <v>496</v>
      </c>
      <c r="J836" s="114" t="str">
        <f>VLOOKUP(I836,Presupuesto!$B$11:$C$565,2,0)</f>
        <v>SUELDOS Y SALARIOS PERMANENTES</v>
      </c>
      <c r="K836" s="98" t="str">
        <f t="shared" si="26"/>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6"/>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6"/>
        <v>Posgrado</v>
      </c>
      <c r="L838" s="98" t="s">
        <v>395</v>
      </c>
    </row>
    <row r="839" spans="3:12" ht="15.75" thickBot="1" x14ac:dyDescent="0.3">
      <c r="C839" s="137" t="s">
        <v>485</v>
      </c>
      <c r="D839" s="199"/>
      <c r="E839" s="152">
        <v>12</v>
      </c>
      <c r="F839" s="305">
        <f>HLOOKUP($C839,$BZ$2:$CM$3,2,0)</f>
        <v>31763.19</v>
      </c>
      <c r="G839" s="113">
        <f>D839*E839*F839</f>
        <v>0</v>
      </c>
      <c r="H839" s="166"/>
      <c r="I839" s="114" t="s">
        <v>496</v>
      </c>
      <c r="J839" s="114" t="str">
        <f>VLOOKUP(I839,Presupuesto!$B$11:$C$565,2,0)</f>
        <v>SUELDOS Y SALARIOS PERMANENTES</v>
      </c>
      <c r="K839" s="98" t="str">
        <f t="shared" si="26"/>
        <v>Posgrado</v>
      </c>
      <c r="L839" s="98" t="s">
        <v>395</v>
      </c>
    </row>
    <row r="840" spans="3:12" x14ac:dyDescent="0.25">
      <c r="C840" s="171" t="s">
        <v>58</v>
      </c>
      <c r="D840" s="163"/>
      <c r="E840" s="154">
        <v>0</v>
      </c>
      <c r="F840" s="100">
        <f>IF(E839=0,"",(G839/E839)/12*E839)</f>
        <v>0</v>
      </c>
      <c r="G840" s="97">
        <f>F840</f>
        <v>0</v>
      </c>
      <c r="H840" s="164"/>
      <c r="I840" s="116" t="s">
        <v>516</v>
      </c>
      <c r="J840" s="116" t="str">
        <f>VLOOKUP(I840,Presupuesto!$B$11:$C$565,2,0)</f>
        <v>AGUINALDO Y DECIMO CUARTO MES</v>
      </c>
      <c r="K840" s="98" t="str">
        <f t="shared" si="26"/>
        <v>Posgrado</v>
      </c>
      <c r="L840" s="98" t="s">
        <v>395</v>
      </c>
    </row>
    <row r="841" spans="3:12" ht="15.75" thickBot="1" x14ac:dyDescent="0.3">
      <c r="C841" s="172" t="s">
        <v>59</v>
      </c>
      <c r="D841" s="163"/>
      <c r="E841" s="154">
        <v>0</v>
      </c>
      <c r="F841" s="117">
        <f>IF(E839&lt;6,"",((E839-6)/12)*(G839/E839))</f>
        <v>0</v>
      </c>
      <c r="G841" s="97">
        <f>F841</f>
        <v>0</v>
      </c>
      <c r="H841" s="164"/>
      <c r="I841" s="101" t="s">
        <v>519</v>
      </c>
      <c r="J841" s="101" t="str">
        <f>VLOOKUP(I841,Presupuesto!$B$11:$C$565,2,0)</f>
        <v>DECIMOCUARTO MES</v>
      </c>
      <c r="K841" s="98" t="str">
        <f t="shared" si="26"/>
        <v>Posgrado</v>
      </c>
      <c r="L841" s="98" t="s">
        <v>395</v>
      </c>
    </row>
    <row r="842" spans="3:12" ht="15.75" thickBot="1" x14ac:dyDescent="0.3">
      <c r="C842" s="137" t="s">
        <v>486</v>
      </c>
      <c r="D842" s="199"/>
      <c r="E842" s="152">
        <v>12</v>
      </c>
      <c r="F842" s="305">
        <f>HLOOKUP($C842,$BZ$2:$CM$3,2,0)</f>
        <v>29777.99</v>
      </c>
      <c r="G842" s="113">
        <f>D842*E842*F842</f>
        <v>0</v>
      </c>
      <c r="H842" s="166"/>
      <c r="I842" s="114" t="s">
        <v>496</v>
      </c>
      <c r="J842" s="114" t="str">
        <f>VLOOKUP(I842,Presupuesto!$B$11:$C$565,2,0)</f>
        <v>SUELDOS Y SALARIOS PERMANENTES</v>
      </c>
      <c r="K842" s="98" t="str">
        <f t="shared" si="26"/>
        <v>Posgrado</v>
      </c>
      <c r="L842" s="98" t="s">
        <v>395</v>
      </c>
    </row>
    <row r="843" spans="3:12" x14ac:dyDescent="0.25">
      <c r="C843" s="171" t="s">
        <v>58</v>
      </c>
      <c r="D843" s="163"/>
      <c r="E843" s="154">
        <v>0</v>
      </c>
      <c r="F843" s="100">
        <f>IF(E842=0,"",(G842/E842)/12*E842)</f>
        <v>0</v>
      </c>
      <c r="G843" s="97">
        <f>F843</f>
        <v>0</v>
      </c>
      <c r="H843" s="164"/>
      <c r="I843" s="116" t="s">
        <v>516</v>
      </c>
      <c r="J843" s="116" t="str">
        <f>VLOOKUP(I843,Presupuesto!$B$11:$C$565,2,0)</f>
        <v>AGUINALDO Y DECIMO CUARTO MES</v>
      </c>
      <c r="K843" s="98" t="str">
        <f t="shared" si="26"/>
        <v>Posgrado</v>
      </c>
      <c r="L843" s="98" t="s">
        <v>395</v>
      </c>
    </row>
    <row r="844" spans="3:12" ht="15.75" thickBot="1" x14ac:dyDescent="0.3">
      <c r="C844" s="172" t="s">
        <v>59</v>
      </c>
      <c r="D844" s="163"/>
      <c r="E844" s="154">
        <v>0</v>
      </c>
      <c r="F844" s="117">
        <f>IF(E842&lt;6,"",((E842-6)/12)*(G842/E842))</f>
        <v>0</v>
      </c>
      <c r="G844" s="97">
        <f>F844</f>
        <v>0</v>
      </c>
      <c r="H844" s="164"/>
      <c r="I844" s="101" t="s">
        <v>519</v>
      </c>
      <c r="J844" s="101" t="str">
        <f>VLOOKUP(I844,Presupuesto!$B$11:$C$565,2,0)</f>
        <v>DECIMOCUARTO MES</v>
      </c>
      <c r="K844" s="98" t="str">
        <f t="shared" si="26"/>
        <v>Posgrado</v>
      </c>
      <c r="L844" s="98" t="s">
        <v>395</v>
      </c>
    </row>
    <row r="845" spans="3:12" ht="15.75" thickBot="1" x14ac:dyDescent="0.3">
      <c r="C845" s="137" t="s">
        <v>487</v>
      </c>
      <c r="D845" s="199"/>
      <c r="E845" s="152">
        <v>12</v>
      </c>
      <c r="F845" s="305">
        <f>HLOOKUP($C845,$BZ$2:$CM$3,2,0)</f>
        <v>27792.79</v>
      </c>
      <c r="G845" s="113">
        <f>D845*E845*F845</f>
        <v>0</v>
      </c>
      <c r="H845" s="166"/>
      <c r="I845" s="114" t="s">
        <v>496</v>
      </c>
      <c r="J845" s="114" t="str">
        <f>VLOOKUP(I845,Presupuesto!$B$11:$C$565,2,0)</f>
        <v>SUELDOS Y SALARIOS PERMANENTES</v>
      </c>
      <c r="K845" s="98" t="str">
        <f t="shared" si="26"/>
        <v>Posgrado</v>
      </c>
      <c r="L845" s="98" t="s">
        <v>395</v>
      </c>
    </row>
    <row r="846" spans="3:12" x14ac:dyDescent="0.25">
      <c r="C846" s="171" t="s">
        <v>58</v>
      </c>
      <c r="D846" s="163"/>
      <c r="E846" s="154">
        <v>0</v>
      </c>
      <c r="F846" s="100">
        <f>IF(E845=0,"",(G845/E845)/12*E845)</f>
        <v>0</v>
      </c>
      <c r="G846" s="97">
        <f>F846</f>
        <v>0</v>
      </c>
      <c r="H846" s="164"/>
      <c r="I846" s="116" t="s">
        <v>516</v>
      </c>
      <c r="J846" s="116" t="str">
        <f>VLOOKUP(I846,Presupuesto!$B$11:$C$565,2,0)</f>
        <v>AGUINALDO Y DECIMO CUARTO MES</v>
      </c>
      <c r="K846" s="98" t="str">
        <f t="shared" si="26"/>
        <v>Posgrado</v>
      </c>
      <c r="L846" s="98" t="s">
        <v>395</v>
      </c>
    </row>
    <row r="847" spans="3:12" ht="15.75" thickBot="1" x14ac:dyDescent="0.3">
      <c r="C847" s="172" t="s">
        <v>59</v>
      </c>
      <c r="D847" s="163"/>
      <c r="E847" s="154">
        <v>0</v>
      </c>
      <c r="F847" s="117">
        <f>IF(E845&lt;6,"",((E845-6)/12)*(G845/E845))</f>
        <v>0</v>
      </c>
      <c r="G847" s="97">
        <f>F847</f>
        <v>0</v>
      </c>
      <c r="H847" s="164"/>
      <c r="I847" s="101" t="s">
        <v>519</v>
      </c>
      <c r="J847" s="101" t="str">
        <f>VLOOKUP(I847,Presupuesto!$B$11:$C$565,2,0)</f>
        <v>DECIMOCUARTO MES</v>
      </c>
      <c r="K847" s="98" t="str">
        <f t="shared" si="26"/>
        <v>Posgrado</v>
      </c>
      <c r="L847" s="98" t="s">
        <v>395</v>
      </c>
    </row>
    <row r="848" spans="3:12" ht="15.75" thickBot="1" x14ac:dyDescent="0.3">
      <c r="C848" s="137" t="s">
        <v>488</v>
      </c>
      <c r="D848" s="199"/>
      <c r="E848" s="152">
        <v>12</v>
      </c>
      <c r="F848" s="305">
        <f>HLOOKUP($C848,$BZ$2:$CM$3,2,0)</f>
        <v>18859.39</v>
      </c>
      <c r="G848" s="113">
        <f>D848*E848*F848</f>
        <v>0</v>
      </c>
      <c r="H848" s="166"/>
      <c r="I848" s="114" t="s">
        <v>496</v>
      </c>
      <c r="J848" s="114" t="str">
        <f>VLOOKUP(I848,Presupuesto!$B$11:$C$565,2,0)</f>
        <v>SUELDOS Y SALARIOS PERMANENTES</v>
      </c>
      <c r="K848" s="98" t="str">
        <f t="shared" si="26"/>
        <v>Posgrado</v>
      </c>
      <c r="L848" s="98" t="s">
        <v>395</v>
      </c>
    </row>
    <row r="849" spans="3:12" x14ac:dyDescent="0.25">
      <c r="C849" s="171" t="s">
        <v>58</v>
      </c>
      <c r="D849" s="163"/>
      <c r="E849" s="154">
        <v>0</v>
      </c>
      <c r="F849" s="100">
        <f>IF(E848=0,"",(G848/E848)/12*E848)</f>
        <v>0</v>
      </c>
      <c r="G849" s="97">
        <f>F849</f>
        <v>0</v>
      </c>
      <c r="H849" s="164"/>
      <c r="I849" s="116" t="s">
        <v>516</v>
      </c>
      <c r="J849" s="116" t="str">
        <f>VLOOKUP(I849,Presupuesto!$B$11:$C$565,2,0)</f>
        <v>AGUINALDO Y DECIMO CUARTO MES</v>
      </c>
      <c r="K849" s="98" t="str">
        <f t="shared" si="26"/>
        <v>Posgrado</v>
      </c>
      <c r="L849" s="98" t="s">
        <v>395</v>
      </c>
    </row>
    <row r="850" spans="3:12" ht="15.75" thickBot="1" x14ac:dyDescent="0.3">
      <c r="C850" s="172" t="s">
        <v>59</v>
      </c>
      <c r="D850" s="163"/>
      <c r="E850" s="154">
        <v>0</v>
      </c>
      <c r="F850" s="117">
        <f>IF(E848&lt;6,"",((E848-6)/12)*(G848/E848))</f>
        <v>0</v>
      </c>
      <c r="G850" s="97">
        <f>F850</f>
        <v>0</v>
      </c>
      <c r="H850" s="164"/>
      <c r="I850" s="101" t="s">
        <v>519</v>
      </c>
      <c r="J850" s="101" t="str">
        <f>VLOOKUP(I850,Presupuesto!$B$11:$C$565,2,0)</f>
        <v>DECIMOCUARTO MES</v>
      </c>
      <c r="K850" s="98" t="str">
        <f t="shared" si="26"/>
        <v>Posgrado</v>
      </c>
      <c r="L850" s="98" t="s">
        <v>395</v>
      </c>
    </row>
    <row r="851" spans="3:12" ht="15.75" thickBot="1" x14ac:dyDescent="0.3">
      <c r="C851" s="137" t="s">
        <v>489</v>
      </c>
      <c r="D851" s="199"/>
      <c r="E851" s="152">
        <v>12</v>
      </c>
      <c r="F851" s="305">
        <f>HLOOKUP($C851,$BZ$2:$CM$3,2,0)</f>
        <v>17866.8</v>
      </c>
      <c r="G851" s="113">
        <f>D851*E851*F851</f>
        <v>0</v>
      </c>
      <c r="H851" s="166"/>
      <c r="I851" s="114" t="s">
        <v>496</v>
      </c>
      <c r="J851" s="114" t="str">
        <f>VLOOKUP(I851,Presupuesto!$B$11:$C$565,2,0)</f>
        <v>SUELDOS Y SALARIOS PERMANENTES</v>
      </c>
      <c r="K851" s="98" t="str">
        <f t="shared" si="26"/>
        <v>Posgrado</v>
      </c>
      <c r="L851" s="98" t="s">
        <v>395</v>
      </c>
    </row>
    <row r="852" spans="3:12" x14ac:dyDescent="0.25">
      <c r="C852" s="171" t="s">
        <v>58</v>
      </c>
      <c r="D852" s="163"/>
      <c r="E852" s="154">
        <v>0</v>
      </c>
      <c r="F852" s="100">
        <f>IF(E851=0,"",(G851/E851)/12*E851)</f>
        <v>0</v>
      </c>
      <c r="G852" s="97">
        <f>F852</f>
        <v>0</v>
      </c>
      <c r="H852" s="164"/>
      <c r="I852" s="116" t="s">
        <v>516</v>
      </c>
      <c r="J852" s="116" t="str">
        <f>VLOOKUP(I852,Presupuesto!$B$11:$C$565,2,0)</f>
        <v>AGUINALDO Y DECIMO CUARTO MES</v>
      </c>
      <c r="K852" s="98" t="str">
        <f t="shared" si="26"/>
        <v>Posgrado</v>
      </c>
      <c r="L852" s="98" t="s">
        <v>395</v>
      </c>
    </row>
    <row r="853" spans="3:12" ht="15.75" thickBot="1" x14ac:dyDescent="0.3">
      <c r="C853" s="172" t="s">
        <v>59</v>
      </c>
      <c r="D853" s="163"/>
      <c r="E853" s="154">
        <v>0</v>
      </c>
      <c r="F853" s="117">
        <f>IF(E851&lt;6,"",((E851-6)/12)*(G851/E851))</f>
        <v>0</v>
      </c>
      <c r="G853" s="97">
        <f>F853</f>
        <v>0</v>
      </c>
      <c r="H853" s="164"/>
      <c r="I853" s="101" t="s">
        <v>519</v>
      </c>
      <c r="J853" s="101" t="str">
        <f>VLOOKUP(I853,Presupuesto!$B$11:$C$565,2,0)</f>
        <v>DECIMOCUARTO MES</v>
      </c>
      <c r="K853" s="98" t="str">
        <f t="shared" si="26"/>
        <v>Posgrado</v>
      </c>
      <c r="L853" s="98" t="s">
        <v>395</v>
      </c>
    </row>
    <row r="854" spans="3:12" ht="15.75" thickBot="1" x14ac:dyDescent="0.3">
      <c r="C854" s="137" t="s">
        <v>490</v>
      </c>
      <c r="D854" s="199"/>
      <c r="E854" s="152">
        <v>12</v>
      </c>
      <c r="F854" s="305">
        <f>HLOOKUP($C854,$BZ$2:$CM$3,2,0)</f>
        <v>13896.4</v>
      </c>
      <c r="G854" s="113">
        <f>D854*E854*F854</f>
        <v>0</v>
      </c>
      <c r="H854" s="166"/>
      <c r="I854" s="114" t="s">
        <v>496</v>
      </c>
      <c r="J854" s="114" t="str">
        <f>VLOOKUP(I854,Presupuesto!$B$11:$C$565,2,0)</f>
        <v>SUELDOS Y SALARIOS PERMANENTES</v>
      </c>
      <c r="K854" s="98" t="str">
        <f t="shared" si="26"/>
        <v>Posgrado</v>
      </c>
      <c r="L854" s="98" t="s">
        <v>395</v>
      </c>
    </row>
    <row r="855" spans="3:12" x14ac:dyDescent="0.25">
      <c r="C855" s="171" t="s">
        <v>58</v>
      </c>
      <c r="D855" s="163"/>
      <c r="E855" s="154">
        <v>0</v>
      </c>
      <c r="F855" s="100">
        <f>IF(E854=0,"",(G854/E854)/12*E854)</f>
        <v>0</v>
      </c>
      <c r="G855" s="97">
        <f>F855</f>
        <v>0</v>
      </c>
      <c r="H855" s="164"/>
      <c r="I855" s="116" t="s">
        <v>516</v>
      </c>
      <c r="J855" s="116" t="str">
        <f>VLOOKUP(I855,Presupuesto!$B$11:$C$565,2,0)</f>
        <v>AGUINALDO Y DECIMO CUARTO MES</v>
      </c>
      <c r="K855" s="98" t="str">
        <f t="shared" si="26"/>
        <v>Posgrado</v>
      </c>
      <c r="L855" s="98" t="s">
        <v>395</v>
      </c>
    </row>
    <row r="856" spans="3:12" ht="15.75" thickBot="1" x14ac:dyDescent="0.3">
      <c r="C856" s="172" t="s">
        <v>59</v>
      </c>
      <c r="D856" s="163"/>
      <c r="E856" s="154">
        <v>0</v>
      </c>
      <c r="F856" s="117">
        <f>IF(E854&lt;6,"",((E854-6)/12)*(G854/E854))</f>
        <v>0</v>
      </c>
      <c r="G856" s="97">
        <f>F856</f>
        <v>0</v>
      </c>
      <c r="H856" s="164"/>
      <c r="I856" s="101" t="s">
        <v>519</v>
      </c>
      <c r="J856" s="101" t="str">
        <f>VLOOKUP(I856,Presupuesto!$B$11:$C$565,2,0)</f>
        <v>DECIMOCUARTO MES</v>
      </c>
      <c r="K856" s="98" t="str">
        <f t="shared" si="26"/>
        <v>Posgrado</v>
      </c>
      <c r="L856" s="98" t="s">
        <v>395</v>
      </c>
    </row>
    <row r="857" spans="3:12" ht="15.75" thickBot="1" x14ac:dyDescent="0.3">
      <c r="C857" s="137" t="s">
        <v>491</v>
      </c>
      <c r="D857" s="199"/>
      <c r="E857" s="152">
        <v>12</v>
      </c>
      <c r="F857" s="305">
        <f>HLOOKUP($C857,$BZ$2:$CM$3,2,0)</f>
        <v>15004.09</v>
      </c>
      <c r="G857" s="113">
        <f>D857*E857*F857</f>
        <v>0</v>
      </c>
      <c r="H857" s="166"/>
      <c r="I857" s="114" t="s">
        <v>496</v>
      </c>
      <c r="J857" s="114" t="str">
        <f>VLOOKUP(I857,Presupuesto!$B$11:$C$565,2,0)</f>
        <v>SUELDOS Y SALARIOS PERMANENTES</v>
      </c>
      <c r="K857" s="98" t="str">
        <f t="shared" si="26"/>
        <v>Posgrado</v>
      </c>
      <c r="L857" s="98" t="s">
        <v>395</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si="26"/>
        <v>Posgrado</v>
      </c>
      <c r="L858" s="98" t="s">
        <v>395</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6"/>
        <v>Posgrado</v>
      </c>
      <c r="L859" s="98" t="s">
        <v>395</v>
      </c>
    </row>
    <row r="860" spans="3:12" ht="15.75" thickBot="1" x14ac:dyDescent="0.3">
      <c r="C860" s="137" t="s">
        <v>492</v>
      </c>
      <c r="D860" s="199"/>
      <c r="E860" s="152">
        <v>12</v>
      </c>
      <c r="F860" s="305">
        <f>HLOOKUP($C860,$BZ$2:$CM$3,2,0)</f>
        <v>13238.9</v>
      </c>
      <c r="G860" s="113">
        <f>D860*E860*F860</f>
        <v>0</v>
      </c>
      <c r="H860" s="166"/>
      <c r="I860" s="114" t="s">
        <v>496</v>
      </c>
      <c r="J860" s="114" t="str">
        <f>VLOOKUP(I860,Presupuesto!$B$11:$C$565,2,0)</f>
        <v>SUELDOS Y SALARIOS PERMANENTES</v>
      </c>
      <c r="K860" s="98" t="str">
        <f t="shared" si="26"/>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6"/>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6"/>
        <v>Posgrado</v>
      </c>
      <c r="L862" s="98" t="s">
        <v>395</v>
      </c>
    </row>
    <row r="863" spans="3:12" ht="15.75" thickBot="1" x14ac:dyDescent="0.3">
      <c r="C863" s="137" t="s">
        <v>493</v>
      </c>
      <c r="D863" s="199"/>
      <c r="E863" s="152">
        <v>12</v>
      </c>
      <c r="F863" s="305">
        <f>HLOOKUP($C863,$BZ$2:$CM$3,2,0)</f>
        <v>12356.31</v>
      </c>
      <c r="G863" s="113">
        <f>D863*E863*F863</f>
        <v>0</v>
      </c>
      <c r="H863" s="166"/>
      <c r="I863" s="114" t="s">
        <v>496</v>
      </c>
      <c r="J863" s="114" t="str">
        <f>VLOOKUP(I863,Presupuesto!$B$11:$C$565,2,0)</f>
        <v>SUELDOS Y SALARIOS PERMANENTES</v>
      </c>
      <c r="K863" s="98" t="str">
        <f t="shared" ref="K863:K880" si="27">$K$830</f>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7"/>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7"/>
        <v>Posgrado</v>
      </c>
      <c r="L865" s="98" t="s">
        <v>395</v>
      </c>
    </row>
    <row r="866" spans="3:12" ht="15.75" thickBot="1" x14ac:dyDescent="0.3">
      <c r="C866" s="137" t="s">
        <v>494</v>
      </c>
      <c r="D866" s="199"/>
      <c r="E866" s="152">
        <v>12</v>
      </c>
      <c r="F866" s="305">
        <f>HLOOKUP($C866,$BZ$2:$CM$3,2,0)</f>
        <v>463.22</v>
      </c>
      <c r="G866" s="113">
        <f>D866*E866*F866</f>
        <v>0</v>
      </c>
      <c r="H866" s="166"/>
      <c r="I866" s="114" t="s">
        <v>496</v>
      </c>
      <c r="J866" s="114" t="str">
        <f>VLOOKUP(I866,Presupuesto!$B$11:$C$565,2,0)</f>
        <v>SUELDOS Y SALARIOS PERMANENTES</v>
      </c>
      <c r="K866" s="98" t="str">
        <f t="shared" si="27"/>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7"/>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7"/>
        <v>Posgrado</v>
      </c>
      <c r="L868" s="98" t="s">
        <v>395</v>
      </c>
    </row>
    <row r="869" spans="3:12" ht="15.75" thickBot="1" x14ac:dyDescent="0.3">
      <c r="C869" s="137" t="s">
        <v>495</v>
      </c>
      <c r="D869" s="199"/>
      <c r="E869" s="152">
        <v>12</v>
      </c>
      <c r="F869" s="305">
        <f>HLOOKUP($C869,$BZ$2:$CM$3,2,0)</f>
        <v>2007.3</v>
      </c>
      <c r="G869" s="113">
        <f>D869*E869*F869</f>
        <v>0</v>
      </c>
      <c r="H869" s="166"/>
      <c r="I869" s="114" t="s">
        <v>496</v>
      </c>
      <c r="J869" s="114" t="str">
        <f>VLOOKUP(I869,Presupuesto!$B$11:$C$565,2,0)</f>
        <v>SUELDOS Y SALARIOS PERMANENTES</v>
      </c>
      <c r="K869" s="98" t="str">
        <f t="shared" si="27"/>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7"/>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7"/>
        <v>Posgrado</v>
      </c>
      <c r="L871" s="98" t="s">
        <v>395</v>
      </c>
    </row>
    <row r="872" spans="3:12" ht="15.75" thickBot="1" x14ac:dyDescent="0.3">
      <c r="C872" s="140" t="s">
        <v>83</v>
      </c>
      <c r="D872" s="199"/>
      <c r="E872" s="152">
        <v>12</v>
      </c>
      <c r="F872" s="139">
        <v>30000</v>
      </c>
      <c r="G872" s="113">
        <f>D872*E872*F872</f>
        <v>0</v>
      </c>
      <c r="H872" s="166"/>
      <c r="I872" s="114" t="s">
        <v>564</v>
      </c>
      <c r="J872" s="114" t="str">
        <f>VLOOKUP(I872,Presupuesto!$B$11:$C$565,2,0)</f>
        <v>CONTRATOS ESPECIALES</v>
      </c>
      <c r="K872" s="98" t="str">
        <f t="shared" si="27"/>
        <v>Posgrado</v>
      </c>
      <c r="L872" s="98" t="s">
        <v>395</v>
      </c>
    </row>
    <row r="873" spans="3:12" x14ac:dyDescent="0.25">
      <c r="C873" s="171" t="s">
        <v>58</v>
      </c>
      <c r="D873" s="163"/>
      <c r="E873" s="154">
        <v>0</v>
      </c>
      <c r="F873" s="117">
        <f>IF(E872=0,"",(G872/E872)/12*E872)</f>
        <v>0</v>
      </c>
      <c r="G873" s="97">
        <f>F873</f>
        <v>0</v>
      </c>
      <c r="H873" s="164"/>
      <c r="I873" s="101" t="s">
        <v>564</v>
      </c>
      <c r="J873" s="101" t="str">
        <f>VLOOKUP(I873,Presupuesto!$B$11:$C$565,2,0)</f>
        <v>CONTRATOS ESPECIALES</v>
      </c>
      <c r="K873" s="98" t="str">
        <f t="shared" si="27"/>
        <v>Posgrado</v>
      </c>
      <c r="L873" s="98" t="s">
        <v>394</v>
      </c>
    </row>
    <row r="874" spans="3:12" ht="15.75" thickBot="1" x14ac:dyDescent="0.3">
      <c r="C874" s="172" t="s">
        <v>59</v>
      </c>
      <c r="D874" s="163"/>
      <c r="E874" s="154">
        <v>0</v>
      </c>
      <c r="F874" s="100">
        <f>IF(E872&lt;6,"",((E872-6)/12)*(G872/E872))</f>
        <v>0</v>
      </c>
      <c r="G874" s="97">
        <f>F874</f>
        <v>0</v>
      </c>
      <c r="H874" s="164"/>
      <c r="I874" s="101" t="s">
        <v>564</v>
      </c>
      <c r="J874" s="101" t="str">
        <f>VLOOKUP(I874,Presupuesto!$B$11:$C$565,2,0)</f>
        <v>CONTRATOS ESPECIALES</v>
      </c>
      <c r="K874" s="98" t="str">
        <f t="shared" si="27"/>
        <v>Posgrado</v>
      </c>
      <c r="L874" s="98" t="s">
        <v>399</v>
      </c>
    </row>
    <row r="875" spans="3:12" ht="15.75" thickBot="1" x14ac:dyDescent="0.3">
      <c r="C875" s="140" t="s">
        <v>60</v>
      </c>
      <c r="D875" s="199"/>
      <c r="E875" s="152">
        <v>12</v>
      </c>
      <c r="F875" s="118">
        <v>30000</v>
      </c>
      <c r="G875" s="113">
        <f>D875*E875*F875</f>
        <v>0</v>
      </c>
      <c r="H875" s="166"/>
      <c r="I875" s="114" t="s">
        <v>705</v>
      </c>
      <c r="J875" s="114" t="str">
        <f>VLOOKUP(I875,Presupuesto!$B$11:$C$565,2,0)</f>
        <v>OTROS SERVICIOS TECNICOS Y PROFESIONALES</v>
      </c>
      <c r="K875" s="98" t="str">
        <f t="shared" si="27"/>
        <v>Posgrado</v>
      </c>
      <c r="L875" s="98" t="s">
        <v>394</v>
      </c>
    </row>
    <row r="876" spans="3:12" x14ac:dyDescent="0.25">
      <c r="C876" s="171" t="s">
        <v>58</v>
      </c>
      <c r="D876" s="163"/>
      <c r="E876" s="154">
        <v>0</v>
      </c>
      <c r="F876" s="100">
        <v>0</v>
      </c>
      <c r="G876" s="97">
        <f>F876</f>
        <v>0</v>
      </c>
      <c r="H876" s="164"/>
      <c r="I876" s="101" t="s">
        <v>705</v>
      </c>
      <c r="J876" s="101" t="str">
        <f>VLOOKUP(I876,Presupuesto!$B$11:$C$565,2,0)</f>
        <v>OTROS SERVICIOS TECNICOS Y PROFESIONALES</v>
      </c>
      <c r="K876" s="98" t="str">
        <f t="shared" si="27"/>
        <v>Posgrado</v>
      </c>
      <c r="L876" s="98" t="s">
        <v>394</v>
      </c>
    </row>
    <row r="877" spans="3:12" ht="15.75" thickBot="1" x14ac:dyDescent="0.3">
      <c r="C877" s="172" t="s">
        <v>59</v>
      </c>
      <c r="D877" s="163"/>
      <c r="E877" s="154">
        <v>0</v>
      </c>
      <c r="F877" s="100">
        <v>0</v>
      </c>
      <c r="G877" s="97">
        <f>F877</f>
        <v>0</v>
      </c>
      <c r="H877" s="164"/>
      <c r="I877" s="101" t="s">
        <v>705</v>
      </c>
      <c r="J877" s="101" t="str">
        <f>VLOOKUP(I877,Presupuesto!$B$11:$C$565,2,0)</f>
        <v>OTROS SERVICIOS TECNICOS Y PROFESIONALES</v>
      </c>
      <c r="K877" s="98" t="str">
        <f t="shared" si="27"/>
        <v>Posgrado</v>
      </c>
      <c r="L877" s="98" t="s">
        <v>394</v>
      </c>
    </row>
    <row r="878" spans="3:12" ht="15.75" thickBot="1" x14ac:dyDescent="0.3">
      <c r="C878" s="140" t="s">
        <v>61</v>
      </c>
      <c r="D878" s="199"/>
      <c r="E878" s="152">
        <v>12</v>
      </c>
      <c r="F878" s="118">
        <v>30000</v>
      </c>
      <c r="G878" s="113">
        <f>D878*E878*F878</f>
        <v>0</v>
      </c>
      <c r="H878" s="166"/>
      <c r="I878" s="114" t="s">
        <v>496</v>
      </c>
      <c r="J878" s="114" t="str">
        <f>VLOOKUP(I878,Presupuesto!$B$11:$C$565,2,0)</f>
        <v>SUELDOS Y SALARIOS PERMANENTES</v>
      </c>
      <c r="K878" s="98" t="str">
        <f t="shared" si="27"/>
        <v>Posgrado</v>
      </c>
      <c r="L878" s="98" t="s">
        <v>394</v>
      </c>
    </row>
    <row r="879" spans="3:12" x14ac:dyDescent="0.25">
      <c r="C879" s="171" t="s">
        <v>58</v>
      </c>
      <c r="D879" s="169"/>
      <c r="E879" s="131">
        <v>0</v>
      </c>
      <c r="F879" s="119">
        <f>IF(E878=0,"",(G878/E878)/12*E878)</f>
        <v>0</v>
      </c>
      <c r="G879" s="120">
        <f>F879</f>
        <v>0</v>
      </c>
      <c r="H879" s="164"/>
      <c r="I879" s="101" t="s">
        <v>516</v>
      </c>
      <c r="J879" s="101" t="str">
        <f>VLOOKUP(I879,Presupuesto!$B$11:$C$565,2,0)</f>
        <v>AGUINALDO Y DECIMO CUARTO MES</v>
      </c>
      <c r="K879" s="98" t="str">
        <f t="shared" si="27"/>
        <v>Posgrado</v>
      </c>
      <c r="L879" s="98" t="s">
        <v>394</v>
      </c>
    </row>
    <row r="880" spans="3:12" ht="15.75" thickBot="1" x14ac:dyDescent="0.3">
      <c r="C880" s="173" t="s">
        <v>59</v>
      </c>
      <c r="D880" s="162"/>
      <c r="E880" s="132">
        <v>0</v>
      </c>
      <c r="F880" s="105">
        <f>IF(E878&lt;6,"",((E878-6)/12)*(G878/E878))</f>
        <v>0</v>
      </c>
      <c r="G880" s="105">
        <f>F880</f>
        <v>0</v>
      </c>
      <c r="H880" s="162"/>
      <c r="I880" s="106" t="s">
        <v>519</v>
      </c>
      <c r="J880" s="124" t="str">
        <f>VLOOKUP(I880,Presupuesto!$B$11:$C$565,2,0)</f>
        <v>DECIMOCUARTO MES</v>
      </c>
      <c r="K880" s="106" t="str">
        <f t="shared" si="27"/>
        <v>Posgrado</v>
      </c>
      <c r="L880" s="124" t="s">
        <v>394</v>
      </c>
    </row>
    <row r="882" spans="3:12" ht="15.75" thickBot="1" x14ac:dyDescent="0.3"/>
    <row r="883" spans="3:12" ht="15.75" thickBot="1" x14ac:dyDescent="0.3">
      <c r="C883" s="69" t="s">
        <v>43</v>
      </c>
      <c r="D883" s="30">
        <f>SUM(G890:G940)</f>
        <v>0</v>
      </c>
      <c r="E883" s="93"/>
      <c r="F883" s="93"/>
      <c r="G883" s="93"/>
      <c r="H883" s="76"/>
      <c r="I883" s="76"/>
      <c r="J883" s="76"/>
    </row>
    <row r="884" spans="3:12" x14ac:dyDescent="0.25">
      <c r="D884" s="31"/>
      <c r="E884" s="93"/>
      <c r="F884" s="93"/>
      <c r="G884" s="93"/>
      <c r="H884" s="76"/>
      <c r="I884" s="76"/>
      <c r="J884" s="76"/>
    </row>
    <row r="885" spans="3:12" x14ac:dyDescent="0.25">
      <c r="D885" s="31"/>
      <c r="E885" s="93"/>
      <c r="F885" s="93"/>
      <c r="G885" s="93"/>
      <c r="H885" s="76"/>
      <c r="I885" s="76"/>
      <c r="J885" s="76"/>
    </row>
    <row r="886" spans="3:12" ht="15.75" x14ac:dyDescent="0.25">
      <c r="C886" s="202" t="s">
        <v>392</v>
      </c>
      <c r="D886" s="370"/>
      <c r="E886" s="93"/>
      <c r="F886" s="93"/>
      <c r="G886" s="93"/>
      <c r="H886" s="76"/>
      <c r="I886" s="76"/>
      <c r="J886" s="76"/>
    </row>
    <row r="887" spans="3:12" ht="18.75" x14ac:dyDescent="0.25">
      <c r="C887" s="211" t="e">
        <f>IFERROR(VLOOKUP(D886,'1. Desarrollo e Innov. Curricu.'!$E:$F,2,FALSE),IFERROR(VLOOKUP(D886,'2. Investigación Científica'!$E:$F,2,FALSE),IFERROR(VLOOKUP(D886,'3. Vinculación Univ. Sociedad'!$E:$F,2,FALSE),IFERROR(VLOOKUP(D886,'4. Docencia y Profesorado Univ.'!$E:$F,2,FALSE),IFERROR(VLOOKUP(D886,'5. Estudiantes y Graduados'!$E:$F,2,FALSE),IFERROR(VLOOKUP(D886,'11. Gestion Administrativa'!$E:$F,2,FALSE),IFERROR(VLOOKUP(D886,'13. Gestión Académica'!$E:$F,2,FALSE),IFERROR(VLOOKUP(D886,'8. Asegura. de la Calid. y M'!$E:$F,2,FALSE),IFERROR(VLOOKUP(D886,'6. Gestión del Conocimiento'!$E:$F,2,FALSE),IFERROR(VLOOKUP(D886,'15. Gobernabilidad y Proceso...'!$E:$F,2,FALSE),IFERROR(VLOOKUP(D886,'12. Gestión del Talento Humano'!$E:$F,2,FALSE),IFERROR(VLOOKUP(D886,'14. Internacional... de la E.S.'!$E:$F,2,FALSE),IFERROR(VLOOKUP(D886,'10. Posgrado'!$E:$F,2,FALSE),IFERROR(VLOOKUP(D886,'17. Gestión TIC'!$E:$F,2,FALSE),IFERROR(VLOOKUP(D886,'16. Desa. del Sistema Educ.Sup.'!$E:$F,2,FALSE),IFERROR(VLOOKUP(D886,'9. Cultura de Inno. Insti...'!$E:$F,2,FALSE),VLOOKUP(D886,'7. Lo Esencial de la Reforma U.'!$E:$F,2,0)))))))))))))))))</f>
        <v>#N/A</v>
      </c>
      <c r="D887" s="31"/>
      <c r="E887" s="93"/>
      <c r="F887" s="93"/>
      <c r="G887" s="93"/>
      <c r="H887" s="76"/>
      <c r="I887" s="76"/>
      <c r="J887" s="76"/>
      <c r="K887" s="153"/>
    </row>
    <row r="888" spans="3:12" ht="15.75" thickBot="1" x14ac:dyDescent="0.3">
      <c r="C888" s="177"/>
      <c r="D888" s="31"/>
      <c r="E888" s="93"/>
      <c r="F888" s="93"/>
      <c r="G888" s="93"/>
      <c r="H888" s="76"/>
      <c r="I888" s="76"/>
      <c r="J888" s="76"/>
      <c r="K888" s="153"/>
    </row>
    <row r="889" spans="3:12" ht="30.75" thickBot="1" x14ac:dyDescent="0.3">
      <c r="C889" s="134" t="s">
        <v>44</v>
      </c>
      <c r="D889" s="138" t="s">
        <v>55</v>
      </c>
      <c r="E889" s="170" t="s">
        <v>56</v>
      </c>
      <c r="F889" s="138" t="s">
        <v>57</v>
      </c>
      <c r="G889" s="135" t="s">
        <v>27</v>
      </c>
      <c r="H889" s="133" t="s">
        <v>131</v>
      </c>
      <c r="I889" s="136" t="s">
        <v>46</v>
      </c>
      <c r="J889" s="136" t="s">
        <v>132</v>
      </c>
      <c r="K889" s="136" t="s">
        <v>410</v>
      </c>
      <c r="L889" s="136" t="s">
        <v>411</v>
      </c>
    </row>
    <row r="890" spans="3:12" ht="15.75" thickBot="1" x14ac:dyDescent="0.3">
      <c r="C890" s="137" t="s">
        <v>482</v>
      </c>
      <c r="D890" s="199"/>
      <c r="E890" s="152">
        <v>12</v>
      </c>
      <c r="F890" s="305">
        <f>HLOOKUP($C890,$BZ$2:$CM$3,2,0)</f>
        <v>43674.39</v>
      </c>
      <c r="G890" s="113">
        <f>D890*E890*F890</f>
        <v>0</v>
      </c>
      <c r="H890" s="166"/>
      <c r="I890" s="114" t="s">
        <v>496</v>
      </c>
      <c r="J890" s="114" t="str">
        <f>VLOOKUP(I890,Presupuesto!$B$11:$C$565,2,0)</f>
        <v>SUELDOS Y SALARIOS PERMANENTES</v>
      </c>
      <c r="K890" s="219" t="s">
        <v>1454</v>
      </c>
      <c r="L890" s="98" t="s">
        <v>394</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ref="K891:K922" si="28">$K$890</f>
        <v>Posgrado</v>
      </c>
      <c r="L891" s="98" t="s">
        <v>412</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8"/>
        <v>Posgrado</v>
      </c>
      <c r="L892" s="98" t="s">
        <v>395</v>
      </c>
    </row>
    <row r="893" spans="3:12" ht="15.75" thickBot="1" x14ac:dyDescent="0.3">
      <c r="C893" s="137" t="s">
        <v>483</v>
      </c>
      <c r="D893" s="199"/>
      <c r="E893" s="152">
        <v>12</v>
      </c>
      <c r="F893" s="305">
        <f>HLOOKUP($C893,$BZ$2:$CM$3,2,0)</f>
        <v>39703.99</v>
      </c>
      <c r="G893" s="113">
        <f>D893*E893*F893</f>
        <v>0</v>
      </c>
      <c r="H893" s="166"/>
      <c r="I893" s="114" t="s">
        <v>496</v>
      </c>
      <c r="J893" s="114" t="str">
        <f>VLOOKUP(I893,Presupuesto!$B$11:$C$565,2,0)</f>
        <v>SUELDOS Y SALARIOS PERMANENTES</v>
      </c>
      <c r="K893" s="98" t="str">
        <f t="shared" si="28"/>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8"/>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8"/>
        <v>Posgrado</v>
      </c>
      <c r="L895" s="98" t="s">
        <v>395</v>
      </c>
    </row>
    <row r="896" spans="3:12" ht="15.75" thickBot="1" x14ac:dyDescent="0.3">
      <c r="C896" s="137" t="s">
        <v>484</v>
      </c>
      <c r="D896" s="199"/>
      <c r="E896" s="152">
        <v>12</v>
      </c>
      <c r="F896" s="305">
        <f>HLOOKUP($C896,$BZ$2:$CM$3,2,0)</f>
        <v>35733.589999999997</v>
      </c>
      <c r="G896" s="113">
        <f>D896*E896*F896</f>
        <v>0</v>
      </c>
      <c r="H896" s="166"/>
      <c r="I896" s="114" t="s">
        <v>496</v>
      </c>
      <c r="J896" s="114" t="str">
        <f>VLOOKUP(I896,Presupuesto!$B$11:$C$565,2,0)</f>
        <v>SUELDOS Y SALARIOS PERMANENTES</v>
      </c>
      <c r="K896" s="98" t="str">
        <f t="shared" si="28"/>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8"/>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8"/>
        <v>Posgrado</v>
      </c>
      <c r="L898" s="98" t="s">
        <v>395</v>
      </c>
    </row>
    <row r="899" spans="3:12" ht="15.75" thickBot="1" x14ac:dyDescent="0.3">
      <c r="C899" s="137" t="s">
        <v>485</v>
      </c>
      <c r="D899" s="199"/>
      <c r="E899" s="152">
        <v>12</v>
      </c>
      <c r="F899" s="305">
        <f>HLOOKUP($C899,$BZ$2:$CM$3,2,0)</f>
        <v>31763.19</v>
      </c>
      <c r="G899" s="113">
        <f>D899*E899*F899</f>
        <v>0</v>
      </c>
      <c r="H899" s="166"/>
      <c r="I899" s="114" t="s">
        <v>496</v>
      </c>
      <c r="J899" s="114" t="str">
        <f>VLOOKUP(I899,Presupuesto!$B$11:$C$565,2,0)</f>
        <v>SUELDOS Y SALARIOS PERMANENTES</v>
      </c>
      <c r="K899" s="98" t="str">
        <f t="shared" si="28"/>
        <v>Posgrado</v>
      </c>
      <c r="L899" s="98" t="s">
        <v>395</v>
      </c>
    </row>
    <row r="900" spans="3:12" x14ac:dyDescent="0.25">
      <c r="C900" s="171" t="s">
        <v>58</v>
      </c>
      <c r="D900" s="163"/>
      <c r="E900" s="154">
        <v>0</v>
      </c>
      <c r="F900" s="100">
        <f>IF(E899=0,"",(G899/E899)/12*E899)</f>
        <v>0</v>
      </c>
      <c r="G900" s="97">
        <f>F900</f>
        <v>0</v>
      </c>
      <c r="H900" s="164"/>
      <c r="I900" s="116" t="s">
        <v>516</v>
      </c>
      <c r="J900" s="116" t="str">
        <f>VLOOKUP(I900,Presupuesto!$B$11:$C$565,2,0)</f>
        <v>AGUINALDO Y DECIMO CUARTO MES</v>
      </c>
      <c r="K900" s="98" t="str">
        <f t="shared" si="28"/>
        <v>Posgrado</v>
      </c>
      <c r="L900" s="98" t="s">
        <v>395</v>
      </c>
    </row>
    <row r="901" spans="3:12" ht="15.75" thickBot="1" x14ac:dyDescent="0.3">
      <c r="C901" s="172" t="s">
        <v>59</v>
      </c>
      <c r="D901" s="163"/>
      <c r="E901" s="154">
        <v>0</v>
      </c>
      <c r="F901" s="117">
        <f>IF(E899&lt;6,"",((E899-6)/12)*(G899/E899))</f>
        <v>0</v>
      </c>
      <c r="G901" s="97">
        <f>F901</f>
        <v>0</v>
      </c>
      <c r="H901" s="164"/>
      <c r="I901" s="101" t="s">
        <v>519</v>
      </c>
      <c r="J901" s="101" t="str">
        <f>VLOOKUP(I901,Presupuesto!$B$11:$C$565,2,0)</f>
        <v>DECIMOCUARTO MES</v>
      </c>
      <c r="K901" s="98" t="str">
        <f t="shared" si="28"/>
        <v>Posgrado</v>
      </c>
      <c r="L901" s="98" t="s">
        <v>395</v>
      </c>
    </row>
    <row r="902" spans="3:12" ht="15.75" thickBot="1" x14ac:dyDescent="0.3">
      <c r="C902" s="137" t="s">
        <v>486</v>
      </c>
      <c r="D902" s="199"/>
      <c r="E902" s="152">
        <v>12</v>
      </c>
      <c r="F902" s="305">
        <f>HLOOKUP($C902,$BZ$2:$CM$3,2,0)</f>
        <v>29777.99</v>
      </c>
      <c r="G902" s="113">
        <f>D902*E902*F902</f>
        <v>0</v>
      </c>
      <c r="H902" s="166"/>
      <c r="I902" s="114" t="s">
        <v>496</v>
      </c>
      <c r="J902" s="114" t="str">
        <f>VLOOKUP(I902,Presupuesto!$B$11:$C$565,2,0)</f>
        <v>SUELDOS Y SALARIOS PERMANENTES</v>
      </c>
      <c r="K902" s="98" t="str">
        <f t="shared" si="28"/>
        <v>Posgrado</v>
      </c>
      <c r="L902" s="98" t="s">
        <v>395</v>
      </c>
    </row>
    <row r="903" spans="3:12" x14ac:dyDescent="0.25">
      <c r="C903" s="171" t="s">
        <v>58</v>
      </c>
      <c r="D903" s="163"/>
      <c r="E903" s="154">
        <v>0</v>
      </c>
      <c r="F903" s="100">
        <f>IF(E902=0,"",(G902/E902)/12*E902)</f>
        <v>0</v>
      </c>
      <c r="G903" s="97">
        <f>F903</f>
        <v>0</v>
      </c>
      <c r="H903" s="164"/>
      <c r="I903" s="116" t="s">
        <v>516</v>
      </c>
      <c r="J903" s="116" t="str">
        <f>VLOOKUP(I903,Presupuesto!$B$11:$C$565,2,0)</f>
        <v>AGUINALDO Y DECIMO CUARTO MES</v>
      </c>
      <c r="K903" s="98" t="str">
        <f t="shared" si="28"/>
        <v>Posgrado</v>
      </c>
      <c r="L903" s="98" t="s">
        <v>395</v>
      </c>
    </row>
    <row r="904" spans="3:12" ht="15.75" thickBot="1" x14ac:dyDescent="0.3">
      <c r="C904" s="172" t="s">
        <v>59</v>
      </c>
      <c r="D904" s="163"/>
      <c r="E904" s="154">
        <v>0</v>
      </c>
      <c r="F904" s="117">
        <f>IF(E902&lt;6,"",((E902-6)/12)*(G902/E902))</f>
        <v>0</v>
      </c>
      <c r="G904" s="97">
        <f>F904</f>
        <v>0</v>
      </c>
      <c r="H904" s="164"/>
      <c r="I904" s="101" t="s">
        <v>519</v>
      </c>
      <c r="J904" s="101" t="str">
        <f>VLOOKUP(I904,Presupuesto!$B$11:$C$565,2,0)</f>
        <v>DECIMOCUARTO MES</v>
      </c>
      <c r="K904" s="98" t="str">
        <f t="shared" si="28"/>
        <v>Posgrado</v>
      </c>
      <c r="L904" s="98" t="s">
        <v>395</v>
      </c>
    </row>
    <row r="905" spans="3:12" ht="15.75" thickBot="1" x14ac:dyDescent="0.3">
      <c r="C905" s="137" t="s">
        <v>487</v>
      </c>
      <c r="D905" s="199"/>
      <c r="E905" s="152">
        <v>12</v>
      </c>
      <c r="F905" s="305">
        <f>HLOOKUP($C905,$BZ$2:$CM$3,2,0)</f>
        <v>27792.79</v>
      </c>
      <c r="G905" s="113">
        <f>D905*E905*F905</f>
        <v>0</v>
      </c>
      <c r="H905" s="166"/>
      <c r="I905" s="114" t="s">
        <v>496</v>
      </c>
      <c r="J905" s="114" t="str">
        <f>VLOOKUP(I905,Presupuesto!$B$11:$C$565,2,0)</f>
        <v>SUELDOS Y SALARIOS PERMANENTES</v>
      </c>
      <c r="K905" s="98" t="str">
        <f t="shared" si="28"/>
        <v>Posgrado</v>
      </c>
      <c r="L905" s="98" t="s">
        <v>395</v>
      </c>
    </row>
    <row r="906" spans="3:12" x14ac:dyDescent="0.25">
      <c r="C906" s="171" t="s">
        <v>58</v>
      </c>
      <c r="D906" s="163"/>
      <c r="E906" s="154">
        <v>0</v>
      </c>
      <c r="F906" s="100">
        <f>IF(E905=0,"",(G905/E905)/12*E905)</f>
        <v>0</v>
      </c>
      <c r="G906" s="97">
        <f>F906</f>
        <v>0</v>
      </c>
      <c r="H906" s="164"/>
      <c r="I906" s="116" t="s">
        <v>516</v>
      </c>
      <c r="J906" s="116" t="str">
        <f>VLOOKUP(I906,Presupuesto!$B$11:$C$565,2,0)</f>
        <v>AGUINALDO Y DECIMO CUARTO MES</v>
      </c>
      <c r="K906" s="98" t="str">
        <f t="shared" si="28"/>
        <v>Posgrado</v>
      </c>
      <c r="L906" s="98" t="s">
        <v>395</v>
      </c>
    </row>
    <row r="907" spans="3:12" ht="15.75" thickBot="1" x14ac:dyDescent="0.3">
      <c r="C907" s="172" t="s">
        <v>59</v>
      </c>
      <c r="D907" s="163"/>
      <c r="E907" s="154">
        <v>0</v>
      </c>
      <c r="F907" s="117">
        <f>IF(E905&lt;6,"",((E905-6)/12)*(G905/E905))</f>
        <v>0</v>
      </c>
      <c r="G907" s="97">
        <f>F907</f>
        <v>0</v>
      </c>
      <c r="H907" s="164"/>
      <c r="I907" s="101" t="s">
        <v>519</v>
      </c>
      <c r="J907" s="101" t="str">
        <f>VLOOKUP(I907,Presupuesto!$B$11:$C$565,2,0)</f>
        <v>DECIMOCUARTO MES</v>
      </c>
      <c r="K907" s="98" t="str">
        <f t="shared" si="28"/>
        <v>Posgrado</v>
      </c>
      <c r="L907" s="98" t="s">
        <v>395</v>
      </c>
    </row>
    <row r="908" spans="3:12" ht="15.75" thickBot="1" x14ac:dyDescent="0.3">
      <c r="C908" s="137" t="s">
        <v>488</v>
      </c>
      <c r="D908" s="199"/>
      <c r="E908" s="152">
        <v>12</v>
      </c>
      <c r="F908" s="305">
        <f>HLOOKUP($C908,$BZ$2:$CM$3,2,0)</f>
        <v>18859.39</v>
      </c>
      <c r="G908" s="113">
        <f>D908*E908*F908</f>
        <v>0</v>
      </c>
      <c r="H908" s="166"/>
      <c r="I908" s="114" t="s">
        <v>496</v>
      </c>
      <c r="J908" s="114" t="str">
        <f>VLOOKUP(I908,Presupuesto!$B$11:$C$565,2,0)</f>
        <v>SUELDOS Y SALARIOS PERMANENTES</v>
      </c>
      <c r="K908" s="98" t="str">
        <f t="shared" si="28"/>
        <v>Posgrado</v>
      </c>
      <c r="L908" s="98" t="s">
        <v>395</v>
      </c>
    </row>
    <row r="909" spans="3:12" x14ac:dyDescent="0.25">
      <c r="C909" s="171" t="s">
        <v>58</v>
      </c>
      <c r="D909" s="163"/>
      <c r="E909" s="154">
        <v>0</v>
      </c>
      <c r="F909" s="100">
        <f>IF(E908=0,"",(G908/E908)/12*E908)</f>
        <v>0</v>
      </c>
      <c r="G909" s="97">
        <f>F909</f>
        <v>0</v>
      </c>
      <c r="H909" s="164"/>
      <c r="I909" s="116" t="s">
        <v>516</v>
      </c>
      <c r="J909" s="116" t="str">
        <f>VLOOKUP(I909,Presupuesto!$B$11:$C$565,2,0)</f>
        <v>AGUINALDO Y DECIMO CUARTO MES</v>
      </c>
      <c r="K909" s="98" t="str">
        <f t="shared" si="28"/>
        <v>Posgrado</v>
      </c>
      <c r="L909" s="98" t="s">
        <v>395</v>
      </c>
    </row>
    <row r="910" spans="3:12" ht="15.75" thickBot="1" x14ac:dyDescent="0.3">
      <c r="C910" s="172" t="s">
        <v>59</v>
      </c>
      <c r="D910" s="163"/>
      <c r="E910" s="154">
        <v>0</v>
      </c>
      <c r="F910" s="117">
        <f>IF(E908&lt;6,"",((E908-6)/12)*(G908/E908))</f>
        <v>0</v>
      </c>
      <c r="G910" s="97">
        <f>F910</f>
        <v>0</v>
      </c>
      <c r="H910" s="164"/>
      <c r="I910" s="101" t="s">
        <v>519</v>
      </c>
      <c r="J910" s="101" t="str">
        <f>VLOOKUP(I910,Presupuesto!$B$11:$C$565,2,0)</f>
        <v>DECIMOCUARTO MES</v>
      </c>
      <c r="K910" s="98" t="str">
        <f t="shared" si="28"/>
        <v>Posgrado</v>
      </c>
      <c r="L910" s="98" t="s">
        <v>395</v>
      </c>
    </row>
    <row r="911" spans="3:12" ht="15.75" thickBot="1" x14ac:dyDescent="0.3">
      <c r="C911" s="137" t="s">
        <v>489</v>
      </c>
      <c r="D911" s="199"/>
      <c r="E911" s="152">
        <v>12</v>
      </c>
      <c r="F911" s="305">
        <f>HLOOKUP($C911,$BZ$2:$CM$3,2,0)</f>
        <v>17866.8</v>
      </c>
      <c r="G911" s="113">
        <f>D911*E911*F911</f>
        <v>0</v>
      </c>
      <c r="H911" s="166"/>
      <c r="I911" s="114" t="s">
        <v>496</v>
      </c>
      <c r="J911" s="114" t="str">
        <f>VLOOKUP(I911,Presupuesto!$B$11:$C$565,2,0)</f>
        <v>SUELDOS Y SALARIOS PERMANENTES</v>
      </c>
      <c r="K911" s="98" t="str">
        <f t="shared" si="28"/>
        <v>Posgrado</v>
      </c>
      <c r="L911" s="98" t="s">
        <v>395</v>
      </c>
    </row>
    <row r="912" spans="3:12" x14ac:dyDescent="0.25">
      <c r="C912" s="171" t="s">
        <v>58</v>
      </c>
      <c r="D912" s="163"/>
      <c r="E912" s="154">
        <v>0</v>
      </c>
      <c r="F912" s="100">
        <f>IF(E911=0,"",(G911/E911)/12*E911)</f>
        <v>0</v>
      </c>
      <c r="G912" s="97">
        <f>F912</f>
        <v>0</v>
      </c>
      <c r="H912" s="164"/>
      <c r="I912" s="116" t="s">
        <v>516</v>
      </c>
      <c r="J912" s="116" t="str">
        <f>VLOOKUP(I912,Presupuesto!$B$11:$C$565,2,0)</f>
        <v>AGUINALDO Y DECIMO CUARTO MES</v>
      </c>
      <c r="K912" s="98" t="str">
        <f t="shared" si="28"/>
        <v>Posgrado</v>
      </c>
      <c r="L912" s="98" t="s">
        <v>395</v>
      </c>
    </row>
    <row r="913" spans="3:12" ht="15.75" thickBot="1" x14ac:dyDescent="0.3">
      <c r="C913" s="172" t="s">
        <v>59</v>
      </c>
      <c r="D913" s="163"/>
      <c r="E913" s="154">
        <v>0</v>
      </c>
      <c r="F913" s="117">
        <f>IF(E911&lt;6,"",((E911-6)/12)*(G911/E911))</f>
        <v>0</v>
      </c>
      <c r="G913" s="97">
        <f>F913</f>
        <v>0</v>
      </c>
      <c r="H913" s="164"/>
      <c r="I913" s="101" t="s">
        <v>519</v>
      </c>
      <c r="J913" s="101" t="str">
        <f>VLOOKUP(I913,Presupuesto!$B$11:$C$565,2,0)</f>
        <v>DECIMOCUARTO MES</v>
      </c>
      <c r="K913" s="98" t="str">
        <f t="shared" si="28"/>
        <v>Posgrado</v>
      </c>
      <c r="L913" s="98" t="s">
        <v>395</v>
      </c>
    </row>
    <row r="914" spans="3:12" ht="15.75" thickBot="1" x14ac:dyDescent="0.3">
      <c r="C914" s="137" t="s">
        <v>490</v>
      </c>
      <c r="D914" s="199"/>
      <c r="E914" s="152">
        <v>12</v>
      </c>
      <c r="F914" s="305">
        <f>HLOOKUP($C914,$BZ$2:$CM$3,2,0)</f>
        <v>13896.4</v>
      </c>
      <c r="G914" s="113">
        <f>D914*E914*F914</f>
        <v>0</v>
      </c>
      <c r="H914" s="166"/>
      <c r="I914" s="114" t="s">
        <v>496</v>
      </c>
      <c r="J914" s="114" t="str">
        <f>VLOOKUP(I914,Presupuesto!$B$11:$C$565,2,0)</f>
        <v>SUELDOS Y SALARIOS PERMANENTES</v>
      </c>
      <c r="K914" s="98" t="str">
        <f t="shared" si="28"/>
        <v>Posgrado</v>
      </c>
      <c r="L914" s="98" t="s">
        <v>395</v>
      </c>
    </row>
    <row r="915" spans="3:12" x14ac:dyDescent="0.25">
      <c r="C915" s="171" t="s">
        <v>58</v>
      </c>
      <c r="D915" s="163"/>
      <c r="E915" s="154">
        <v>0</v>
      </c>
      <c r="F915" s="100">
        <f>IF(E914=0,"",(G914/E914)/12*E914)</f>
        <v>0</v>
      </c>
      <c r="G915" s="97">
        <f>F915</f>
        <v>0</v>
      </c>
      <c r="H915" s="164"/>
      <c r="I915" s="116" t="s">
        <v>516</v>
      </c>
      <c r="J915" s="116" t="str">
        <f>VLOOKUP(I915,Presupuesto!$B$11:$C$565,2,0)</f>
        <v>AGUINALDO Y DECIMO CUARTO MES</v>
      </c>
      <c r="K915" s="98" t="str">
        <f t="shared" si="28"/>
        <v>Posgrado</v>
      </c>
      <c r="L915" s="98" t="s">
        <v>395</v>
      </c>
    </row>
    <row r="916" spans="3:12" ht="15.75" thickBot="1" x14ac:dyDescent="0.3">
      <c r="C916" s="172" t="s">
        <v>59</v>
      </c>
      <c r="D916" s="163"/>
      <c r="E916" s="154">
        <v>0</v>
      </c>
      <c r="F916" s="117">
        <f>IF(E914&lt;6,"",((E914-6)/12)*(G914/E914))</f>
        <v>0</v>
      </c>
      <c r="G916" s="97">
        <f>F916</f>
        <v>0</v>
      </c>
      <c r="H916" s="164"/>
      <c r="I916" s="101" t="s">
        <v>519</v>
      </c>
      <c r="J916" s="101" t="str">
        <f>VLOOKUP(I916,Presupuesto!$B$11:$C$565,2,0)</f>
        <v>DECIMOCUARTO MES</v>
      </c>
      <c r="K916" s="98" t="str">
        <f t="shared" si="28"/>
        <v>Posgrado</v>
      </c>
      <c r="L916" s="98" t="s">
        <v>395</v>
      </c>
    </row>
    <row r="917" spans="3:12" ht="15.75" thickBot="1" x14ac:dyDescent="0.3">
      <c r="C917" s="137" t="s">
        <v>491</v>
      </c>
      <c r="D917" s="199"/>
      <c r="E917" s="152">
        <v>12</v>
      </c>
      <c r="F917" s="305">
        <f>HLOOKUP($C917,$BZ$2:$CM$3,2,0)</f>
        <v>15004.09</v>
      </c>
      <c r="G917" s="113">
        <f>D917*E917*F917</f>
        <v>0</v>
      </c>
      <c r="H917" s="166"/>
      <c r="I917" s="114" t="s">
        <v>496</v>
      </c>
      <c r="J917" s="114" t="str">
        <f>VLOOKUP(I917,Presupuesto!$B$11:$C$565,2,0)</f>
        <v>SUELDOS Y SALARIOS PERMANENTES</v>
      </c>
      <c r="K917" s="98" t="str">
        <f t="shared" si="28"/>
        <v>Posgrado</v>
      </c>
      <c r="L917" s="98" t="s">
        <v>395</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si="28"/>
        <v>Posgrado</v>
      </c>
      <c r="L918" s="98" t="s">
        <v>395</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28"/>
        <v>Posgrado</v>
      </c>
      <c r="L919" s="98" t="s">
        <v>395</v>
      </c>
    </row>
    <row r="920" spans="3:12" ht="15.75" thickBot="1" x14ac:dyDescent="0.3">
      <c r="C920" s="137" t="s">
        <v>492</v>
      </c>
      <c r="D920" s="199"/>
      <c r="E920" s="152">
        <v>12</v>
      </c>
      <c r="F920" s="305">
        <f>HLOOKUP($C920,$BZ$2:$CM$3,2,0)</f>
        <v>13238.9</v>
      </c>
      <c r="G920" s="113">
        <f>D920*E920*F920</f>
        <v>0</v>
      </c>
      <c r="H920" s="166"/>
      <c r="I920" s="114" t="s">
        <v>496</v>
      </c>
      <c r="J920" s="114" t="str">
        <f>VLOOKUP(I920,Presupuesto!$B$11:$C$565,2,0)</f>
        <v>SUELDOS Y SALARIOS PERMANENTES</v>
      </c>
      <c r="K920" s="98" t="str">
        <f t="shared" si="28"/>
        <v>Posgrado</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28"/>
        <v>Posgrado</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28"/>
        <v>Posgrado</v>
      </c>
      <c r="L922" s="98" t="s">
        <v>395</v>
      </c>
    </row>
    <row r="923" spans="3:12" ht="15.75" thickBot="1" x14ac:dyDescent="0.3">
      <c r="C923" s="137" t="s">
        <v>493</v>
      </c>
      <c r="D923" s="199"/>
      <c r="E923" s="152">
        <v>12</v>
      </c>
      <c r="F923" s="305">
        <f>HLOOKUP($C923,$BZ$2:$CM$3,2,0)</f>
        <v>12356.31</v>
      </c>
      <c r="G923" s="113">
        <f>D923*E923*F923</f>
        <v>0</v>
      </c>
      <c r="H923" s="166"/>
      <c r="I923" s="114" t="s">
        <v>496</v>
      </c>
      <c r="J923" s="114" t="str">
        <f>VLOOKUP(I923,Presupuesto!$B$11:$C$565,2,0)</f>
        <v>SUELDOS Y SALARIOS PERMANENTES</v>
      </c>
      <c r="K923" s="98" t="str">
        <f t="shared" ref="K923:K940" si="29">$K$890</f>
        <v>Posgrado</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29"/>
        <v>Posgrado</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29"/>
        <v>Posgrado</v>
      </c>
      <c r="L925" s="98" t="s">
        <v>395</v>
      </c>
    </row>
    <row r="926" spans="3:12" ht="15.75" thickBot="1" x14ac:dyDescent="0.3">
      <c r="C926" s="137" t="s">
        <v>494</v>
      </c>
      <c r="D926" s="199"/>
      <c r="E926" s="152">
        <v>12</v>
      </c>
      <c r="F926" s="305">
        <f>HLOOKUP($C926,$BZ$2:$CM$3,2,0)</f>
        <v>463.22</v>
      </c>
      <c r="G926" s="113">
        <f>D926*E926*F926</f>
        <v>0</v>
      </c>
      <c r="H926" s="166"/>
      <c r="I926" s="114" t="s">
        <v>496</v>
      </c>
      <c r="J926" s="114" t="str">
        <f>VLOOKUP(I926,Presupuesto!$B$11:$C$565,2,0)</f>
        <v>SUELDOS Y SALARIOS PERMANENTES</v>
      </c>
      <c r="K926" s="98" t="str">
        <f t="shared" si="29"/>
        <v>Posgrado</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29"/>
        <v>Posgrado</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29"/>
        <v>Posgrado</v>
      </c>
      <c r="L928" s="98" t="s">
        <v>395</v>
      </c>
    </row>
    <row r="929" spans="3:12" ht="15.75" thickBot="1" x14ac:dyDescent="0.3">
      <c r="C929" s="137" t="s">
        <v>495</v>
      </c>
      <c r="D929" s="199"/>
      <c r="E929" s="152">
        <v>12</v>
      </c>
      <c r="F929" s="305">
        <f>HLOOKUP($C929,$BZ$2:$CM$3,2,0)</f>
        <v>2007.3</v>
      </c>
      <c r="G929" s="113">
        <f>D929*E929*F929</f>
        <v>0</v>
      </c>
      <c r="H929" s="166"/>
      <c r="I929" s="114" t="s">
        <v>496</v>
      </c>
      <c r="J929" s="114" t="str">
        <f>VLOOKUP(I929,Presupuesto!$B$11:$C$565,2,0)</f>
        <v>SUELDOS Y SALARIOS PERMANENTES</v>
      </c>
      <c r="K929" s="98" t="str">
        <f t="shared" si="29"/>
        <v>Posgrado</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29"/>
        <v>Posgrado</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29"/>
        <v>Posgrado</v>
      </c>
      <c r="L931" s="98" t="s">
        <v>395</v>
      </c>
    </row>
    <row r="932" spans="3:12" ht="15.75" thickBot="1" x14ac:dyDescent="0.3">
      <c r="C932" s="140" t="s">
        <v>83</v>
      </c>
      <c r="D932" s="199"/>
      <c r="E932" s="152">
        <v>12</v>
      </c>
      <c r="F932" s="139">
        <v>30000</v>
      </c>
      <c r="G932" s="113">
        <f>D932*E932*F932</f>
        <v>0</v>
      </c>
      <c r="H932" s="166"/>
      <c r="I932" s="114" t="s">
        <v>564</v>
      </c>
      <c r="J932" s="114" t="str">
        <f>VLOOKUP(I932,Presupuesto!$B$11:$C$565,2,0)</f>
        <v>CONTRATOS ESPECIALES</v>
      </c>
      <c r="K932" s="98" t="str">
        <f t="shared" si="29"/>
        <v>Posgrado</v>
      </c>
      <c r="L932" s="98" t="s">
        <v>395</v>
      </c>
    </row>
    <row r="933" spans="3:12" x14ac:dyDescent="0.25">
      <c r="C933" s="171" t="s">
        <v>58</v>
      </c>
      <c r="D933" s="163"/>
      <c r="E933" s="154">
        <v>0</v>
      </c>
      <c r="F933" s="117">
        <f>IF(E932=0,"",(G932/E932)/12*E932)</f>
        <v>0</v>
      </c>
      <c r="G933" s="97">
        <f>F933</f>
        <v>0</v>
      </c>
      <c r="H933" s="164"/>
      <c r="I933" s="101" t="s">
        <v>564</v>
      </c>
      <c r="J933" s="101" t="str">
        <f>VLOOKUP(I933,Presupuesto!$B$11:$C$565,2,0)</f>
        <v>CONTRATOS ESPECIALES</v>
      </c>
      <c r="K933" s="98" t="str">
        <f t="shared" si="29"/>
        <v>Posgrado</v>
      </c>
      <c r="L933" s="98" t="s">
        <v>394</v>
      </c>
    </row>
    <row r="934" spans="3:12" ht="15.75" thickBot="1" x14ac:dyDescent="0.3">
      <c r="C934" s="172" t="s">
        <v>59</v>
      </c>
      <c r="D934" s="163"/>
      <c r="E934" s="154">
        <v>0</v>
      </c>
      <c r="F934" s="100">
        <f>IF(E932&lt;6,"",((E932-6)/12)*(G932/E932))</f>
        <v>0</v>
      </c>
      <c r="G934" s="97">
        <f>F934</f>
        <v>0</v>
      </c>
      <c r="H934" s="164"/>
      <c r="I934" s="101" t="s">
        <v>564</v>
      </c>
      <c r="J934" s="101" t="str">
        <f>VLOOKUP(I934,Presupuesto!$B$11:$C$565,2,0)</f>
        <v>CONTRATOS ESPECIALES</v>
      </c>
      <c r="K934" s="98" t="str">
        <f t="shared" si="29"/>
        <v>Posgrado</v>
      </c>
      <c r="L934" s="98" t="s">
        <v>399</v>
      </c>
    </row>
    <row r="935" spans="3:12" ht="15.75" thickBot="1" x14ac:dyDescent="0.3">
      <c r="C935" s="140" t="s">
        <v>60</v>
      </c>
      <c r="D935" s="199"/>
      <c r="E935" s="152">
        <v>12</v>
      </c>
      <c r="F935" s="118">
        <v>30000</v>
      </c>
      <c r="G935" s="113">
        <f>D935*E935*F935</f>
        <v>0</v>
      </c>
      <c r="H935" s="166"/>
      <c r="I935" s="114" t="s">
        <v>705</v>
      </c>
      <c r="J935" s="114" t="str">
        <f>VLOOKUP(I935,Presupuesto!$B$11:$C$565,2,0)</f>
        <v>OTROS SERVICIOS TECNICOS Y PROFESIONALES</v>
      </c>
      <c r="K935" s="98" t="str">
        <f t="shared" si="29"/>
        <v>Posgrado</v>
      </c>
      <c r="L935" s="98" t="s">
        <v>394</v>
      </c>
    </row>
    <row r="936" spans="3:12" x14ac:dyDescent="0.25">
      <c r="C936" s="171" t="s">
        <v>58</v>
      </c>
      <c r="D936" s="163"/>
      <c r="E936" s="154">
        <v>0</v>
      </c>
      <c r="F936" s="100">
        <v>0</v>
      </c>
      <c r="G936" s="97">
        <f>F936</f>
        <v>0</v>
      </c>
      <c r="H936" s="164"/>
      <c r="I936" s="101" t="s">
        <v>705</v>
      </c>
      <c r="J936" s="101" t="str">
        <f>VLOOKUP(I936,Presupuesto!$B$11:$C$565,2,0)</f>
        <v>OTROS SERVICIOS TECNICOS Y PROFESIONALES</v>
      </c>
      <c r="K936" s="98" t="str">
        <f t="shared" si="29"/>
        <v>Posgrado</v>
      </c>
      <c r="L936" s="98" t="s">
        <v>394</v>
      </c>
    </row>
    <row r="937" spans="3:12" ht="15.75" thickBot="1" x14ac:dyDescent="0.3">
      <c r="C937" s="172" t="s">
        <v>59</v>
      </c>
      <c r="D937" s="163"/>
      <c r="E937" s="154">
        <v>0</v>
      </c>
      <c r="F937" s="100">
        <v>0</v>
      </c>
      <c r="G937" s="97">
        <f>F937</f>
        <v>0</v>
      </c>
      <c r="H937" s="164"/>
      <c r="I937" s="101" t="s">
        <v>705</v>
      </c>
      <c r="J937" s="101" t="str">
        <f>VLOOKUP(I937,Presupuesto!$B$11:$C$565,2,0)</f>
        <v>OTROS SERVICIOS TECNICOS Y PROFESIONALES</v>
      </c>
      <c r="K937" s="98" t="str">
        <f t="shared" si="29"/>
        <v>Posgrado</v>
      </c>
      <c r="L937" s="98" t="s">
        <v>394</v>
      </c>
    </row>
    <row r="938" spans="3:12" ht="15.75" thickBot="1" x14ac:dyDescent="0.3">
      <c r="C938" s="140" t="s">
        <v>61</v>
      </c>
      <c r="D938" s="199"/>
      <c r="E938" s="152">
        <v>12</v>
      </c>
      <c r="F938" s="118">
        <v>30000</v>
      </c>
      <c r="G938" s="113">
        <f>D938*E938*F938</f>
        <v>0</v>
      </c>
      <c r="H938" s="166"/>
      <c r="I938" s="114" t="s">
        <v>496</v>
      </c>
      <c r="J938" s="114" t="str">
        <f>VLOOKUP(I938,Presupuesto!$B$11:$C$565,2,0)</f>
        <v>SUELDOS Y SALARIOS PERMANENTES</v>
      </c>
      <c r="K938" s="98" t="str">
        <f t="shared" si="29"/>
        <v>Posgrado</v>
      </c>
      <c r="L938" s="98" t="s">
        <v>394</v>
      </c>
    </row>
    <row r="939" spans="3:12" x14ac:dyDescent="0.25">
      <c r="C939" s="171" t="s">
        <v>58</v>
      </c>
      <c r="D939" s="169"/>
      <c r="E939" s="131">
        <v>0</v>
      </c>
      <c r="F939" s="119">
        <f>IF(E938=0,"",(G938/E938)/12*E938)</f>
        <v>0</v>
      </c>
      <c r="G939" s="120">
        <f>F939</f>
        <v>0</v>
      </c>
      <c r="H939" s="164"/>
      <c r="I939" s="101" t="s">
        <v>516</v>
      </c>
      <c r="J939" s="101" t="str">
        <f>VLOOKUP(I939,Presupuesto!$B$11:$C$565,2,0)</f>
        <v>AGUINALDO Y DECIMO CUARTO MES</v>
      </c>
      <c r="K939" s="98" t="str">
        <f t="shared" si="29"/>
        <v>Posgrado</v>
      </c>
      <c r="L939" s="98" t="s">
        <v>394</v>
      </c>
    </row>
    <row r="940" spans="3:12" ht="15.75" thickBot="1" x14ac:dyDescent="0.3">
      <c r="C940" s="173" t="s">
        <v>59</v>
      </c>
      <c r="D940" s="162"/>
      <c r="E940" s="132">
        <v>0</v>
      </c>
      <c r="F940" s="105">
        <f>IF(E938&lt;6,"",((E938-6)/12)*(G938/E938))</f>
        <v>0</v>
      </c>
      <c r="G940" s="105">
        <f>F940</f>
        <v>0</v>
      </c>
      <c r="H940" s="162"/>
      <c r="I940" s="106" t="s">
        <v>519</v>
      </c>
      <c r="J940" s="124" t="str">
        <f>VLOOKUP(I940,Presupuesto!$B$11:$C$565,2,0)</f>
        <v>DECIMOCUARTO MES</v>
      </c>
      <c r="K940" s="106" t="str">
        <f t="shared" si="29"/>
        <v>Posgrado</v>
      </c>
      <c r="L940" s="124" t="s">
        <v>394</v>
      </c>
    </row>
    <row r="942" spans="3:12" ht="15.75" thickBot="1" x14ac:dyDescent="0.3"/>
    <row r="943" spans="3:12" ht="15.75" thickBot="1" x14ac:dyDescent="0.3">
      <c r="C943" s="69" t="s">
        <v>43</v>
      </c>
      <c r="D943" s="30">
        <f>SUM(G950:G1000)</f>
        <v>0</v>
      </c>
      <c r="E943" s="93"/>
      <c r="F943" s="93"/>
      <c r="G943" s="93"/>
      <c r="H943" s="76"/>
      <c r="I943" s="76"/>
      <c r="J943" s="76"/>
    </row>
    <row r="944" spans="3:12" x14ac:dyDescent="0.25">
      <c r="D944" s="31"/>
      <c r="E944" s="93"/>
      <c r="F944" s="93"/>
      <c r="G944" s="93"/>
      <c r="H944" s="76"/>
      <c r="I944" s="76"/>
      <c r="J944" s="76"/>
    </row>
    <row r="945" spans="3:12" x14ac:dyDescent="0.25">
      <c r="D945" s="31"/>
      <c r="E945" s="93"/>
      <c r="F945" s="93"/>
      <c r="G945" s="93"/>
      <c r="H945" s="76"/>
      <c r="I945" s="76"/>
      <c r="J945" s="76"/>
    </row>
    <row r="946" spans="3:12" ht="15.75" x14ac:dyDescent="0.25">
      <c r="C946" s="202" t="s">
        <v>392</v>
      </c>
      <c r="D946" s="370"/>
      <c r="E946" s="93"/>
      <c r="F946" s="93"/>
      <c r="G946" s="93"/>
      <c r="H946" s="76"/>
      <c r="I946" s="76"/>
      <c r="J946" s="76"/>
    </row>
    <row r="947" spans="3:12" ht="18.75" x14ac:dyDescent="0.25">
      <c r="C947" s="211" t="e">
        <f>IFERROR(VLOOKUP(D946,'1. Desarrollo e Innov. Curricu.'!$E:$F,2,FALSE),IFERROR(VLOOKUP(D946,'2. Investigación Científica'!$E:$F,2,FALSE),IFERROR(VLOOKUP(D946,'3. Vinculación Univ. Sociedad'!$E:$F,2,FALSE),IFERROR(VLOOKUP(D946,'4. Docencia y Profesorado Univ.'!$E:$F,2,FALSE),IFERROR(VLOOKUP(D946,'5. Estudiantes y Graduados'!$E:$F,2,FALSE),IFERROR(VLOOKUP(D946,'11. Gestion Administrativa'!$E:$F,2,FALSE),IFERROR(VLOOKUP(D946,'13. Gestión Académica'!$E:$F,2,FALSE),IFERROR(VLOOKUP(D946,'8. Asegura. de la Calid. y M'!$E:$F,2,FALSE),IFERROR(VLOOKUP(D946,'6. Gestión del Conocimiento'!$E:$F,2,FALSE),IFERROR(VLOOKUP(D946,'15. Gobernabilidad y Proceso...'!$E:$F,2,FALSE),IFERROR(VLOOKUP(D946,'12. Gestión del Talento Humano'!$E:$F,2,FALSE),IFERROR(VLOOKUP(D946,'14. Internacional... de la E.S.'!$E:$F,2,FALSE),IFERROR(VLOOKUP(D946,'10. Posgrado'!$E:$F,2,FALSE),IFERROR(VLOOKUP(D946,'17. Gestión TIC'!$E:$F,2,FALSE),IFERROR(VLOOKUP(D946,'16. Desa. del Sistema Educ.Sup.'!$E:$F,2,FALSE),IFERROR(VLOOKUP(D946,'9. Cultura de Inno. Insti...'!$E:$F,2,FALSE),VLOOKUP(D946,'7. Lo Esencial de la Reforma U.'!$E:$F,2,0)))))))))))))))))</f>
        <v>#N/A</v>
      </c>
      <c r="D947" s="31"/>
      <c r="E947" s="93"/>
      <c r="F947" s="93"/>
      <c r="G947" s="93"/>
      <c r="H947" s="76"/>
      <c r="I947" s="76"/>
      <c r="J947" s="76"/>
    </row>
    <row r="948" spans="3:12" ht="15.75" thickBot="1" x14ac:dyDescent="0.3">
      <c r="C948" s="177"/>
      <c r="D948" s="31"/>
      <c r="E948" s="93"/>
      <c r="F948" s="93"/>
      <c r="G948" s="93"/>
      <c r="H948" s="76"/>
      <c r="I948" s="76"/>
      <c r="J948" s="76"/>
      <c r="K948" s="153"/>
    </row>
    <row r="949" spans="3:12" ht="30.75" thickBot="1" x14ac:dyDescent="0.3">
      <c r="C949" s="134" t="s">
        <v>44</v>
      </c>
      <c r="D949" s="138" t="s">
        <v>55</v>
      </c>
      <c r="E949" s="170" t="s">
        <v>56</v>
      </c>
      <c r="F949" s="138" t="s">
        <v>57</v>
      </c>
      <c r="G949" s="135" t="s">
        <v>27</v>
      </c>
      <c r="H949" s="133" t="s">
        <v>131</v>
      </c>
      <c r="I949" s="136" t="s">
        <v>46</v>
      </c>
      <c r="J949" s="136" t="s">
        <v>132</v>
      </c>
      <c r="K949" s="136" t="s">
        <v>410</v>
      </c>
      <c r="L949" s="136" t="s">
        <v>411</v>
      </c>
    </row>
    <row r="950" spans="3:12" ht="15.75" thickBot="1" x14ac:dyDescent="0.3">
      <c r="C950" s="137" t="s">
        <v>482</v>
      </c>
      <c r="D950" s="199"/>
      <c r="E950" s="152">
        <v>12</v>
      </c>
      <c r="F950" s="305">
        <f>HLOOKUP($C950,$BZ$2:$CM$3,2,0)</f>
        <v>43674.39</v>
      </c>
      <c r="G950" s="113">
        <f>D950*E950*F950</f>
        <v>0</v>
      </c>
      <c r="H950" s="166"/>
      <c r="I950" s="114" t="s">
        <v>496</v>
      </c>
      <c r="J950" s="114" t="str">
        <f>VLOOKUP(I950,Presupuesto!$B$11:$C$565,2,0)</f>
        <v>SUELDOS Y SALARIOS PERMANENTES</v>
      </c>
      <c r="K950" s="219" t="s">
        <v>1479</v>
      </c>
      <c r="L950" s="98" t="s">
        <v>394</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ref="K951:K982" si="30">$K$950</f>
        <v>Desarrollo del Sistema de Educación Superior</v>
      </c>
      <c r="L951" s="98" t="s">
        <v>412</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0"/>
        <v>Desarrollo del Sistema de Educación Superior</v>
      </c>
      <c r="L952" s="98" t="s">
        <v>395</v>
      </c>
    </row>
    <row r="953" spans="3:12" ht="15.75" thickBot="1" x14ac:dyDescent="0.3">
      <c r="C953" s="137" t="s">
        <v>483</v>
      </c>
      <c r="D953" s="199"/>
      <c r="E953" s="152">
        <v>12</v>
      </c>
      <c r="F953" s="305">
        <f>HLOOKUP($C953,$BZ$2:$CM$3,2,0)</f>
        <v>39703.99</v>
      </c>
      <c r="G953" s="113">
        <f>D953*E953*F953</f>
        <v>0</v>
      </c>
      <c r="H953" s="166"/>
      <c r="I953" s="114" t="s">
        <v>496</v>
      </c>
      <c r="J953" s="114" t="str">
        <f>VLOOKUP(I953,Presupuesto!$B$11:$C$565,2,0)</f>
        <v>SUELDOS Y SALARIOS PERMANENTES</v>
      </c>
      <c r="K953" s="98" t="str">
        <f t="shared" si="30"/>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0"/>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0"/>
        <v>Desarrollo del Sistema de Educación Superior</v>
      </c>
      <c r="L955" s="98" t="s">
        <v>395</v>
      </c>
    </row>
    <row r="956" spans="3:12" ht="15.75" thickBot="1" x14ac:dyDescent="0.3">
      <c r="C956" s="137" t="s">
        <v>484</v>
      </c>
      <c r="D956" s="199"/>
      <c r="E956" s="152">
        <v>12</v>
      </c>
      <c r="F956" s="305">
        <f>HLOOKUP($C956,$BZ$2:$CM$3,2,0)</f>
        <v>35733.589999999997</v>
      </c>
      <c r="G956" s="113">
        <f>D956*E956*F956</f>
        <v>0</v>
      </c>
      <c r="H956" s="166"/>
      <c r="I956" s="114" t="s">
        <v>496</v>
      </c>
      <c r="J956" s="114" t="str">
        <f>VLOOKUP(I956,Presupuesto!$B$11:$C$565,2,0)</f>
        <v>SUELDOS Y SALARIOS PERMANENTES</v>
      </c>
      <c r="K956" s="98" t="str">
        <f t="shared" si="30"/>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0"/>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0"/>
        <v>Desarrollo del Sistema de Educación Superior</v>
      </c>
      <c r="L958" s="98" t="s">
        <v>395</v>
      </c>
    </row>
    <row r="959" spans="3:12" ht="15.75" thickBot="1" x14ac:dyDescent="0.3">
      <c r="C959" s="137" t="s">
        <v>485</v>
      </c>
      <c r="D959" s="199"/>
      <c r="E959" s="152">
        <v>12</v>
      </c>
      <c r="F959" s="305">
        <f>HLOOKUP($C959,$BZ$2:$CM$3,2,0)</f>
        <v>31763.19</v>
      </c>
      <c r="G959" s="113">
        <f>D959*E959*F959</f>
        <v>0</v>
      </c>
      <c r="H959" s="166"/>
      <c r="I959" s="114" t="s">
        <v>496</v>
      </c>
      <c r="J959" s="114" t="str">
        <f>VLOOKUP(I959,Presupuesto!$B$11:$C$565,2,0)</f>
        <v>SUELDOS Y SALARIOS PERMANENTES</v>
      </c>
      <c r="K959" s="98" t="str">
        <f t="shared" si="30"/>
        <v>Desarrollo del Sistema de Educación Superior</v>
      </c>
      <c r="L959" s="98" t="s">
        <v>395</v>
      </c>
    </row>
    <row r="960" spans="3:12" x14ac:dyDescent="0.25">
      <c r="C960" s="171" t="s">
        <v>58</v>
      </c>
      <c r="D960" s="163"/>
      <c r="E960" s="154">
        <v>0</v>
      </c>
      <c r="F960" s="100">
        <f>IF(E959=0,"",(G959/E959)/12*E959)</f>
        <v>0</v>
      </c>
      <c r="G960" s="97">
        <f>F960</f>
        <v>0</v>
      </c>
      <c r="H960" s="164"/>
      <c r="I960" s="116" t="s">
        <v>516</v>
      </c>
      <c r="J960" s="116" t="str">
        <f>VLOOKUP(I960,Presupuesto!$B$11:$C$565,2,0)</f>
        <v>AGUINALDO Y DECIMO CUARTO MES</v>
      </c>
      <c r="K960" s="98" t="str">
        <f t="shared" si="30"/>
        <v>Desarrollo del Sistema de Educación Superior</v>
      </c>
      <c r="L960" s="98" t="s">
        <v>395</v>
      </c>
    </row>
    <row r="961" spans="3:12" ht="15.75" thickBot="1" x14ac:dyDescent="0.3">
      <c r="C961" s="172" t="s">
        <v>59</v>
      </c>
      <c r="D961" s="163"/>
      <c r="E961" s="154">
        <v>0</v>
      </c>
      <c r="F961" s="117">
        <f>IF(E959&lt;6,"",((E959-6)/12)*(G959/E959))</f>
        <v>0</v>
      </c>
      <c r="G961" s="97">
        <f>F961</f>
        <v>0</v>
      </c>
      <c r="H961" s="164"/>
      <c r="I961" s="101" t="s">
        <v>519</v>
      </c>
      <c r="J961" s="101" t="str">
        <f>VLOOKUP(I961,Presupuesto!$B$11:$C$565,2,0)</f>
        <v>DECIMOCUARTO MES</v>
      </c>
      <c r="K961" s="98" t="str">
        <f t="shared" si="30"/>
        <v>Desarrollo del Sistema de Educación Superior</v>
      </c>
      <c r="L961" s="98" t="s">
        <v>395</v>
      </c>
    </row>
    <row r="962" spans="3:12" ht="15.75" thickBot="1" x14ac:dyDescent="0.3">
      <c r="C962" s="137" t="s">
        <v>486</v>
      </c>
      <c r="D962" s="199"/>
      <c r="E962" s="152">
        <v>12</v>
      </c>
      <c r="F962" s="305">
        <f>HLOOKUP($C962,$BZ$2:$CM$3,2,0)</f>
        <v>29777.99</v>
      </c>
      <c r="G962" s="113">
        <f>D962*E962*F962</f>
        <v>0</v>
      </c>
      <c r="H962" s="166"/>
      <c r="I962" s="114" t="s">
        <v>496</v>
      </c>
      <c r="J962" s="114" t="str">
        <f>VLOOKUP(I962,Presupuesto!$B$11:$C$565,2,0)</f>
        <v>SUELDOS Y SALARIOS PERMANENTES</v>
      </c>
      <c r="K962" s="98" t="str">
        <f t="shared" si="30"/>
        <v>Desarrollo del Sistema de Educación Superior</v>
      </c>
      <c r="L962" s="98" t="s">
        <v>395</v>
      </c>
    </row>
    <row r="963" spans="3:12" x14ac:dyDescent="0.25">
      <c r="C963" s="171" t="s">
        <v>58</v>
      </c>
      <c r="D963" s="163"/>
      <c r="E963" s="154">
        <v>0</v>
      </c>
      <c r="F963" s="100">
        <f>IF(E962=0,"",(G962/E962)/12*E962)</f>
        <v>0</v>
      </c>
      <c r="G963" s="97">
        <f>F963</f>
        <v>0</v>
      </c>
      <c r="H963" s="164"/>
      <c r="I963" s="116" t="s">
        <v>516</v>
      </c>
      <c r="J963" s="116" t="str">
        <f>VLOOKUP(I963,Presupuesto!$B$11:$C$565,2,0)</f>
        <v>AGUINALDO Y DECIMO CUARTO MES</v>
      </c>
      <c r="K963" s="98" t="str">
        <f t="shared" si="30"/>
        <v>Desarrollo del Sistema de Educación Superior</v>
      </c>
      <c r="L963" s="98" t="s">
        <v>395</v>
      </c>
    </row>
    <row r="964" spans="3:12" ht="15.75" thickBot="1" x14ac:dyDescent="0.3">
      <c r="C964" s="172" t="s">
        <v>59</v>
      </c>
      <c r="D964" s="163"/>
      <c r="E964" s="154">
        <v>0</v>
      </c>
      <c r="F964" s="117">
        <f>IF(E962&lt;6,"",((E962-6)/12)*(G962/E962))</f>
        <v>0</v>
      </c>
      <c r="G964" s="97">
        <f>F964</f>
        <v>0</v>
      </c>
      <c r="H964" s="164"/>
      <c r="I964" s="101" t="s">
        <v>519</v>
      </c>
      <c r="J964" s="101" t="str">
        <f>VLOOKUP(I964,Presupuesto!$B$11:$C$565,2,0)</f>
        <v>DECIMOCUARTO MES</v>
      </c>
      <c r="K964" s="98" t="str">
        <f t="shared" si="30"/>
        <v>Desarrollo del Sistema de Educación Superior</v>
      </c>
      <c r="L964" s="98" t="s">
        <v>395</v>
      </c>
    </row>
    <row r="965" spans="3:12" ht="15.75" thickBot="1" x14ac:dyDescent="0.3">
      <c r="C965" s="137" t="s">
        <v>487</v>
      </c>
      <c r="D965" s="199"/>
      <c r="E965" s="152">
        <v>12</v>
      </c>
      <c r="F965" s="305">
        <f>HLOOKUP($C965,$BZ$2:$CM$3,2,0)</f>
        <v>27792.79</v>
      </c>
      <c r="G965" s="113">
        <f>D965*E965*F965</f>
        <v>0</v>
      </c>
      <c r="H965" s="166"/>
      <c r="I965" s="114" t="s">
        <v>496</v>
      </c>
      <c r="J965" s="114" t="str">
        <f>VLOOKUP(I965,Presupuesto!$B$11:$C$565,2,0)</f>
        <v>SUELDOS Y SALARIOS PERMANENTES</v>
      </c>
      <c r="K965" s="98" t="str">
        <f t="shared" si="30"/>
        <v>Desarrollo del Sistema de Educación Superior</v>
      </c>
      <c r="L965" s="98" t="s">
        <v>395</v>
      </c>
    </row>
    <row r="966" spans="3:12" x14ac:dyDescent="0.25">
      <c r="C966" s="171" t="s">
        <v>58</v>
      </c>
      <c r="D966" s="163"/>
      <c r="E966" s="154">
        <v>0</v>
      </c>
      <c r="F966" s="100">
        <f>IF(E965=0,"",(G965/E965)/12*E965)</f>
        <v>0</v>
      </c>
      <c r="G966" s="97">
        <f>F966</f>
        <v>0</v>
      </c>
      <c r="H966" s="164"/>
      <c r="I966" s="116" t="s">
        <v>516</v>
      </c>
      <c r="J966" s="116" t="str">
        <f>VLOOKUP(I966,Presupuesto!$B$11:$C$565,2,0)</f>
        <v>AGUINALDO Y DECIMO CUARTO MES</v>
      </c>
      <c r="K966" s="98" t="str">
        <f t="shared" si="30"/>
        <v>Desarrollo del Sistema de Educación Superior</v>
      </c>
      <c r="L966" s="98" t="s">
        <v>395</v>
      </c>
    </row>
    <row r="967" spans="3:12" ht="15.75" thickBot="1" x14ac:dyDescent="0.3">
      <c r="C967" s="172" t="s">
        <v>59</v>
      </c>
      <c r="D967" s="163"/>
      <c r="E967" s="154">
        <v>0</v>
      </c>
      <c r="F967" s="117">
        <f>IF(E965&lt;6,"",((E965-6)/12)*(G965/E965))</f>
        <v>0</v>
      </c>
      <c r="G967" s="97">
        <f>F967</f>
        <v>0</v>
      </c>
      <c r="H967" s="164"/>
      <c r="I967" s="101" t="s">
        <v>519</v>
      </c>
      <c r="J967" s="101" t="str">
        <f>VLOOKUP(I967,Presupuesto!$B$11:$C$565,2,0)</f>
        <v>DECIMOCUARTO MES</v>
      </c>
      <c r="K967" s="98" t="str">
        <f t="shared" si="30"/>
        <v>Desarrollo del Sistema de Educación Superior</v>
      </c>
      <c r="L967" s="98" t="s">
        <v>395</v>
      </c>
    </row>
    <row r="968" spans="3:12" ht="15.75" thickBot="1" x14ac:dyDescent="0.3">
      <c r="C968" s="137" t="s">
        <v>488</v>
      </c>
      <c r="D968" s="199"/>
      <c r="E968" s="152">
        <v>12</v>
      </c>
      <c r="F968" s="305">
        <f>HLOOKUP($C968,$BZ$2:$CM$3,2,0)</f>
        <v>18859.39</v>
      </c>
      <c r="G968" s="113">
        <f>D968*E968*F968</f>
        <v>0</v>
      </c>
      <c r="H968" s="166"/>
      <c r="I968" s="114" t="s">
        <v>496</v>
      </c>
      <c r="J968" s="114" t="str">
        <f>VLOOKUP(I968,Presupuesto!$B$11:$C$565,2,0)</f>
        <v>SUELDOS Y SALARIOS PERMANENTES</v>
      </c>
      <c r="K968" s="98" t="str">
        <f t="shared" si="30"/>
        <v>Desarrollo del Sistema de Educación Superior</v>
      </c>
      <c r="L968" s="98" t="s">
        <v>395</v>
      </c>
    </row>
    <row r="969" spans="3:12" x14ac:dyDescent="0.25">
      <c r="C969" s="171" t="s">
        <v>58</v>
      </c>
      <c r="D969" s="163"/>
      <c r="E969" s="154">
        <v>0</v>
      </c>
      <c r="F969" s="100">
        <f>IF(E968=0,"",(G968/E968)/12*E968)</f>
        <v>0</v>
      </c>
      <c r="G969" s="97">
        <f>F969</f>
        <v>0</v>
      </c>
      <c r="H969" s="164"/>
      <c r="I969" s="116" t="s">
        <v>516</v>
      </c>
      <c r="J969" s="116" t="str">
        <f>VLOOKUP(I969,Presupuesto!$B$11:$C$565,2,0)</f>
        <v>AGUINALDO Y DECIMO CUARTO MES</v>
      </c>
      <c r="K969" s="98" t="str">
        <f t="shared" si="30"/>
        <v>Desarrollo del Sistema de Educación Superior</v>
      </c>
      <c r="L969" s="98" t="s">
        <v>395</v>
      </c>
    </row>
    <row r="970" spans="3:12" ht="15.75" thickBot="1" x14ac:dyDescent="0.3">
      <c r="C970" s="172" t="s">
        <v>59</v>
      </c>
      <c r="D970" s="163"/>
      <c r="E970" s="154">
        <v>0</v>
      </c>
      <c r="F970" s="117">
        <f>IF(E968&lt;6,"",((E968-6)/12)*(G968/E968))</f>
        <v>0</v>
      </c>
      <c r="G970" s="97">
        <f>F970</f>
        <v>0</v>
      </c>
      <c r="H970" s="164"/>
      <c r="I970" s="101" t="s">
        <v>519</v>
      </c>
      <c r="J970" s="101" t="str">
        <f>VLOOKUP(I970,Presupuesto!$B$11:$C$565,2,0)</f>
        <v>DECIMOCUARTO MES</v>
      </c>
      <c r="K970" s="98" t="str">
        <f t="shared" si="30"/>
        <v>Desarrollo del Sistema de Educación Superior</v>
      </c>
      <c r="L970" s="98" t="s">
        <v>395</v>
      </c>
    </row>
    <row r="971" spans="3:12" ht="15.75" thickBot="1" x14ac:dyDescent="0.3">
      <c r="C971" s="137" t="s">
        <v>489</v>
      </c>
      <c r="D971" s="199"/>
      <c r="E971" s="152">
        <v>12</v>
      </c>
      <c r="F971" s="305">
        <f>HLOOKUP($C971,$BZ$2:$CM$3,2,0)</f>
        <v>17866.8</v>
      </c>
      <c r="G971" s="113">
        <f>D971*E971*F971</f>
        <v>0</v>
      </c>
      <c r="H971" s="166"/>
      <c r="I971" s="114" t="s">
        <v>496</v>
      </c>
      <c r="J971" s="114" t="str">
        <f>VLOOKUP(I971,Presupuesto!$B$11:$C$565,2,0)</f>
        <v>SUELDOS Y SALARIOS PERMANENTES</v>
      </c>
      <c r="K971" s="98" t="str">
        <f t="shared" si="30"/>
        <v>Desarrollo del Sistema de Educación Superior</v>
      </c>
      <c r="L971" s="98" t="s">
        <v>395</v>
      </c>
    </row>
    <row r="972" spans="3:12" x14ac:dyDescent="0.25">
      <c r="C972" s="171" t="s">
        <v>58</v>
      </c>
      <c r="D972" s="163"/>
      <c r="E972" s="154">
        <v>0</v>
      </c>
      <c r="F972" s="100">
        <f>IF(E971=0,"",(G971/E971)/12*E971)</f>
        <v>0</v>
      </c>
      <c r="G972" s="97">
        <f>F972</f>
        <v>0</v>
      </c>
      <c r="H972" s="164"/>
      <c r="I972" s="116" t="s">
        <v>516</v>
      </c>
      <c r="J972" s="116" t="str">
        <f>VLOOKUP(I972,Presupuesto!$B$11:$C$565,2,0)</f>
        <v>AGUINALDO Y DECIMO CUARTO MES</v>
      </c>
      <c r="K972" s="98" t="str">
        <f t="shared" si="30"/>
        <v>Desarrollo del Sistema de Educación Superior</v>
      </c>
      <c r="L972" s="98" t="s">
        <v>395</v>
      </c>
    </row>
    <row r="973" spans="3:12" ht="15.75" thickBot="1" x14ac:dyDescent="0.3">
      <c r="C973" s="172" t="s">
        <v>59</v>
      </c>
      <c r="D973" s="163"/>
      <c r="E973" s="154">
        <v>0</v>
      </c>
      <c r="F973" s="117">
        <f>IF(E971&lt;6,"",((E971-6)/12)*(G971/E971))</f>
        <v>0</v>
      </c>
      <c r="G973" s="97">
        <f>F973</f>
        <v>0</v>
      </c>
      <c r="H973" s="164"/>
      <c r="I973" s="101" t="s">
        <v>519</v>
      </c>
      <c r="J973" s="101" t="str">
        <f>VLOOKUP(I973,Presupuesto!$B$11:$C$565,2,0)</f>
        <v>DECIMOCUARTO MES</v>
      </c>
      <c r="K973" s="98" t="str">
        <f t="shared" si="30"/>
        <v>Desarrollo del Sistema de Educación Superior</v>
      </c>
      <c r="L973" s="98" t="s">
        <v>395</v>
      </c>
    </row>
    <row r="974" spans="3:12" ht="15.75" thickBot="1" x14ac:dyDescent="0.3">
      <c r="C974" s="137" t="s">
        <v>490</v>
      </c>
      <c r="D974" s="199"/>
      <c r="E974" s="152">
        <v>12</v>
      </c>
      <c r="F974" s="305">
        <f>HLOOKUP($C974,$BZ$2:$CM$3,2,0)</f>
        <v>13896.4</v>
      </c>
      <c r="G974" s="113">
        <f>D974*E974*F974</f>
        <v>0</v>
      </c>
      <c r="H974" s="166"/>
      <c r="I974" s="114" t="s">
        <v>496</v>
      </c>
      <c r="J974" s="114" t="str">
        <f>VLOOKUP(I974,Presupuesto!$B$11:$C$565,2,0)</f>
        <v>SUELDOS Y SALARIOS PERMANENTES</v>
      </c>
      <c r="K974" s="98" t="str">
        <f t="shared" si="30"/>
        <v>Desarrollo del Sistema de Educación Superior</v>
      </c>
      <c r="L974" s="98" t="s">
        <v>395</v>
      </c>
    </row>
    <row r="975" spans="3:12" x14ac:dyDescent="0.25">
      <c r="C975" s="171" t="s">
        <v>58</v>
      </c>
      <c r="D975" s="163"/>
      <c r="E975" s="154">
        <v>0</v>
      </c>
      <c r="F975" s="100">
        <f>IF(E974=0,"",(G974/E974)/12*E974)</f>
        <v>0</v>
      </c>
      <c r="G975" s="97">
        <f>F975</f>
        <v>0</v>
      </c>
      <c r="H975" s="164"/>
      <c r="I975" s="116" t="s">
        <v>516</v>
      </c>
      <c r="J975" s="116" t="str">
        <f>VLOOKUP(I975,Presupuesto!$B$11:$C$565,2,0)</f>
        <v>AGUINALDO Y DECIMO CUARTO MES</v>
      </c>
      <c r="K975" s="98" t="str">
        <f t="shared" si="30"/>
        <v>Desarrollo del Sistema de Educación Superior</v>
      </c>
      <c r="L975" s="98" t="s">
        <v>395</v>
      </c>
    </row>
    <row r="976" spans="3:12" ht="15.75" thickBot="1" x14ac:dyDescent="0.3">
      <c r="C976" s="172" t="s">
        <v>59</v>
      </c>
      <c r="D976" s="163"/>
      <c r="E976" s="154">
        <v>0</v>
      </c>
      <c r="F976" s="117">
        <f>IF(E974&lt;6,"",((E974-6)/12)*(G974/E974))</f>
        <v>0</v>
      </c>
      <c r="G976" s="97">
        <f>F976</f>
        <v>0</v>
      </c>
      <c r="H976" s="164"/>
      <c r="I976" s="101" t="s">
        <v>519</v>
      </c>
      <c r="J976" s="101" t="str">
        <f>VLOOKUP(I976,Presupuesto!$B$11:$C$565,2,0)</f>
        <v>DECIMOCUARTO MES</v>
      </c>
      <c r="K976" s="98" t="str">
        <f t="shared" si="30"/>
        <v>Desarrollo del Sistema de Educación Superior</v>
      </c>
      <c r="L976" s="98" t="s">
        <v>395</v>
      </c>
    </row>
    <row r="977" spans="3:12" ht="15.75" thickBot="1" x14ac:dyDescent="0.3">
      <c r="C977" s="137" t="s">
        <v>491</v>
      </c>
      <c r="D977" s="199"/>
      <c r="E977" s="152">
        <v>12</v>
      </c>
      <c r="F977" s="305">
        <f>HLOOKUP($C977,$BZ$2:$CM$3,2,0)</f>
        <v>15004.09</v>
      </c>
      <c r="G977" s="113">
        <f>D977*E977*F977</f>
        <v>0</v>
      </c>
      <c r="H977" s="166"/>
      <c r="I977" s="114" t="s">
        <v>496</v>
      </c>
      <c r="J977" s="114" t="str">
        <f>VLOOKUP(I977,Presupuesto!$B$11:$C$565,2,0)</f>
        <v>SUELDOS Y SALARIOS PERMANENTES</v>
      </c>
      <c r="K977" s="98" t="str">
        <f t="shared" si="30"/>
        <v>Desarrollo del Sistema de Educación Superior</v>
      </c>
      <c r="L977" s="98" t="s">
        <v>395</v>
      </c>
    </row>
    <row r="978" spans="3:12" x14ac:dyDescent="0.25">
      <c r="C978" s="171" t="s">
        <v>58</v>
      </c>
      <c r="D978" s="163"/>
      <c r="E978" s="154">
        <v>0</v>
      </c>
      <c r="F978" s="100">
        <f>IF(E977=0,"",(G977/E977)/12*E977)</f>
        <v>0</v>
      </c>
      <c r="G978" s="97">
        <f>F978</f>
        <v>0</v>
      </c>
      <c r="H978" s="164"/>
      <c r="I978" s="116" t="s">
        <v>516</v>
      </c>
      <c r="J978" s="116" t="str">
        <f>VLOOKUP(I978,Presupuesto!$B$11:$C$565,2,0)</f>
        <v>AGUINALDO Y DECIMO CUARTO MES</v>
      </c>
      <c r="K978" s="98" t="str">
        <f t="shared" si="30"/>
        <v>Desarrollo del Sistema de Educación Superior</v>
      </c>
      <c r="L978" s="98" t="s">
        <v>395</v>
      </c>
    </row>
    <row r="979" spans="3:12" ht="15.75" thickBot="1" x14ac:dyDescent="0.3">
      <c r="C979" s="172" t="s">
        <v>59</v>
      </c>
      <c r="D979" s="163"/>
      <c r="E979" s="154">
        <v>0</v>
      </c>
      <c r="F979" s="117">
        <f>IF(E977&lt;6,"",((E977-6)/12)*(G977/E977))</f>
        <v>0</v>
      </c>
      <c r="G979" s="97">
        <f>F979</f>
        <v>0</v>
      </c>
      <c r="H979" s="164"/>
      <c r="I979" s="101" t="s">
        <v>519</v>
      </c>
      <c r="J979" s="101" t="str">
        <f>VLOOKUP(I979,Presupuesto!$B$11:$C$565,2,0)</f>
        <v>DECIMOCUARTO MES</v>
      </c>
      <c r="K979" s="98" t="str">
        <f t="shared" si="30"/>
        <v>Desarrollo del Sistema de Educación Superior</v>
      </c>
      <c r="L979" s="98" t="s">
        <v>395</v>
      </c>
    </row>
    <row r="980" spans="3:12" ht="15.75" thickBot="1" x14ac:dyDescent="0.3">
      <c r="C980" s="137" t="s">
        <v>492</v>
      </c>
      <c r="D980" s="199"/>
      <c r="E980" s="152">
        <v>12</v>
      </c>
      <c r="F980" s="305">
        <f>HLOOKUP($C980,$BZ$2:$CM$3,2,0)</f>
        <v>13238.9</v>
      </c>
      <c r="G980" s="113">
        <f>D980*E980*F980</f>
        <v>0</v>
      </c>
      <c r="H980" s="166"/>
      <c r="I980" s="114" t="s">
        <v>496</v>
      </c>
      <c r="J980" s="114" t="str">
        <f>VLOOKUP(I980,Presupuesto!$B$11:$C$565,2,0)</f>
        <v>SUELDOS Y SALARIOS PERMANENTES</v>
      </c>
      <c r="K980" s="98" t="str">
        <f t="shared" si="30"/>
        <v>Desarrollo del Sistema de Educación Superior</v>
      </c>
      <c r="L980" s="98" t="s">
        <v>395</v>
      </c>
    </row>
    <row r="981" spans="3:12" x14ac:dyDescent="0.25">
      <c r="C981" s="171" t="s">
        <v>58</v>
      </c>
      <c r="D981" s="163"/>
      <c r="E981" s="154">
        <v>0</v>
      </c>
      <c r="F981" s="100">
        <f>IF(E980=0,"",(G980/E980)/12*E980)</f>
        <v>0</v>
      </c>
      <c r="G981" s="97">
        <f>F981</f>
        <v>0</v>
      </c>
      <c r="H981" s="164"/>
      <c r="I981" s="116" t="s">
        <v>516</v>
      </c>
      <c r="J981" s="116" t="str">
        <f>VLOOKUP(I981,Presupuesto!$B$11:$C$565,2,0)</f>
        <v>AGUINALDO Y DECIMO CUARTO MES</v>
      </c>
      <c r="K981" s="98" t="str">
        <f t="shared" si="30"/>
        <v>Desarrollo del Sistema de Educación Superior</v>
      </c>
      <c r="L981" s="98" t="s">
        <v>395</v>
      </c>
    </row>
    <row r="982" spans="3:12" ht="15.75" thickBot="1" x14ac:dyDescent="0.3">
      <c r="C982" s="172" t="s">
        <v>59</v>
      </c>
      <c r="D982" s="163"/>
      <c r="E982" s="154">
        <v>0</v>
      </c>
      <c r="F982" s="117">
        <f>IF(E980&lt;6,"",((E980-6)/12)*(G980/E980))</f>
        <v>0</v>
      </c>
      <c r="G982" s="97">
        <f>F982</f>
        <v>0</v>
      </c>
      <c r="H982" s="164"/>
      <c r="I982" s="101" t="s">
        <v>519</v>
      </c>
      <c r="J982" s="101" t="str">
        <f>VLOOKUP(I982,Presupuesto!$B$11:$C$565,2,0)</f>
        <v>DECIMOCUARTO MES</v>
      </c>
      <c r="K982" s="98" t="str">
        <f t="shared" si="30"/>
        <v>Desarrollo del Sistema de Educación Superior</v>
      </c>
      <c r="L982" s="98" t="s">
        <v>395</v>
      </c>
    </row>
    <row r="983" spans="3:12" ht="15.75" thickBot="1" x14ac:dyDescent="0.3">
      <c r="C983" s="137" t="s">
        <v>493</v>
      </c>
      <c r="D983" s="199"/>
      <c r="E983" s="152">
        <v>12</v>
      </c>
      <c r="F983" s="305">
        <f>HLOOKUP($C983,$BZ$2:$CM$3,2,0)</f>
        <v>12356.31</v>
      </c>
      <c r="G983" s="113">
        <f>D983*E983*F983</f>
        <v>0</v>
      </c>
      <c r="H983" s="166"/>
      <c r="I983" s="114" t="s">
        <v>496</v>
      </c>
      <c r="J983" s="114" t="str">
        <f>VLOOKUP(I983,Presupuesto!$B$11:$C$565,2,0)</f>
        <v>SUELDOS Y SALARIOS PERMANENTES</v>
      </c>
      <c r="K983" s="98" t="str">
        <f t="shared" ref="K983:K1000" si="31">$K$950</f>
        <v>Desarrollo del Sistema de Educación Superior</v>
      </c>
      <c r="L983" s="98" t="s">
        <v>395</v>
      </c>
    </row>
    <row r="984" spans="3:12" x14ac:dyDescent="0.25">
      <c r="C984" s="171" t="s">
        <v>58</v>
      </c>
      <c r="D984" s="163"/>
      <c r="E984" s="154">
        <v>0</v>
      </c>
      <c r="F984" s="100">
        <f>IF(E983=0,"",(G983/E983)/12*E983)</f>
        <v>0</v>
      </c>
      <c r="G984" s="97">
        <f>F984</f>
        <v>0</v>
      </c>
      <c r="H984" s="164"/>
      <c r="I984" s="116" t="s">
        <v>516</v>
      </c>
      <c r="J984" s="116" t="str">
        <f>VLOOKUP(I984,Presupuesto!$B$11:$C$565,2,0)</f>
        <v>AGUINALDO Y DECIMO CUARTO MES</v>
      </c>
      <c r="K984" s="98" t="str">
        <f t="shared" si="31"/>
        <v>Desarrollo del Sistema de Educación Superior</v>
      </c>
      <c r="L984" s="98" t="s">
        <v>395</v>
      </c>
    </row>
    <row r="985" spans="3:12" ht="15.75" thickBot="1" x14ac:dyDescent="0.3">
      <c r="C985" s="172" t="s">
        <v>59</v>
      </c>
      <c r="D985" s="163"/>
      <c r="E985" s="154">
        <v>0</v>
      </c>
      <c r="F985" s="117">
        <f>IF(E983&lt;6,"",((E983-6)/12)*(G983/E983))</f>
        <v>0</v>
      </c>
      <c r="G985" s="97">
        <f>F985</f>
        <v>0</v>
      </c>
      <c r="H985" s="164"/>
      <c r="I985" s="101" t="s">
        <v>519</v>
      </c>
      <c r="J985" s="101" t="str">
        <f>VLOOKUP(I985,Presupuesto!$B$11:$C$565,2,0)</f>
        <v>DECIMOCUARTO MES</v>
      </c>
      <c r="K985" s="98" t="str">
        <f t="shared" si="31"/>
        <v>Desarrollo del Sistema de Educación Superior</v>
      </c>
      <c r="L985" s="98" t="s">
        <v>395</v>
      </c>
    </row>
    <row r="986" spans="3:12" ht="15.75" thickBot="1" x14ac:dyDescent="0.3">
      <c r="C986" s="137" t="s">
        <v>494</v>
      </c>
      <c r="D986" s="199"/>
      <c r="E986" s="152">
        <v>12</v>
      </c>
      <c r="F986" s="305">
        <f>HLOOKUP($C986,$BZ$2:$CM$3,2,0)</f>
        <v>463.22</v>
      </c>
      <c r="G986" s="113">
        <f>D986*E986*F986</f>
        <v>0</v>
      </c>
      <c r="H986" s="166"/>
      <c r="I986" s="114" t="s">
        <v>496</v>
      </c>
      <c r="J986" s="114" t="str">
        <f>VLOOKUP(I986,Presupuesto!$B$11:$C$565,2,0)</f>
        <v>SUELDOS Y SALARIOS PERMANENTES</v>
      </c>
      <c r="K986" s="98" t="str">
        <f t="shared" si="31"/>
        <v>Desarrollo del Sistema de Educación Superior</v>
      </c>
      <c r="L986" s="98" t="s">
        <v>395</v>
      </c>
    </row>
    <row r="987" spans="3:12" x14ac:dyDescent="0.25">
      <c r="C987" s="171" t="s">
        <v>58</v>
      </c>
      <c r="D987" s="163"/>
      <c r="E987" s="154">
        <v>0</v>
      </c>
      <c r="F987" s="100">
        <f>IF(E986=0,"",(G986/E986)/12*E986)</f>
        <v>0</v>
      </c>
      <c r="G987" s="97">
        <f>F987</f>
        <v>0</v>
      </c>
      <c r="H987" s="164"/>
      <c r="I987" s="116" t="s">
        <v>516</v>
      </c>
      <c r="J987" s="116" t="str">
        <f>VLOOKUP(I987,Presupuesto!$B$11:$C$565,2,0)</f>
        <v>AGUINALDO Y DECIMO CUARTO MES</v>
      </c>
      <c r="K987" s="98" t="str">
        <f t="shared" si="31"/>
        <v>Desarrollo del Sistema de Educación Superior</v>
      </c>
      <c r="L987" s="98" t="s">
        <v>395</v>
      </c>
    </row>
    <row r="988" spans="3:12" ht="15.75" thickBot="1" x14ac:dyDescent="0.3">
      <c r="C988" s="172" t="s">
        <v>59</v>
      </c>
      <c r="D988" s="163"/>
      <c r="E988" s="154">
        <v>0</v>
      </c>
      <c r="F988" s="117">
        <f>IF(E986&lt;6,"",((E986-6)/12)*(G986/E986))</f>
        <v>0</v>
      </c>
      <c r="G988" s="97">
        <f>F988</f>
        <v>0</v>
      </c>
      <c r="H988" s="164"/>
      <c r="I988" s="101" t="s">
        <v>519</v>
      </c>
      <c r="J988" s="101" t="str">
        <f>VLOOKUP(I988,Presupuesto!$B$11:$C$565,2,0)</f>
        <v>DECIMOCUARTO MES</v>
      </c>
      <c r="K988" s="98" t="str">
        <f t="shared" si="31"/>
        <v>Desarrollo del Sistema de Educación Superior</v>
      </c>
      <c r="L988" s="98" t="s">
        <v>395</v>
      </c>
    </row>
    <row r="989" spans="3:12" ht="15.75" thickBot="1" x14ac:dyDescent="0.3">
      <c r="C989" s="137" t="s">
        <v>495</v>
      </c>
      <c r="D989" s="199"/>
      <c r="E989" s="152">
        <v>12</v>
      </c>
      <c r="F989" s="305">
        <f>HLOOKUP($C989,$BZ$2:$CM$3,2,0)</f>
        <v>2007.3</v>
      </c>
      <c r="G989" s="113">
        <f>D989*E989*F989</f>
        <v>0</v>
      </c>
      <c r="H989" s="166"/>
      <c r="I989" s="114" t="s">
        <v>496</v>
      </c>
      <c r="J989" s="114" t="str">
        <f>VLOOKUP(I989,Presupuesto!$B$11:$C$565,2,0)</f>
        <v>SUELDOS Y SALARIOS PERMANENTES</v>
      </c>
      <c r="K989" s="98" t="str">
        <f t="shared" si="31"/>
        <v>Desarrollo del Sistema de Educación Superior</v>
      </c>
      <c r="L989" s="98" t="s">
        <v>395</v>
      </c>
    </row>
    <row r="990" spans="3:12" x14ac:dyDescent="0.25">
      <c r="C990" s="171" t="s">
        <v>58</v>
      </c>
      <c r="D990" s="163"/>
      <c r="E990" s="154">
        <v>0</v>
      </c>
      <c r="F990" s="100">
        <f>IF(E989=0,"",(G989/E989)/12*E989)</f>
        <v>0</v>
      </c>
      <c r="G990" s="97">
        <f>F990</f>
        <v>0</v>
      </c>
      <c r="H990" s="164"/>
      <c r="I990" s="116" t="s">
        <v>516</v>
      </c>
      <c r="J990" s="116" t="str">
        <f>VLOOKUP(I990,Presupuesto!$B$11:$C$565,2,0)</f>
        <v>AGUINALDO Y DECIMO CUARTO MES</v>
      </c>
      <c r="K990" s="98" t="str">
        <f t="shared" si="31"/>
        <v>Desarrollo del Sistema de Educación Superior</v>
      </c>
      <c r="L990" s="98" t="s">
        <v>395</v>
      </c>
    </row>
    <row r="991" spans="3:12" ht="15.75" thickBot="1" x14ac:dyDescent="0.3">
      <c r="C991" s="172" t="s">
        <v>59</v>
      </c>
      <c r="D991" s="163"/>
      <c r="E991" s="154">
        <v>0</v>
      </c>
      <c r="F991" s="117">
        <f>IF(E989&lt;6,"",((E989-6)/12)*(G989/E989))</f>
        <v>0</v>
      </c>
      <c r="G991" s="97">
        <f>F991</f>
        <v>0</v>
      </c>
      <c r="H991" s="164"/>
      <c r="I991" s="101" t="s">
        <v>519</v>
      </c>
      <c r="J991" s="101" t="str">
        <f>VLOOKUP(I991,Presupuesto!$B$11:$C$565,2,0)</f>
        <v>DECIMOCUARTO MES</v>
      </c>
      <c r="K991" s="98" t="str">
        <f t="shared" si="31"/>
        <v>Desarrollo del Sistema de Educación Superior</v>
      </c>
      <c r="L991" s="98" t="s">
        <v>395</v>
      </c>
    </row>
    <row r="992" spans="3:12" ht="15.75" thickBot="1" x14ac:dyDescent="0.3">
      <c r="C992" s="140" t="s">
        <v>83</v>
      </c>
      <c r="D992" s="199"/>
      <c r="E992" s="152">
        <v>12</v>
      </c>
      <c r="F992" s="139">
        <v>30000</v>
      </c>
      <c r="G992" s="113">
        <f>D992*E992*F992</f>
        <v>0</v>
      </c>
      <c r="H992" s="166"/>
      <c r="I992" s="114" t="s">
        <v>564</v>
      </c>
      <c r="J992" s="114" t="str">
        <f>VLOOKUP(I992,Presupuesto!$B$11:$C$565,2,0)</f>
        <v>CONTRATOS ESPECIALES</v>
      </c>
      <c r="K992" s="98" t="str">
        <f t="shared" si="31"/>
        <v>Desarrollo del Sistema de Educación Superior</v>
      </c>
      <c r="L992" s="98" t="s">
        <v>395</v>
      </c>
    </row>
    <row r="993" spans="3:12" x14ac:dyDescent="0.25">
      <c r="C993" s="171" t="s">
        <v>58</v>
      </c>
      <c r="D993" s="163"/>
      <c r="E993" s="154">
        <v>0</v>
      </c>
      <c r="F993" s="117">
        <f>IF(E992=0,"",(G992/E992)/12*E992)</f>
        <v>0</v>
      </c>
      <c r="G993" s="97">
        <f>F993</f>
        <v>0</v>
      </c>
      <c r="H993" s="164"/>
      <c r="I993" s="101" t="s">
        <v>564</v>
      </c>
      <c r="J993" s="101" t="str">
        <f>VLOOKUP(I993,Presupuesto!$B$11:$C$565,2,0)</f>
        <v>CONTRATOS ESPECIALES</v>
      </c>
      <c r="K993" s="98" t="str">
        <f t="shared" si="31"/>
        <v>Desarrollo del Sistema de Educación Superior</v>
      </c>
      <c r="L993" s="98" t="s">
        <v>394</v>
      </c>
    </row>
    <row r="994" spans="3:12" ht="15.75" thickBot="1" x14ac:dyDescent="0.3">
      <c r="C994" s="172" t="s">
        <v>59</v>
      </c>
      <c r="D994" s="163"/>
      <c r="E994" s="154">
        <v>0</v>
      </c>
      <c r="F994" s="100">
        <f>IF(E992&lt;6,"",((E992-6)/12)*(G992/E992))</f>
        <v>0</v>
      </c>
      <c r="G994" s="97">
        <f>F994</f>
        <v>0</v>
      </c>
      <c r="H994" s="164"/>
      <c r="I994" s="101" t="s">
        <v>564</v>
      </c>
      <c r="J994" s="101" t="str">
        <f>VLOOKUP(I994,Presupuesto!$B$11:$C$565,2,0)</f>
        <v>CONTRATOS ESPECIALES</v>
      </c>
      <c r="K994" s="98" t="str">
        <f t="shared" si="31"/>
        <v>Desarrollo del Sistema de Educación Superior</v>
      </c>
      <c r="L994" s="98" t="s">
        <v>399</v>
      </c>
    </row>
    <row r="995" spans="3:12" ht="15.75" thickBot="1" x14ac:dyDescent="0.3">
      <c r="C995" s="140" t="s">
        <v>60</v>
      </c>
      <c r="D995" s="199"/>
      <c r="E995" s="152">
        <v>12</v>
      </c>
      <c r="F995" s="118">
        <v>30000</v>
      </c>
      <c r="G995" s="113">
        <f>D995*E995*F995</f>
        <v>0</v>
      </c>
      <c r="H995" s="166"/>
      <c r="I995" s="114" t="s">
        <v>705</v>
      </c>
      <c r="J995" s="114" t="str">
        <f>VLOOKUP(I995,Presupuesto!$B$11:$C$565,2,0)</f>
        <v>OTROS SERVICIOS TECNICOS Y PROFESIONALES</v>
      </c>
      <c r="K995" s="98" t="str">
        <f t="shared" si="31"/>
        <v>Desarrollo del Sistema de Educación Superior</v>
      </c>
      <c r="L995" s="98" t="s">
        <v>394</v>
      </c>
    </row>
    <row r="996" spans="3:12" x14ac:dyDescent="0.25">
      <c r="C996" s="171" t="s">
        <v>58</v>
      </c>
      <c r="D996" s="163"/>
      <c r="E996" s="154">
        <v>0</v>
      </c>
      <c r="F996" s="100">
        <v>0</v>
      </c>
      <c r="G996" s="97">
        <f>F996</f>
        <v>0</v>
      </c>
      <c r="H996" s="164"/>
      <c r="I996" s="101" t="s">
        <v>705</v>
      </c>
      <c r="J996" s="101" t="str">
        <f>VLOOKUP(I996,Presupuesto!$B$11:$C$565,2,0)</f>
        <v>OTROS SERVICIOS TECNICOS Y PROFESIONALES</v>
      </c>
      <c r="K996" s="98" t="str">
        <f t="shared" si="31"/>
        <v>Desarrollo del Sistema de Educación Superior</v>
      </c>
      <c r="L996" s="98" t="s">
        <v>394</v>
      </c>
    </row>
    <row r="997" spans="3:12" ht="15.75" thickBot="1" x14ac:dyDescent="0.3">
      <c r="C997" s="172" t="s">
        <v>59</v>
      </c>
      <c r="D997" s="163"/>
      <c r="E997" s="154">
        <v>0</v>
      </c>
      <c r="F997" s="100">
        <v>0</v>
      </c>
      <c r="G997" s="97">
        <f>F997</f>
        <v>0</v>
      </c>
      <c r="H997" s="164"/>
      <c r="I997" s="101" t="s">
        <v>705</v>
      </c>
      <c r="J997" s="101" t="str">
        <f>VLOOKUP(I997,Presupuesto!$B$11:$C$565,2,0)</f>
        <v>OTROS SERVICIOS TECNICOS Y PROFESIONALES</v>
      </c>
      <c r="K997" s="98" t="str">
        <f t="shared" si="31"/>
        <v>Desarrollo del Sistema de Educación Superior</v>
      </c>
      <c r="L997" s="98" t="s">
        <v>394</v>
      </c>
    </row>
    <row r="998" spans="3:12" ht="15.75" thickBot="1" x14ac:dyDescent="0.3">
      <c r="C998" s="140" t="s">
        <v>61</v>
      </c>
      <c r="D998" s="199"/>
      <c r="E998" s="152">
        <v>12</v>
      </c>
      <c r="F998" s="118">
        <v>30000</v>
      </c>
      <c r="G998" s="113">
        <f>D998*E998*F998</f>
        <v>0</v>
      </c>
      <c r="H998" s="166"/>
      <c r="I998" s="114" t="s">
        <v>496</v>
      </c>
      <c r="J998" s="114" t="str">
        <f>VLOOKUP(I998,Presupuesto!$B$11:$C$565,2,0)</f>
        <v>SUELDOS Y SALARIOS PERMANENTES</v>
      </c>
      <c r="K998" s="98" t="str">
        <f t="shared" si="31"/>
        <v>Desarrollo del Sistema de Educación Superior</v>
      </c>
      <c r="L998" s="98" t="s">
        <v>394</v>
      </c>
    </row>
    <row r="999" spans="3:12" x14ac:dyDescent="0.25">
      <c r="C999" s="171" t="s">
        <v>58</v>
      </c>
      <c r="D999" s="169"/>
      <c r="E999" s="131">
        <v>0</v>
      </c>
      <c r="F999" s="119">
        <f>IF(E998=0,"",(G998/E998)/12*E998)</f>
        <v>0</v>
      </c>
      <c r="G999" s="120">
        <f>F999</f>
        <v>0</v>
      </c>
      <c r="H999" s="164"/>
      <c r="I999" s="101" t="s">
        <v>516</v>
      </c>
      <c r="J999" s="101" t="str">
        <f>VLOOKUP(I999,Presupuesto!$B$11:$C$565,2,0)</f>
        <v>AGUINALDO Y DECIMO CUARTO MES</v>
      </c>
      <c r="K999" s="98" t="str">
        <f t="shared" si="31"/>
        <v>Desarrollo del Sistema de Educación Superior</v>
      </c>
      <c r="L999" s="98" t="s">
        <v>394</v>
      </c>
    </row>
    <row r="1000" spans="3:12" ht="15.75" thickBot="1" x14ac:dyDescent="0.3">
      <c r="C1000" s="173" t="s">
        <v>59</v>
      </c>
      <c r="D1000" s="162"/>
      <c r="E1000" s="132">
        <v>0</v>
      </c>
      <c r="F1000" s="105">
        <f>IF(E998&lt;6,"",((E998-6)/12)*(G998/E998))</f>
        <v>0</v>
      </c>
      <c r="G1000" s="105">
        <f>F1000</f>
        <v>0</v>
      </c>
      <c r="H1000" s="162"/>
      <c r="I1000" s="106" t="s">
        <v>519</v>
      </c>
      <c r="J1000" s="124" t="str">
        <f>VLOOKUP(I1000,Presupuesto!$B$11:$C$565,2,0)</f>
        <v>DECIMOCUARTO MES</v>
      </c>
      <c r="K1000" s="106" t="str">
        <f t="shared" si="31"/>
        <v>Desarrollo del Sistema de Educación Superior</v>
      </c>
      <c r="L1000" s="124" t="s">
        <v>394</v>
      </c>
    </row>
  </sheetData>
  <conditionalFormatting sqref="E56">
    <cfRule type="cellIs" dxfId="16" priority="17" operator="greaterThan">
      <formula>12</formula>
    </cfRule>
  </conditionalFormatting>
  <conditionalFormatting sqref="E989">
    <cfRule type="cellIs" dxfId="15" priority="1" operator="greaterThan">
      <formula>12</formula>
    </cfRule>
  </conditionalFormatting>
  <conditionalFormatting sqref="E131">
    <cfRule type="cellIs" dxfId="14" priority="15" operator="greaterThan">
      <formula>12</formula>
    </cfRule>
  </conditionalFormatting>
  <conditionalFormatting sqref="E209">
    <cfRule type="cellIs" dxfId="13" priority="14" operator="greaterThan">
      <formula>12</formula>
    </cfRule>
  </conditionalFormatting>
  <conditionalFormatting sqref="E269">
    <cfRule type="cellIs" dxfId="12" priority="13" operator="greaterThan">
      <formula>12</formula>
    </cfRule>
  </conditionalFormatting>
  <conditionalFormatting sqref="E329">
    <cfRule type="cellIs" dxfId="11" priority="12" operator="greaterThan">
      <formula>12</formula>
    </cfRule>
  </conditionalFormatting>
  <conditionalFormatting sqref="E389">
    <cfRule type="cellIs" dxfId="10" priority="11" operator="greaterThan">
      <formula>12</formula>
    </cfRule>
  </conditionalFormatting>
  <conditionalFormatting sqref="E449">
    <cfRule type="cellIs" dxfId="9" priority="10" operator="greaterThan">
      <formula>12</formula>
    </cfRule>
  </conditionalFormatting>
  <conditionalFormatting sqref="E509">
    <cfRule type="cellIs" dxfId="8" priority="9" operator="greaterThan">
      <formula>12</formula>
    </cfRule>
  </conditionalFormatting>
  <conditionalFormatting sqref="E569">
    <cfRule type="cellIs" dxfId="7" priority="8" operator="greaterThan">
      <formula>12</formula>
    </cfRule>
  </conditionalFormatting>
  <conditionalFormatting sqref="E629">
    <cfRule type="cellIs" dxfId="6" priority="7" operator="greaterThan">
      <formula>12</formula>
    </cfRule>
  </conditionalFormatting>
  <conditionalFormatting sqref="E689">
    <cfRule type="cellIs" dxfId="5" priority="6" operator="greaterThan">
      <formula>12</formula>
    </cfRule>
  </conditionalFormatting>
  <conditionalFormatting sqref="E749">
    <cfRule type="cellIs" dxfId="4" priority="5" operator="greaterThan">
      <formula>12</formula>
    </cfRule>
  </conditionalFormatting>
  <conditionalFormatting sqref="E809">
    <cfRule type="cellIs" dxfId="3" priority="4" operator="greaterThan">
      <formula>12</formula>
    </cfRule>
  </conditionalFormatting>
  <conditionalFormatting sqref="E869">
    <cfRule type="cellIs" dxfId="2" priority="3" operator="greaterThan">
      <formula>12</formula>
    </cfRule>
  </conditionalFormatting>
  <conditionalFormatting sqref="E929">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50:H1000 H17:H82 H92:H160 H170:H220 H230:H280 H290:H340 H410:H460 H470:H520 H530:H580 H590:H640 H650:H700 H710:H760 H770:H820 H830:H880 H890:H940 H350:H400">
      <formula1>$R$2:$S$2</formula1>
    </dataValidation>
    <dataValidation type="list" allowBlank="1" showInputMessage="1" showErrorMessage="1" errorTitle="¡Ingreso Inválido!" error="Seleccione una opción de la lista" promptTitle="Mes Requerido" prompt="Seleccione el mes en el que requiere el recurso." sqref="L950:L1000 L17:L82 L92:L160 L170:L220 L230:L280 L290:L340 L410:L460 L470:L520 L530:L580 L590:L640 L650:L700 L710:L760 L770:L820 L830:L880 L890:L940 L350:L400">
      <formula1>$U$2:$AF$2</formula1>
    </dataValidation>
    <dataValidation type="list" allowBlank="1" showInputMessage="1" showErrorMessage="1" sqref="C17 C20 C23 C26 C29 C32 C35 C38 C41 C44 C47 C50 C53 C56 C92 C95 C98 C101 C104 C107 C110 C113 C116 C119 C122 C125 C128 C131 C170 C173 C176 C179 C182 C185 C188 C191 C194 C197 C200 C203 C206 C209 C230 C233 C236 C239 C242 C245 C248 C251 C254 C257 C260 C263 C266 C269 C290 C293 C296 C299 C302 C305 C308 C311 C314 C317 C320 C323 C326 C329 C350 C353 C356 C359 C362 C365 C368 C371 C374 C377 C380 C383 C386 C389 C410 C413 C416 C419 C422 C425 C428 C431 C434 C437 C440 C443 C446 C449 C470 C473 C476 C479 C482 C485 C488 C491 C494 C497 C500 C503 C506 C509 C530 C533 C536 C539 C542 C545 C548 C551 C554 C557 C560 C563 C566 C569 C590 C593 C596 C599 C602 C605 C608 C611 C614 C617 C620 C623 C626 C629 C650 C653 C656 C659 C662 C665 C668 C671 C674 C677 C680 C683 C686 C689 C710 C713 C716 C719 C722 C725 C728 C731 C734 C737 C740 C743 C746 C749 C770 C773 C776 C779 C782 C785 C788 C791 C794 C797 C800 C803 C806 C809 C830 C833 C836 C839 C842 C845 C848 C851 C854 C857 C860 C863 C866 C869 C890 C893 C896 C899 C902 C905 C908 C911 C914 C917 C920 C923 C926 C929 C950 C953 C956 C959 C962 C965 C968 C971 C974 C977 C980 C983 C986 C989">
      <formula1>$BZ$2:$CM$2</formula1>
    </dataValidation>
    <dataValidation type="list" allowBlank="1" showInputMessage="1" showErrorMessage="1" errorTitle="¡Ingreso Inválido!" error="Verifique el valor ingresado." sqref="I950:I1000 I17:I82 I92:I160 I170:I220 I230:I280 I290:I340 I410:I460 I470:I520 I530:I580 I590:I640 I650:I700 I710:I760 I770:I820 I830:I880 I890:I940 I350:I400">
      <formula1>$A$1:$UI$1</formula1>
    </dataValidation>
    <dataValidation type="list" allowBlank="1" showInputMessage="1" showErrorMessage="1" errorTitle="¡Ingreso Inválido!" error="Seleccione una opción de la lista." promptTitle="Dimensión Estratégica" prompt="Seleccione una opción de la lista." sqref="K18:K82 K93:K160 K171:K220 K231:K280 K291:K340 K411:K460 K471:K520 K531:K580 K591:K640 K651:K700 K711:K760 K771:K820 K831:K880 K891:K940 K951:K1000 K351:K400">
      <formula1>$A$2:$P$2</formula1>
    </dataValidation>
    <dataValidation type="list" allowBlank="1" showInputMessage="1" showErrorMessage="1" errorTitle="¡Ingreso Inválido!" error="Seleccione una opción de la lista." promptTitle="Dimensión Estratégica" prompt="Seleccione una opción de la lista." sqref="K17 K92 K170 K230 K290 K350 K410 K470 K530 K590 K650 K710 K770 K830 K890 K950">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G30" sqref="G29:G30"/>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552">
        <f>SUMIF($C:$C,$C$10,D:D)</f>
        <v>102000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102000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1612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equipo de oficina y equipo tecnológico</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1364</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Gestión Administrativa y  financiera en apoyo al Desarrollo Académico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Gestión Administrativa y  financiera en apoyo al Desarrollo Académico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Gestión Administrativa y  financiera en apoyo al Desarrollo Académico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Gestión Administrativa y  financiera en apoyo al Desarrollo Académico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Gestión Administrativa y  financiera en apoyo al Desarrollo Académico</v>
      </c>
      <c r="K22" s="98" t="s">
        <v>395</v>
      </c>
    </row>
    <row r="23" spans="2:11" x14ac:dyDescent="0.25">
      <c r="B23" s="93"/>
      <c r="C23" s="99" t="s">
        <v>69</v>
      </c>
      <c r="D23" s="151">
        <v>12</v>
      </c>
      <c r="E23" s="100">
        <v>8500</v>
      </c>
      <c r="F23" s="97">
        <f t="shared" si="1"/>
        <v>102000</v>
      </c>
      <c r="G23" s="161" t="s">
        <v>1509</v>
      </c>
      <c r="H23" s="101" t="s">
        <v>988</v>
      </c>
      <c r="I23" s="98" t="str">
        <f>VLOOKUP(H23,[1]Presupuesto!$B$11:$C$565,2,0)</f>
        <v>EQUIPOS VARIOS DE OFICINA</v>
      </c>
      <c r="J23" s="98" t="str">
        <f t="shared" si="0"/>
        <v>Gestión Administrativa y  financiera en apoyo al Desarrollo Académico</v>
      </c>
      <c r="K23" s="98" t="s">
        <v>396</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Gestión Administrativa y  financiera en apoyo al Desarrollo Académico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Gestión Administrativa y  financiera en apoyo al Desarrollo Académico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Gestión Administrativa y  financiera en apoyo al Desarrollo Académico</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1454</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Gestión Administrativa y  financiera en apoyo al Desarrollo Académico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Gestión Administrativa y  financiera en apoyo al Desarrollo Académico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Gestión Administrativa y  financiera en apoyo al Desarrollo Académico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Gestión Administrativa y  financiera en apoyo al Desarrollo Académico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Gestión Administrativa y  financiera en apoyo al Desarrollo Académico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Gestión Administrativa y  financiera en apoyo al Desarrollo Académico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Gestión Administrativa y  financiera en apoyo al Desarrollo Académico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Gestión Administrativa y  financiera en apoyo al Desarrollo Académico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1454</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1454</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1454</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1454</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1454</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1454</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1479</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93:G102 G112:G121 G131:G140 G150:G159 G169:G178 G188:G197 G207:G216 G17:G26">
      <formula1>$R$2:$S$2</formula1>
    </dataValidation>
    <dataValidation type="list" allowBlank="1" showInputMessage="1" showErrorMessage="1" errorTitle="¡Ingreso Inválido!" error="Seleccione una opción de la lista" promptTitle="Mes Requerido" prompt="Seleccione el mes en el que requiere el recurso." sqref="K226:K235 K36:K45 K55:K64 K74:K83 K93:K102 K112:K121 K131:K140 K150:K159 K169:K178 K188:K197 K207:K216 K17:K26">
      <formula1>$U$2:$AF$2</formula1>
    </dataValidation>
    <dataValidation type="list" allowBlank="1" showInputMessage="1" showErrorMessage="1" errorTitle="¡Ingreso Inválido!" error="Verifique el valor ingresado." promptTitle="Objeto de Gasto" prompt="Ingrese el Objeto de Gasto." sqref="H226:H235 H36:H45 H55:H64 H74:H83 H93:H102 H112:H121 H131:H140 H150:H159 H169:H178 H188:H197 H207:H216 H17:H26">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8"/>
  <sheetViews>
    <sheetView showGridLines="0" topLeftCell="A4" workbookViewId="0">
      <selection activeCell="D9" sqref="D9"/>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259000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SUM(F17:F35)</f>
        <v>259000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1612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equipo de oficina y equipo tecnológico</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10</v>
      </c>
      <c r="E17" s="96">
        <f>HLOOKUP($C17,$CB$2:$CE$3,2,0)</f>
        <v>15000</v>
      </c>
      <c r="F17" s="97">
        <f>D17*E17</f>
        <v>150000</v>
      </c>
      <c r="G17" s="165" t="s">
        <v>1509</v>
      </c>
      <c r="H17" s="98" t="s">
        <v>1014</v>
      </c>
      <c r="I17" s="98" t="str">
        <f>VLOOKUP(H17,[1]Presupuesto!$B$11:$C$565,2,0)</f>
        <v>EQUIPO DE COMPUTACION</v>
      </c>
      <c r="J17" s="219" t="s">
        <v>1364</v>
      </c>
      <c r="K17" s="98" t="s">
        <v>395</v>
      </c>
      <c r="L17" s="98"/>
    </row>
    <row r="18" spans="2:12" x14ac:dyDescent="0.25">
      <c r="B18" s="93"/>
      <c r="C18" s="306" t="s">
        <v>1337</v>
      </c>
      <c r="D18" s="151"/>
      <c r="E18" s="96">
        <f>HLOOKUP($C18,$CB$2:$CE$3,2,0)</f>
        <v>35000</v>
      </c>
      <c r="F18" s="97">
        <f>D18*E18</f>
        <v>0</v>
      </c>
      <c r="G18" s="165" t="s">
        <v>1509</v>
      </c>
      <c r="H18" s="101" t="s">
        <v>1014</v>
      </c>
      <c r="I18" s="101" t="str">
        <f>VLOOKUP(H18,[1]Presupuesto!$B$11:$C$565,2,0)</f>
        <v>EQUIPO DE COMPUTACION</v>
      </c>
      <c r="J18" s="98" t="str">
        <f t="shared" ref="J18:J35" si="0">$J$17</f>
        <v>Gestión Administrativa y  financiera en apoyo al Desarrollo Académico</v>
      </c>
      <c r="K18" s="98" t="s">
        <v>412</v>
      </c>
      <c r="L18" s="98"/>
    </row>
    <row r="19" spans="2:12" x14ac:dyDescent="0.25">
      <c r="B19" s="93"/>
      <c r="C19" s="99" t="s">
        <v>73</v>
      </c>
      <c r="D19" s="151"/>
      <c r="E19" s="100">
        <v>4000</v>
      </c>
      <c r="F19" s="97">
        <f t="shared" ref="F19:F35" si="1">D19*E19</f>
        <v>0</v>
      </c>
      <c r="G19" s="165" t="s">
        <v>1509</v>
      </c>
      <c r="H19" s="101" t="s">
        <v>986</v>
      </c>
      <c r="I19" s="101" t="str">
        <f>VLOOKUP(H19,[1]Presupuesto!$B$11:$C$565,2,0)</f>
        <v>EQUIPOS VARIOS DE OFICINA</v>
      </c>
      <c r="J19" s="98" t="str">
        <f t="shared" si="0"/>
        <v>Gestión Administrativa y  financiera en apoyo al Desarrollo Académico</v>
      </c>
      <c r="K19" s="98" t="s">
        <v>395</v>
      </c>
      <c r="L19" s="98"/>
    </row>
    <row r="20" spans="2:12" x14ac:dyDescent="0.25">
      <c r="B20" s="93"/>
      <c r="C20" s="99" t="s">
        <v>74</v>
      </c>
      <c r="D20" s="151"/>
      <c r="E20" s="100">
        <v>8000</v>
      </c>
      <c r="F20" s="97">
        <f t="shared" si="1"/>
        <v>0</v>
      </c>
      <c r="G20" s="165" t="s">
        <v>1509</v>
      </c>
      <c r="H20" s="101" t="s">
        <v>1014</v>
      </c>
      <c r="I20" s="101" t="str">
        <f>VLOOKUP(H20,[1]Presupuesto!$B$11:$C$565,2,0)</f>
        <v>EQUIPO DE COMPUTACION</v>
      </c>
      <c r="J20" s="98" t="str">
        <f t="shared" si="0"/>
        <v>Gestión Administrativa y  financiera en apoyo al Desarrollo Académico</v>
      </c>
      <c r="K20" s="98" t="s">
        <v>395</v>
      </c>
      <c r="L20" s="98"/>
    </row>
    <row r="21" spans="2:12" x14ac:dyDescent="0.25">
      <c r="B21" s="93"/>
      <c r="C21" s="99" t="s">
        <v>75</v>
      </c>
      <c r="D21" s="151"/>
      <c r="E21" s="100">
        <v>5000</v>
      </c>
      <c r="F21" s="97">
        <f t="shared" si="1"/>
        <v>0</v>
      </c>
      <c r="G21" s="165" t="s">
        <v>1509</v>
      </c>
      <c r="H21" s="101" t="s">
        <v>1014</v>
      </c>
      <c r="I21" s="101" t="str">
        <f>VLOOKUP(H21,[1]Presupuesto!$B$11:$C$565,2,0)</f>
        <v>EQUIPO DE COMPUTACION</v>
      </c>
      <c r="J21" s="98" t="str">
        <f t="shared" si="0"/>
        <v>Gestión Administrativa y  financiera en apoyo al Desarrollo Académico</v>
      </c>
      <c r="K21" s="98" t="s">
        <v>395</v>
      </c>
      <c r="L21" s="98"/>
    </row>
    <row r="22" spans="2:12" x14ac:dyDescent="0.25">
      <c r="B22" s="93"/>
      <c r="C22" s="99" t="s">
        <v>35</v>
      </c>
      <c r="D22" s="151"/>
      <c r="E22" s="100">
        <v>13000</v>
      </c>
      <c r="F22" s="97">
        <f t="shared" si="1"/>
        <v>0</v>
      </c>
      <c r="G22" s="165" t="s">
        <v>1509</v>
      </c>
      <c r="H22" s="101" t="s">
        <v>1000</v>
      </c>
      <c r="I22" s="101" t="str">
        <f>VLOOKUP(H22,[1]Presupuesto!$B$11:$C$565,2,0)</f>
        <v>EQUIPO DE TRANSPORTE TRACCION Y ELEVACION</v>
      </c>
      <c r="J22" s="98" t="str">
        <f t="shared" si="0"/>
        <v>Gestión Administrativa y  financiera en apoyo al Desarrollo Académico</v>
      </c>
      <c r="K22" s="98" t="s">
        <v>395</v>
      </c>
      <c r="L22" s="98"/>
    </row>
    <row r="23" spans="2:12" x14ac:dyDescent="0.25">
      <c r="B23" s="93"/>
      <c r="C23" s="99" t="s">
        <v>1621</v>
      </c>
      <c r="D23" s="151">
        <v>5</v>
      </c>
      <c r="E23" s="100">
        <v>500</v>
      </c>
      <c r="F23" s="97">
        <f t="shared" si="1"/>
        <v>2500</v>
      </c>
      <c r="G23" s="165" t="s">
        <v>1509</v>
      </c>
      <c r="H23" s="101" t="s">
        <v>335</v>
      </c>
      <c r="I23" s="101" t="str">
        <f>VLOOKUP(H23,[1]Presupuesto!$B$11:$C$565,2,0)</f>
        <v>EQUIPOS DE OFICINA Y MUEBLES (42140-00)</v>
      </c>
      <c r="J23" s="98" t="str">
        <f t="shared" si="0"/>
        <v>Gestión Administrativa y  financiera en apoyo al Desarrollo Académico</v>
      </c>
      <c r="K23" s="98" t="s">
        <v>412</v>
      </c>
      <c r="L23" s="98"/>
    </row>
    <row r="24" spans="2:12" x14ac:dyDescent="0.25">
      <c r="B24" s="93"/>
      <c r="C24" s="99" t="s">
        <v>76</v>
      </c>
      <c r="D24" s="151">
        <v>1</v>
      </c>
      <c r="E24" s="100">
        <v>15000</v>
      </c>
      <c r="F24" s="97">
        <f t="shared" si="1"/>
        <v>15000</v>
      </c>
      <c r="G24" s="165" t="s">
        <v>1509</v>
      </c>
      <c r="H24" s="101" t="s">
        <v>1000</v>
      </c>
      <c r="I24" s="101" t="str">
        <f>VLOOKUP(H24,[1]Presupuesto!$B$11:$C$565,2,0)</f>
        <v>EQUIPO DE TRANSPORTE TRACCION Y ELEVACION</v>
      </c>
      <c r="J24" s="98" t="str">
        <f t="shared" si="0"/>
        <v>Gestión Administrativa y  financiera en apoyo al Desarrollo Académico</v>
      </c>
      <c r="K24" s="98" t="s">
        <v>395</v>
      </c>
      <c r="L24" s="98"/>
    </row>
    <row r="25" spans="2:12" s="466" customFormat="1" x14ac:dyDescent="0.25">
      <c r="B25" s="93"/>
      <c r="C25" s="99" t="s">
        <v>77</v>
      </c>
      <c r="D25" s="151"/>
      <c r="E25" s="100">
        <v>10000</v>
      </c>
      <c r="F25" s="97">
        <f t="shared" si="1"/>
        <v>0</v>
      </c>
      <c r="G25" s="165" t="s">
        <v>1509</v>
      </c>
      <c r="H25" s="101" t="s">
        <v>1000</v>
      </c>
      <c r="I25" s="101" t="str">
        <f>VLOOKUP(H25,[1]Presupuesto!$B$11:$C$565,2,0)</f>
        <v>EQUIPO DE TRANSPORTE TRACCION Y ELEVACION</v>
      </c>
      <c r="J25" s="98" t="str">
        <f t="shared" si="0"/>
        <v>Gestión Administrativa y  financiera en apoyo al Desarrollo Académico</v>
      </c>
      <c r="K25" s="98" t="s">
        <v>403</v>
      </c>
      <c r="L25" s="98"/>
    </row>
    <row r="26" spans="2:12" s="466" customFormat="1" x14ac:dyDescent="0.25">
      <c r="B26" s="93"/>
      <c r="C26" s="99" t="s">
        <v>1622</v>
      </c>
      <c r="D26" s="151">
        <v>3</v>
      </c>
      <c r="E26" s="100">
        <v>3000</v>
      </c>
      <c r="F26" s="97">
        <f t="shared" si="1"/>
        <v>9000</v>
      </c>
      <c r="G26" s="165" t="s">
        <v>1509</v>
      </c>
      <c r="H26" s="101" t="s">
        <v>337</v>
      </c>
      <c r="I26" s="101" t="str">
        <f>VLOOKUP(H26,[1]Presupuesto!$B$11:$C$565,2,0)</f>
        <v>EQUIPO DE COMUNICACIàN Y SE¥ALAMIENTO</v>
      </c>
      <c r="J26" s="98" t="str">
        <f t="shared" si="0"/>
        <v>Gestión Administrativa y  financiera en apoyo al Desarrollo Académico</v>
      </c>
      <c r="K26" s="98" t="s">
        <v>412</v>
      </c>
      <c r="L26" s="98"/>
    </row>
    <row r="27" spans="2:12" s="466" customFormat="1" x14ac:dyDescent="0.25">
      <c r="B27" s="93"/>
      <c r="C27" s="99" t="s">
        <v>1623</v>
      </c>
      <c r="D27" s="151">
        <v>3</v>
      </c>
      <c r="E27" s="100">
        <v>15000</v>
      </c>
      <c r="F27" s="97">
        <f t="shared" si="1"/>
        <v>45000</v>
      </c>
      <c r="G27" s="165" t="s">
        <v>1509</v>
      </c>
      <c r="H27" s="101" t="s">
        <v>337</v>
      </c>
      <c r="I27" s="101" t="str">
        <f>VLOOKUP(H27,[1]Presupuesto!$B$11:$C$565,2,0)</f>
        <v>EQUIPO DE COMUNICACIàN Y SE¥ALAMIENTO</v>
      </c>
      <c r="J27" s="98" t="str">
        <f t="shared" si="0"/>
        <v>Gestión Administrativa y  financiera en apoyo al Desarrollo Académico</v>
      </c>
      <c r="K27" s="98" t="s">
        <v>396</v>
      </c>
      <c r="L27" s="98"/>
    </row>
    <row r="28" spans="2:12" s="466" customFormat="1" x14ac:dyDescent="0.25">
      <c r="B28" s="93"/>
      <c r="C28" s="99" t="s">
        <v>78</v>
      </c>
      <c r="D28" s="151"/>
      <c r="E28" s="100">
        <v>10000</v>
      </c>
      <c r="F28" s="97">
        <f t="shared" si="1"/>
        <v>0</v>
      </c>
      <c r="G28" s="165" t="s">
        <v>1509</v>
      </c>
      <c r="H28" s="101" t="s">
        <v>1046</v>
      </c>
      <c r="I28" s="101" t="str">
        <f>VLOOKUP(H28,[1]Presupuesto!$B$11:$C$565,2,0)</f>
        <v>APLICACIONES INFORMATICAS</v>
      </c>
      <c r="J28" s="98" t="str">
        <f t="shared" si="0"/>
        <v>Gestión Administrativa y  financiera en apoyo al Desarrollo Académico</v>
      </c>
      <c r="K28" s="98" t="s">
        <v>399</v>
      </c>
      <c r="L28" s="98"/>
    </row>
    <row r="29" spans="2:12" s="466" customFormat="1" x14ac:dyDescent="0.25">
      <c r="B29" s="93"/>
      <c r="C29" s="109" t="s">
        <v>79</v>
      </c>
      <c r="D29" s="151"/>
      <c r="E29" s="100">
        <v>2000</v>
      </c>
      <c r="F29" s="97">
        <f t="shared" si="1"/>
        <v>0</v>
      </c>
      <c r="G29" s="165" t="s">
        <v>1509</v>
      </c>
      <c r="H29" s="110" t="s">
        <v>1014</v>
      </c>
      <c r="I29" s="110" t="str">
        <f>VLOOKUP(H29,[1]Presupuesto!$B$11:$C$565,2,0)</f>
        <v>EQUIPO DE COMPUTACION</v>
      </c>
      <c r="J29" s="98" t="str">
        <f t="shared" si="0"/>
        <v>Gestión Administrativa y  financiera en apoyo al Desarrollo Académico</v>
      </c>
      <c r="K29" s="98" t="s">
        <v>395</v>
      </c>
      <c r="L29" s="98"/>
    </row>
    <row r="30" spans="2:12" x14ac:dyDescent="0.25">
      <c r="C30" s="109" t="s">
        <v>1482</v>
      </c>
      <c r="D30" s="151">
        <v>10</v>
      </c>
      <c r="E30" s="100">
        <v>1500</v>
      </c>
      <c r="F30" s="97">
        <f t="shared" si="1"/>
        <v>15000</v>
      </c>
      <c r="G30" s="165" t="s">
        <v>1509</v>
      </c>
      <c r="H30" s="110" t="s">
        <v>946</v>
      </c>
      <c r="I30" s="110" t="str">
        <f>VLOOKUP(H30,[1]Presupuesto!$B$11:$C$565,2,0)</f>
        <v>UTILES Y MATERIALES ELECTRICOS</v>
      </c>
      <c r="J30" s="98" t="str">
        <f t="shared" si="0"/>
        <v>Gestión Administrativa y  financiera en apoyo al Desarrollo Académico</v>
      </c>
      <c r="K30" s="98" t="s">
        <v>395</v>
      </c>
      <c r="L30" s="98"/>
    </row>
    <row r="31" spans="2:12" x14ac:dyDescent="0.25">
      <c r="C31" s="109" t="s">
        <v>1624</v>
      </c>
      <c r="D31" s="151">
        <v>5</v>
      </c>
      <c r="E31" s="100">
        <v>1000</v>
      </c>
      <c r="F31" s="97">
        <f t="shared" si="1"/>
        <v>5000</v>
      </c>
      <c r="G31" s="165" t="s">
        <v>1509</v>
      </c>
      <c r="H31" s="110" t="s">
        <v>946</v>
      </c>
      <c r="I31" s="110" t="str">
        <f>VLOOKUP(H31,[1]Presupuesto!$B$11:$C$565,2,0)</f>
        <v>UTILES Y MATERIALES ELECTRICOS</v>
      </c>
      <c r="J31" s="98" t="str">
        <f t="shared" si="0"/>
        <v>Gestión Administrativa y  financiera en apoyo al Desarrollo Académico</v>
      </c>
      <c r="K31" s="98" t="s">
        <v>396</v>
      </c>
      <c r="L31" s="98"/>
    </row>
    <row r="32" spans="2:12" x14ac:dyDescent="0.25">
      <c r="C32" s="109" t="s">
        <v>80</v>
      </c>
      <c r="D32" s="151"/>
      <c r="E32" s="100">
        <v>1500</v>
      </c>
      <c r="F32" s="97">
        <f t="shared" si="1"/>
        <v>0</v>
      </c>
      <c r="G32" s="165" t="s">
        <v>1509</v>
      </c>
      <c r="H32" s="110" t="s">
        <v>1014</v>
      </c>
      <c r="I32" s="110" t="str">
        <f>VLOOKUP(H32,[1]Presupuesto!$B$11:$C$565,2,0)</f>
        <v>EQUIPO DE COMPUTACION</v>
      </c>
      <c r="J32" s="98" t="str">
        <f t="shared" si="0"/>
        <v>Gestión Administrativa y  financiera en apoyo al Desarrollo Académico</v>
      </c>
      <c r="K32" s="98" t="s">
        <v>395</v>
      </c>
      <c r="L32" s="98"/>
    </row>
    <row r="33" spans="2:12" x14ac:dyDescent="0.25">
      <c r="C33" s="109" t="s">
        <v>1625</v>
      </c>
      <c r="D33" s="151">
        <v>4</v>
      </c>
      <c r="E33" s="100">
        <v>2500</v>
      </c>
      <c r="F33" s="97">
        <f t="shared" si="1"/>
        <v>10000</v>
      </c>
      <c r="G33" s="165" t="s">
        <v>1509</v>
      </c>
      <c r="H33" s="110" t="s">
        <v>955</v>
      </c>
      <c r="I33" s="110" t="str">
        <f>VLOOKUP(H33,[1]Presupuesto!$B$11:$C$565,2,0)</f>
        <v>OTROS RESPUESTOS Y ACCESORIOS MENORES</v>
      </c>
      <c r="J33" s="98" t="str">
        <f t="shared" si="0"/>
        <v>Gestión Administrativa y  financiera en apoyo al Desarrollo Académico</v>
      </c>
      <c r="K33" s="98" t="s">
        <v>412</v>
      </c>
      <c r="L33" s="98"/>
    </row>
    <row r="34" spans="2:12" x14ac:dyDescent="0.25">
      <c r="C34" s="109" t="s">
        <v>81</v>
      </c>
      <c r="D34" s="151">
        <v>15</v>
      </c>
      <c r="E34" s="100">
        <v>500</v>
      </c>
      <c r="F34" s="97">
        <f t="shared" si="1"/>
        <v>7500</v>
      </c>
      <c r="G34" s="165" t="s">
        <v>1509</v>
      </c>
      <c r="H34" s="110" t="s">
        <v>955</v>
      </c>
      <c r="I34" s="110" t="str">
        <f>VLOOKUP(H34,[1]Presupuesto!$B$11:$C$565,2,0)</f>
        <v>OTROS RESPUESTOS Y ACCESORIOS MENORES</v>
      </c>
      <c r="J34" s="98" t="str">
        <f t="shared" si="0"/>
        <v>Gestión Administrativa y  financiera en apoyo al Desarrollo Académico</v>
      </c>
      <c r="K34" s="98" t="s">
        <v>412</v>
      </c>
      <c r="L34" s="98"/>
    </row>
    <row r="35" spans="2:12" ht="15.75" thickBot="1" x14ac:dyDescent="0.3">
      <c r="B35" s="93"/>
      <c r="C35" s="102" t="s">
        <v>82</v>
      </c>
      <c r="D35" s="159"/>
      <c r="E35" s="104">
        <v>20</v>
      </c>
      <c r="F35" s="105">
        <f t="shared" si="1"/>
        <v>0</v>
      </c>
      <c r="G35" s="162" t="s">
        <v>1509</v>
      </c>
      <c r="H35" s="106" t="s">
        <v>955</v>
      </c>
      <c r="I35" s="106" t="str">
        <f>VLOOKUP(H35,[1]Presupuesto!$B$11:$C$565,2,0)</f>
        <v>OTROS RESPUESTOS Y ACCESORIOS MENORES</v>
      </c>
      <c r="J35" s="106" t="str">
        <f t="shared" si="0"/>
        <v>Gestión Administrativa y  financiera en apoyo al Desarrollo Académico</v>
      </c>
      <c r="K35" s="124" t="s">
        <v>394</v>
      </c>
      <c r="L35" s="124"/>
    </row>
    <row r="36" spans="2:12" x14ac:dyDescent="0.25">
      <c r="B36" s="93"/>
      <c r="F36" s="93"/>
      <c r="G36" s="76"/>
      <c r="H36" s="76"/>
      <c r="I36" s="76"/>
    </row>
    <row r="37" spans="2:12" ht="15.75" thickBot="1" x14ac:dyDescent="0.3"/>
    <row r="38" spans="2:12" ht="15.75" thickBot="1" x14ac:dyDescent="0.3">
      <c r="C38" s="29" t="s">
        <v>43</v>
      </c>
      <c r="D38" s="108">
        <f>SUM(F45:F58)</f>
        <v>0</v>
      </c>
      <c r="F38" s="70"/>
      <c r="G38" s="79"/>
      <c r="H38" s="70"/>
      <c r="I38" s="70"/>
    </row>
    <row r="39" spans="2:12" x14ac:dyDescent="0.25">
      <c r="C39" s="70"/>
      <c r="D39" s="31"/>
      <c r="E39" s="93"/>
      <c r="F39" s="93"/>
      <c r="G39" s="93"/>
      <c r="H39" s="76"/>
      <c r="I39" s="76"/>
      <c r="J39" s="76"/>
      <c r="K39" s="112"/>
    </row>
    <row r="40" spans="2:12" x14ac:dyDescent="0.25">
      <c r="C40" s="70"/>
      <c r="D40" s="31"/>
      <c r="E40" s="93"/>
      <c r="F40" s="93"/>
      <c r="G40" s="93"/>
      <c r="H40" s="76"/>
      <c r="I40" s="76"/>
      <c r="J40" s="76"/>
      <c r="K40" s="112"/>
    </row>
    <row r="41" spans="2:12" ht="15.75" x14ac:dyDescent="0.25">
      <c r="C41" s="202" t="s">
        <v>392</v>
      </c>
      <c r="D41" s="370"/>
      <c r="E41" s="93"/>
      <c r="F41" s="93"/>
      <c r="G41" s="93"/>
      <c r="H41" s="76"/>
      <c r="I41" s="76"/>
      <c r="J41" s="76"/>
      <c r="K41" s="112"/>
    </row>
    <row r="42" spans="2:12" ht="18.75" x14ac:dyDescent="0.25">
      <c r="C42" s="211" t="e">
        <f>IFERROR(VLOOKUP(D41,'1. Desarrollo e Innov. Curricu.'!$E:$F,2,FALSE),IFERROR(VLOOKUP(D41,'2. Investigación Científica'!$E:$F,2,FALSE),IFERROR(VLOOKUP(D41,'3. Vinculación Univ. Sociedad'!$E:$F,2,FALSE),IFERROR(VLOOKUP(D41,'4. Docencia y Profesorado Univ.'!$E:$F,2,FALSE),IFERROR(VLOOKUP(D41,'5. Estudiantes y Graduados'!$E:$F,2,FALSE),IFERROR(VLOOKUP(D41,'11. Gestion Administrativa'!$E:$F,2,FALSE),IFERROR(VLOOKUP(D41,'13. Gestión Académica'!$E:$F,2,FALSE),IFERROR(VLOOKUP(D41,'8. Asegura. de la Calid. y M'!$E:$F,2,FALSE),IFERROR(VLOOKUP(D41,'6. Gestión del Conocimiento'!$E:$F,2,FALSE),IFERROR(VLOOKUP(D41,'15. Gobernabilidad y Proceso...'!$E:$F,2,FALSE),IFERROR(VLOOKUP(D41,'12. Gestión del Talento Humano'!$E:$F,2,FALSE),IFERROR(VLOOKUP(D41,'14. Internacional... de la E.S.'!$E:$F,2,FALSE),IFERROR(VLOOKUP(D41,'10. Posgrado'!$E:$F,2,FALSE),IFERROR(VLOOKUP(D41,'16. Desa. del Sistema Educ.Sup.'!$E:$F,2,FALSE),IFERROR(VLOOKUP(D41,'9. Cultura de Inno. Insti...'!$E:$F,2,FALSE),VLOOKUP(D41,'7. Lo Esencial de la Reforma U.'!$E:$F,2,0))))))))))))))))</f>
        <v>#N/A</v>
      </c>
      <c r="D42" s="31"/>
      <c r="E42" s="93"/>
      <c r="F42" s="93"/>
      <c r="G42" s="93"/>
      <c r="H42" s="76"/>
      <c r="I42" s="76"/>
      <c r="J42" s="76"/>
      <c r="K42" s="112"/>
    </row>
    <row r="43" spans="2:12" x14ac:dyDescent="0.25">
      <c r="F43" s="93"/>
      <c r="G43" s="76"/>
      <c r="H43" s="76"/>
      <c r="I43" s="76"/>
    </row>
    <row r="44" spans="2:12" ht="30.75" thickBot="1" x14ac:dyDescent="0.3">
      <c r="C44" s="149" t="s">
        <v>44</v>
      </c>
      <c r="D44" s="149" t="s">
        <v>55</v>
      </c>
      <c r="E44" s="149" t="s">
        <v>57</v>
      </c>
      <c r="F44" s="150" t="s">
        <v>27</v>
      </c>
      <c r="G44" s="150" t="s">
        <v>131</v>
      </c>
      <c r="H44" s="149" t="s">
        <v>46</v>
      </c>
      <c r="I44" s="149" t="s">
        <v>132</v>
      </c>
      <c r="J44" s="149" t="s">
        <v>410</v>
      </c>
      <c r="K44" s="149" t="s">
        <v>411</v>
      </c>
      <c r="L44" s="149" t="s">
        <v>464</v>
      </c>
    </row>
    <row r="45" spans="2:12" ht="15.75" thickBot="1" x14ac:dyDescent="0.3">
      <c r="C45" s="306" t="s">
        <v>1339</v>
      </c>
      <c r="D45" s="158"/>
      <c r="E45" s="96">
        <f>HLOOKUP($C45,$CB$2:$CE$3,2,0)</f>
        <v>15000</v>
      </c>
      <c r="F45" s="97">
        <f>D45*E45</f>
        <v>0</v>
      </c>
      <c r="G45" s="165"/>
      <c r="H45" s="98" t="s">
        <v>1014</v>
      </c>
      <c r="I45" s="98" t="str">
        <f>VLOOKUP(H45,Presupuesto!$B$11:$C$565,2,0)</f>
        <v>EQUIPO DE COMPUTACION</v>
      </c>
      <c r="J45" s="219" t="s">
        <v>1454</v>
      </c>
      <c r="K45" s="98" t="s">
        <v>394</v>
      </c>
      <c r="L45" s="98"/>
    </row>
    <row r="46" spans="2:12" x14ac:dyDescent="0.25">
      <c r="C46" s="306" t="s">
        <v>1337</v>
      </c>
      <c r="D46" s="151"/>
      <c r="E46" s="96">
        <f>HLOOKUP($C46,$CB$2:$CE$3,2,0)</f>
        <v>35000</v>
      </c>
      <c r="F46" s="97">
        <f>D46*E46</f>
        <v>0</v>
      </c>
      <c r="G46" s="165"/>
      <c r="H46" s="101" t="s">
        <v>1014</v>
      </c>
      <c r="I46" s="101" t="str">
        <f>VLOOKUP(H46,Presupuesto!$B$11:$C$565,2,0)</f>
        <v>EQUIPO DE COMPUTACION</v>
      </c>
      <c r="J46" s="98" t="str">
        <f>$J$45</f>
        <v>Posgrado</v>
      </c>
      <c r="K46" s="98" t="s">
        <v>412</v>
      </c>
      <c r="L46" s="98"/>
    </row>
    <row r="47" spans="2:12" x14ac:dyDescent="0.25">
      <c r="C47" s="99" t="s">
        <v>73</v>
      </c>
      <c r="D47" s="151"/>
      <c r="E47" s="100">
        <v>4000</v>
      </c>
      <c r="F47" s="97">
        <f t="shared" ref="F47:F58" si="2">D47*E47</f>
        <v>0</v>
      </c>
      <c r="G47" s="165"/>
      <c r="H47" s="101" t="s">
        <v>986</v>
      </c>
      <c r="I47" s="101" t="str">
        <f>VLOOKUP(H47,Presupuesto!$B$11:$C$565,2,0)</f>
        <v>EQUIPOS VARIOS DE OFICINA</v>
      </c>
      <c r="J47" s="98" t="str">
        <f t="shared" ref="J47:J58" si="3">$J$45</f>
        <v>Posgrado</v>
      </c>
      <c r="K47" s="98" t="s">
        <v>395</v>
      </c>
      <c r="L47" s="98"/>
    </row>
    <row r="48" spans="2:12" x14ac:dyDescent="0.25">
      <c r="C48" s="99" t="s">
        <v>74</v>
      </c>
      <c r="D48" s="151"/>
      <c r="E48" s="100">
        <v>8000</v>
      </c>
      <c r="F48" s="97">
        <f t="shared" si="2"/>
        <v>0</v>
      </c>
      <c r="G48" s="165"/>
      <c r="H48" s="101" t="s">
        <v>1014</v>
      </c>
      <c r="I48" s="101" t="str">
        <f>VLOOKUP(H48,Presupuesto!$B$11:$C$565,2,0)</f>
        <v>EQUIPO DE COMPUTACION</v>
      </c>
      <c r="J48" s="98" t="str">
        <f t="shared" si="3"/>
        <v>Posgrado</v>
      </c>
      <c r="K48" s="98" t="s">
        <v>395</v>
      </c>
      <c r="L48" s="98"/>
    </row>
    <row r="49" spans="3:12" x14ac:dyDescent="0.25">
      <c r="C49" s="99" t="s">
        <v>75</v>
      </c>
      <c r="D49" s="151"/>
      <c r="E49" s="100">
        <v>5000</v>
      </c>
      <c r="F49" s="97">
        <f t="shared" si="2"/>
        <v>0</v>
      </c>
      <c r="G49" s="165"/>
      <c r="H49" s="101" t="s">
        <v>1014</v>
      </c>
      <c r="I49" s="101" t="str">
        <f>VLOOKUP(H49,Presupuesto!$B$11:$C$565,2,0)</f>
        <v>EQUIPO DE COMPUTACION</v>
      </c>
      <c r="J49" s="98" t="str">
        <f t="shared" si="3"/>
        <v>Posgrado</v>
      </c>
      <c r="K49" s="98" t="s">
        <v>395</v>
      </c>
      <c r="L49" s="98"/>
    </row>
    <row r="50" spans="3:12" x14ac:dyDescent="0.25">
      <c r="C50" s="99" t="s">
        <v>35</v>
      </c>
      <c r="D50" s="151"/>
      <c r="E50" s="100">
        <v>13000</v>
      </c>
      <c r="F50" s="97">
        <f t="shared" si="2"/>
        <v>0</v>
      </c>
      <c r="G50" s="165"/>
      <c r="H50" s="101" t="s">
        <v>1000</v>
      </c>
      <c r="I50" s="101" t="str">
        <f>VLOOKUP(H50,Presupuesto!$B$11:$C$565,2,0)</f>
        <v>EQUIPO DE TRANSPORTE TRACCION Y ELEVACION</v>
      </c>
      <c r="J50" s="98" t="str">
        <f t="shared" si="3"/>
        <v>Posgrado</v>
      </c>
      <c r="K50" s="98" t="s">
        <v>395</v>
      </c>
      <c r="L50" s="98"/>
    </row>
    <row r="51" spans="3:12" x14ac:dyDescent="0.25">
      <c r="C51" s="99" t="s">
        <v>76</v>
      </c>
      <c r="D51" s="151"/>
      <c r="E51" s="100">
        <v>15000</v>
      </c>
      <c r="F51" s="97">
        <f t="shared" si="2"/>
        <v>0</v>
      </c>
      <c r="G51" s="165"/>
      <c r="H51" s="101" t="s">
        <v>1000</v>
      </c>
      <c r="I51" s="101" t="str">
        <f>VLOOKUP(H51,Presupuesto!$B$11:$C$565,2,0)</f>
        <v>EQUIPO DE TRANSPORTE TRACCION Y ELEVACION</v>
      </c>
      <c r="J51" s="98" t="str">
        <f t="shared" si="3"/>
        <v>Posgrado</v>
      </c>
      <c r="K51" s="98" t="s">
        <v>395</v>
      </c>
      <c r="L51" s="98"/>
    </row>
    <row r="52" spans="3:12" x14ac:dyDescent="0.25">
      <c r="C52" s="99" t="s">
        <v>77</v>
      </c>
      <c r="D52" s="151"/>
      <c r="E52" s="100">
        <v>10000</v>
      </c>
      <c r="F52" s="97">
        <f t="shared" si="2"/>
        <v>0</v>
      </c>
      <c r="G52" s="165"/>
      <c r="H52" s="101" t="s">
        <v>1000</v>
      </c>
      <c r="I52" s="101" t="str">
        <f>VLOOKUP(H52,Presupuesto!$B$11:$C$565,2,0)</f>
        <v>EQUIPO DE TRANSPORTE TRACCION Y ELEVACION</v>
      </c>
      <c r="J52" s="98" t="str">
        <f t="shared" si="3"/>
        <v>Posgrado</v>
      </c>
      <c r="K52" s="98" t="s">
        <v>403</v>
      </c>
      <c r="L52" s="98"/>
    </row>
    <row r="53" spans="3:12" x14ac:dyDescent="0.25">
      <c r="C53" s="99" t="s">
        <v>78</v>
      </c>
      <c r="D53" s="151"/>
      <c r="E53" s="100">
        <v>10000</v>
      </c>
      <c r="F53" s="97">
        <f t="shared" si="2"/>
        <v>0</v>
      </c>
      <c r="G53" s="165"/>
      <c r="H53" s="101" t="s">
        <v>1046</v>
      </c>
      <c r="I53" s="101" t="str">
        <f>VLOOKUP(H53,Presupuesto!$B$11:$C$565,2,0)</f>
        <v>APLICACIONES INFORMATICAS</v>
      </c>
      <c r="J53" s="98" t="str">
        <f t="shared" si="3"/>
        <v>Posgrado</v>
      </c>
      <c r="K53" s="98" t="s">
        <v>399</v>
      </c>
      <c r="L53" s="98"/>
    </row>
    <row r="54" spans="3:12" x14ac:dyDescent="0.25">
      <c r="C54" s="109" t="s">
        <v>79</v>
      </c>
      <c r="D54" s="151"/>
      <c r="E54" s="100">
        <v>2000</v>
      </c>
      <c r="F54" s="97">
        <f t="shared" si="2"/>
        <v>0</v>
      </c>
      <c r="G54" s="165"/>
      <c r="H54" s="110" t="s">
        <v>1014</v>
      </c>
      <c r="I54" s="110" t="str">
        <f>VLOOKUP(H54,Presupuesto!$B$11:$C$565,2,0)</f>
        <v>EQUIPO DE COMPUTACION</v>
      </c>
      <c r="J54" s="98" t="str">
        <f t="shared" si="3"/>
        <v>Posgrado</v>
      </c>
      <c r="K54" s="98" t="s">
        <v>395</v>
      </c>
      <c r="L54" s="98"/>
    </row>
    <row r="55" spans="3:12" x14ac:dyDescent="0.25">
      <c r="C55" s="109" t="s">
        <v>1482</v>
      </c>
      <c r="D55" s="151"/>
      <c r="E55" s="100">
        <v>1500</v>
      </c>
      <c r="F55" s="97">
        <f t="shared" si="2"/>
        <v>0</v>
      </c>
      <c r="G55" s="165"/>
      <c r="H55" s="110" t="s">
        <v>946</v>
      </c>
      <c r="I55" s="110" t="str">
        <f>VLOOKUP(H55,Presupuesto!$B$11:$C$565,2,0)</f>
        <v>UTILES Y MATERIALES ELECTRICOS</v>
      </c>
      <c r="J55" s="98" t="str">
        <f t="shared" si="3"/>
        <v>Posgrado</v>
      </c>
      <c r="K55" s="98" t="s">
        <v>395</v>
      </c>
      <c r="L55" s="98"/>
    </row>
    <row r="56" spans="3:12" x14ac:dyDescent="0.25">
      <c r="C56" s="109" t="s">
        <v>80</v>
      </c>
      <c r="D56" s="151"/>
      <c r="E56" s="100">
        <v>1500</v>
      </c>
      <c r="F56" s="97">
        <f t="shared" si="2"/>
        <v>0</v>
      </c>
      <c r="G56" s="165"/>
      <c r="H56" s="110" t="s">
        <v>1014</v>
      </c>
      <c r="I56" s="110" t="str">
        <f>VLOOKUP(H56,Presupuesto!$B$11:$C$565,2,0)</f>
        <v>EQUIPO DE COMPUTACION</v>
      </c>
      <c r="J56" s="98" t="str">
        <f t="shared" si="3"/>
        <v>Posgrado</v>
      </c>
      <c r="K56" s="98" t="s">
        <v>395</v>
      </c>
      <c r="L56" s="98"/>
    </row>
    <row r="57" spans="3:12" x14ac:dyDescent="0.25">
      <c r="C57" s="109" t="s">
        <v>81</v>
      </c>
      <c r="D57" s="151"/>
      <c r="E57" s="100">
        <v>500</v>
      </c>
      <c r="F57" s="97">
        <f t="shared" si="2"/>
        <v>0</v>
      </c>
      <c r="G57" s="165"/>
      <c r="H57" s="110" t="s">
        <v>955</v>
      </c>
      <c r="I57" s="110" t="str">
        <f>VLOOKUP(H57,Presupuesto!$B$11:$C$565,2,0)</f>
        <v>OTROS RESPUESTOS Y ACCESORIOS MENORES</v>
      </c>
      <c r="J57" s="98" t="str">
        <f t="shared" si="3"/>
        <v>Posgrado</v>
      </c>
      <c r="K57" s="98" t="s">
        <v>395</v>
      </c>
      <c r="L57" s="98"/>
    </row>
    <row r="58" spans="3:12" ht="15.75" thickBot="1" x14ac:dyDescent="0.3">
      <c r="C58" s="102" t="s">
        <v>82</v>
      </c>
      <c r="D58" s="159"/>
      <c r="E58" s="104">
        <v>20</v>
      </c>
      <c r="F58" s="105">
        <f t="shared" si="2"/>
        <v>0</v>
      </c>
      <c r="G58" s="162"/>
      <c r="H58" s="106" t="s">
        <v>955</v>
      </c>
      <c r="I58" s="106" t="str">
        <f>VLOOKUP(H58,Presupuesto!$B$11:$C$565,2,0)</f>
        <v>OTROS RESPUESTOS Y ACCESORIOS MENORES</v>
      </c>
      <c r="J58" s="106" t="str">
        <f t="shared" si="3"/>
        <v>Posgrado</v>
      </c>
      <c r="K58" s="124" t="s">
        <v>394</v>
      </c>
      <c r="L58" s="124"/>
    </row>
    <row r="60" spans="3:12" ht="15.75" thickBot="1" x14ac:dyDescent="0.3"/>
    <row r="61" spans="3:12" ht="15.75" thickBot="1" x14ac:dyDescent="0.3">
      <c r="C61" s="29" t="s">
        <v>43</v>
      </c>
      <c r="D61" s="108">
        <f>SUM(F68:F81)</f>
        <v>0</v>
      </c>
      <c r="F61" s="70"/>
      <c r="G61" s="79"/>
      <c r="H61" s="70"/>
      <c r="I61" s="70"/>
    </row>
    <row r="62" spans="3:12" x14ac:dyDescent="0.25">
      <c r="C62" s="70"/>
      <c r="D62" s="31"/>
      <c r="E62" s="93"/>
      <c r="F62" s="93"/>
      <c r="G62" s="93"/>
      <c r="H62" s="76"/>
      <c r="I62" s="76"/>
      <c r="J62" s="76"/>
      <c r="K62" s="112"/>
    </row>
    <row r="63" spans="3:12" x14ac:dyDescent="0.25">
      <c r="C63" s="70"/>
      <c r="D63" s="31"/>
      <c r="E63" s="93"/>
      <c r="F63" s="93"/>
      <c r="G63" s="93"/>
      <c r="H63" s="76"/>
      <c r="I63" s="76"/>
      <c r="J63" s="76"/>
      <c r="K63" s="112"/>
    </row>
    <row r="64" spans="3:12" ht="15.75" x14ac:dyDescent="0.25">
      <c r="C64" s="202" t="s">
        <v>392</v>
      </c>
      <c r="D64" s="370"/>
      <c r="E64" s="93"/>
      <c r="F64" s="93"/>
      <c r="G64" s="93"/>
      <c r="H64" s="76"/>
      <c r="I64" s="76"/>
      <c r="J64" s="76"/>
      <c r="K64" s="112"/>
    </row>
    <row r="65" spans="3:12" ht="18.75" x14ac:dyDescent="0.25">
      <c r="C65" s="211" t="e">
        <f>IFERROR(VLOOKUP(D64,'1. Desarrollo e Innov. Curricu.'!$E:$F,2,FALSE),IFERROR(VLOOKUP(D64,'2. Investigación Científica'!$E:$F,2,FALSE),IFERROR(VLOOKUP(D64,'3. Vinculación Univ. Sociedad'!$E:$F,2,FALSE),IFERROR(VLOOKUP(D64,'4. Docencia y Profesorado Univ.'!$E:$F,2,FALSE),IFERROR(VLOOKUP(D64,'5. Estudiantes y Graduados'!$E:$F,2,FALSE),IFERROR(VLOOKUP(D64,'11. Gestion Administrativa'!$E:$F,2,FALSE),IFERROR(VLOOKUP(D64,'13. Gestión Académica'!$E:$F,2,FALSE),IFERROR(VLOOKUP(D64,'8. Asegura. de la Calid. y M'!$E:$F,2,FALSE),IFERROR(VLOOKUP(D64,'6. Gestión del Conocimiento'!$E:$F,2,FALSE),IFERROR(VLOOKUP(D64,'15. Gobernabilidad y Proceso...'!$E:$F,2,FALSE),IFERROR(VLOOKUP(D64,'12. Gestión del Talento Humano'!$E:$F,2,FALSE),IFERROR(VLOOKUP(D64,'14. Internacional... de la E.S.'!$E:$F,2,FALSE),IFERROR(VLOOKUP(D64,'10. Posgrado'!$E:$F,2,FALSE),IFERROR(VLOOKUP(D64,'16. Desa. del Sistema Educ.Sup.'!$E:$F,2,FALSE),IFERROR(VLOOKUP(D64,'9. Cultura de Inno. Insti...'!$E:$F,2,FALSE),VLOOKUP(D64,'7. Lo Esencial de la Reforma U.'!$E:$F,2,0))))))))))))))))</f>
        <v>#N/A</v>
      </c>
      <c r="D65" s="31"/>
      <c r="E65" s="93"/>
      <c r="F65" s="93"/>
      <c r="G65" s="93"/>
      <c r="H65" s="76"/>
      <c r="I65" s="76"/>
      <c r="J65" s="76"/>
      <c r="K65" s="112"/>
    </row>
    <row r="66" spans="3:12" x14ac:dyDescent="0.25">
      <c r="F66" s="93"/>
      <c r="G66" s="76"/>
      <c r="H66" s="76"/>
      <c r="I66" s="76"/>
    </row>
    <row r="67" spans="3:12" ht="30.75" thickBot="1" x14ac:dyDescent="0.3">
      <c r="C67" s="149" t="s">
        <v>44</v>
      </c>
      <c r="D67" s="149" t="s">
        <v>55</v>
      </c>
      <c r="E67" s="149" t="s">
        <v>57</v>
      </c>
      <c r="F67" s="150" t="s">
        <v>27</v>
      </c>
      <c r="G67" s="150" t="s">
        <v>131</v>
      </c>
      <c r="H67" s="149" t="s">
        <v>46</v>
      </c>
      <c r="I67" s="149" t="s">
        <v>132</v>
      </c>
      <c r="J67" s="149" t="s">
        <v>410</v>
      </c>
      <c r="K67" s="149" t="s">
        <v>411</v>
      </c>
      <c r="L67" s="149" t="s">
        <v>464</v>
      </c>
    </row>
    <row r="68" spans="3:12" ht="15.75" thickBot="1" x14ac:dyDescent="0.3">
      <c r="C68" s="306" t="s">
        <v>1339</v>
      </c>
      <c r="D68" s="158"/>
      <c r="E68" s="96">
        <f>HLOOKUP($C68,$CB$2:$CE$3,2,0)</f>
        <v>15000</v>
      </c>
      <c r="F68" s="97">
        <f>D68*E68</f>
        <v>0</v>
      </c>
      <c r="G68" s="165"/>
      <c r="H68" s="98" t="s">
        <v>1014</v>
      </c>
      <c r="I68" s="98" t="str">
        <f>VLOOKUP(H68,Presupuesto!$B$11:$C$565,2,0)</f>
        <v>EQUIPO DE COMPUTACION</v>
      </c>
      <c r="J68" s="219" t="s">
        <v>1454</v>
      </c>
      <c r="K68" s="98" t="s">
        <v>394</v>
      </c>
      <c r="L68" s="98"/>
    </row>
    <row r="69" spans="3:12" x14ac:dyDescent="0.25">
      <c r="C69" s="306" t="s">
        <v>1337</v>
      </c>
      <c r="D69" s="151"/>
      <c r="E69" s="96">
        <f>HLOOKUP($C69,$CB$2:$CE$3,2,0)</f>
        <v>35000</v>
      </c>
      <c r="F69" s="97">
        <f>D69*E69</f>
        <v>0</v>
      </c>
      <c r="G69" s="165"/>
      <c r="H69" s="101" t="s">
        <v>1014</v>
      </c>
      <c r="I69" s="101" t="str">
        <f>VLOOKUP(H69,Presupuesto!$B$11:$C$565,2,0)</f>
        <v>EQUIPO DE COMPUTACION</v>
      </c>
      <c r="J69" s="98" t="str">
        <f>$J$68</f>
        <v>Posgrado</v>
      </c>
      <c r="K69" s="98" t="s">
        <v>412</v>
      </c>
      <c r="L69" s="98"/>
    </row>
    <row r="70" spans="3:12" x14ac:dyDescent="0.25">
      <c r="C70" s="99" t="s">
        <v>73</v>
      </c>
      <c r="D70" s="151"/>
      <c r="E70" s="100">
        <v>4000</v>
      </c>
      <c r="F70" s="97">
        <f t="shared" ref="F70:F81" si="4">D70*E70</f>
        <v>0</v>
      </c>
      <c r="G70" s="165"/>
      <c r="H70" s="101" t="s">
        <v>986</v>
      </c>
      <c r="I70" s="101" t="str">
        <f>VLOOKUP(H70,Presupuesto!$B$11:$C$565,2,0)</f>
        <v>EQUIPOS VARIOS DE OFICINA</v>
      </c>
      <c r="J70" s="98" t="str">
        <f t="shared" ref="J70:J81" si="5">$J$68</f>
        <v>Posgrado</v>
      </c>
      <c r="K70" s="98" t="s">
        <v>395</v>
      </c>
      <c r="L70" s="98"/>
    </row>
    <row r="71" spans="3:12" x14ac:dyDescent="0.25">
      <c r="C71" s="99" t="s">
        <v>74</v>
      </c>
      <c r="D71" s="151"/>
      <c r="E71" s="100">
        <v>8000</v>
      </c>
      <c r="F71" s="97">
        <f t="shared" si="4"/>
        <v>0</v>
      </c>
      <c r="G71" s="165"/>
      <c r="H71" s="101" t="s">
        <v>1014</v>
      </c>
      <c r="I71" s="101" t="str">
        <f>VLOOKUP(H71,Presupuesto!$B$11:$C$565,2,0)</f>
        <v>EQUIPO DE COMPUTACION</v>
      </c>
      <c r="J71" s="98" t="str">
        <f t="shared" si="5"/>
        <v>Posgrado</v>
      </c>
      <c r="K71" s="98" t="s">
        <v>395</v>
      </c>
      <c r="L71" s="98"/>
    </row>
    <row r="72" spans="3:12" x14ac:dyDescent="0.25">
      <c r="C72" s="99" t="s">
        <v>75</v>
      </c>
      <c r="D72" s="151"/>
      <c r="E72" s="100">
        <v>5000</v>
      </c>
      <c r="F72" s="97">
        <f t="shared" si="4"/>
        <v>0</v>
      </c>
      <c r="G72" s="165"/>
      <c r="H72" s="101" t="s">
        <v>1014</v>
      </c>
      <c r="I72" s="101" t="str">
        <f>VLOOKUP(H72,Presupuesto!$B$11:$C$565,2,0)</f>
        <v>EQUIPO DE COMPUTACION</v>
      </c>
      <c r="J72" s="98" t="str">
        <f t="shared" si="5"/>
        <v>Posgrado</v>
      </c>
      <c r="K72" s="98" t="s">
        <v>395</v>
      </c>
      <c r="L72" s="98"/>
    </row>
    <row r="73" spans="3:12" x14ac:dyDescent="0.25">
      <c r="C73" s="99" t="s">
        <v>35</v>
      </c>
      <c r="D73" s="151"/>
      <c r="E73" s="100">
        <v>13000</v>
      </c>
      <c r="F73" s="97">
        <f t="shared" si="4"/>
        <v>0</v>
      </c>
      <c r="G73" s="165"/>
      <c r="H73" s="101" t="s">
        <v>1000</v>
      </c>
      <c r="I73" s="101" t="str">
        <f>VLOOKUP(H73,Presupuesto!$B$11:$C$565,2,0)</f>
        <v>EQUIPO DE TRANSPORTE TRACCION Y ELEVACION</v>
      </c>
      <c r="J73" s="98" t="str">
        <f t="shared" si="5"/>
        <v>Posgrado</v>
      </c>
      <c r="K73" s="98" t="s">
        <v>395</v>
      </c>
      <c r="L73" s="98"/>
    </row>
    <row r="74" spans="3:12" x14ac:dyDescent="0.25">
      <c r="C74" s="99" t="s">
        <v>76</v>
      </c>
      <c r="D74" s="151"/>
      <c r="E74" s="100">
        <v>15000</v>
      </c>
      <c r="F74" s="97">
        <f t="shared" si="4"/>
        <v>0</v>
      </c>
      <c r="G74" s="165"/>
      <c r="H74" s="101" t="s">
        <v>1000</v>
      </c>
      <c r="I74" s="101" t="str">
        <f>VLOOKUP(H74,Presupuesto!$B$11:$C$565,2,0)</f>
        <v>EQUIPO DE TRANSPORTE TRACCION Y ELEVACION</v>
      </c>
      <c r="J74" s="98" t="str">
        <f t="shared" si="5"/>
        <v>Posgrado</v>
      </c>
      <c r="K74" s="98" t="s">
        <v>395</v>
      </c>
      <c r="L74" s="98"/>
    </row>
    <row r="75" spans="3:12" x14ac:dyDescent="0.25">
      <c r="C75" s="99" t="s">
        <v>77</v>
      </c>
      <c r="D75" s="151"/>
      <c r="E75" s="100">
        <v>10000</v>
      </c>
      <c r="F75" s="97">
        <f t="shared" si="4"/>
        <v>0</v>
      </c>
      <c r="G75" s="165"/>
      <c r="H75" s="101" t="s">
        <v>1000</v>
      </c>
      <c r="I75" s="101" t="str">
        <f>VLOOKUP(H75,Presupuesto!$B$11:$C$565,2,0)</f>
        <v>EQUIPO DE TRANSPORTE TRACCION Y ELEVACION</v>
      </c>
      <c r="J75" s="98" t="str">
        <f t="shared" si="5"/>
        <v>Posgrado</v>
      </c>
      <c r="K75" s="98" t="s">
        <v>403</v>
      </c>
      <c r="L75" s="98"/>
    </row>
    <row r="76" spans="3:12" x14ac:dyDescent="0.25">
      <c r="C76" s="99" t="s">
        <v>78</v>
      </c>
      <c r="D76" s="151"/>
      <c r="E76" s="100">
        <v>10000</v>
      </c>
      <c r="F76" s="97">
        <f t="shared" si="4"/>
        <v>0</v>
      </c>
      <c r="G76" s="165"/>
      <c r="H76" s="101" t="s">
        <v>1046</v>
      </c>
      <c r="I76" s="101" t="str">
        <f>VLOOKUP(H76,Presupuesto!$B$11:$C$565,2,0)</f>
        <v>APLICACIONES INFORMATICAS</v>
      </c>
      <c r="J76" s="98" t="str">
        <f t="shared" si="5"/>
        <v>Posgrado</v>
      </c>
      <c r="K76" s="98" t="s">
        <v>399</v>
      </c>
      <c r="L76" s="98"/>
    </row>
    <row r="77" spans="3:12" x14ac:dyDescent="0.25">
      <c r="C77" s="109" t="s">
        <v>79</v>
      </c>
      <c r="D77" s="151"/>
      <c r="E77" s="100">
        <v>2000</v>
      </c>
      <c r="F77" s="97">
        <f t="shared" si="4"/>
        <v>0</v>
      </c>
      <c r="G77" s="165"/>
      <c r="H77" s="110" t="s">
        <v>1014</v>
      </c>
      <c r="I77" s="110" t="str">
        <f>VLOOKUP(H77,Presupuesto!$B$11:$C$565,2,0)</f>
        <v>EQUIPO DE COMPUTACION</v>
      </c>
      <c r="J77" s="98" t="str">
        <f t="shared" si="5"/>
        <v>Posgrado</v>
      </c>
      <c r="K77" s="98" t="s">
        <v>395</v>
      </c>
      <c r="L77" s="98"/>
    </row>
    <row r="78" spans="3:12" x14ac:dyDescent="0.25">
      <c r="C78" s="109" t="s">
        <v>1482</v>
      </c>
      <c r="D78" s="151"/>
      <c r="E78" s="100">
        <v>1500</v>
      </c>
      <c r="F78" s="97">
        <f t="shared" si="4"/>
        <v>0</v>
      </c>
      <c r="G78" s="165"/>
      <c r="H78" s="110" t="s">
        <v>946</v>
      </c>
      <c r="I78" s="110" t="str">
        <f>VLOOKUP(H78,Presupuesto!$B$11:$C$565,2,0)</f>
        <v>UTILES Y MATERIALES ELECTRICOS</v>
      </c>
      <c r="J78" s="98" t="str">
        <f t="shared" si="5"/>
        <v>Posgrado</v>
      </c>
      <c r="K78" s="98" t="s">
        <v>395</v>
      </c>
      <c r="L78" s="98"/>
    </row>
    <row r="79" spans="3:12" x14ac:dyDescent="0.25">
      <c r="C79" s="109" t="s">
        <v>80</v>
      </c>
      <c r="D79" s="151"/>
      <c r="E79" s="100">
        <v>1500</v>
      </c>
      <c r="F79" s="97">
        <f t="shared" si="4"/>
        <v>0</v>
      </c>
      <c r="G79" s="165"/>
      <c r="H79" s="110" t="s">
        <v>1014</v>
      </c>
      <c r="I79" s="110" t="str">
        <f>VLOOKUP(H79,Presupuesto!$B$11:$C$565,2,0)</f>
        <v>EQUIPO DE COMPUTACION</v>
      </c>
      <c r="J79" s="98" t="str">
        <f t="shared" si="5"/>
        <v>Posgrado</v>
      </c>
      <c r="K79" s="98" t="s">
        <v>395</v>
      </c>
      <c r="L79" s="98"/>
    </row>
    <row r="80" spans="3:12" x14ac:dyDescent="0.25">
      <c r="C80" s="109" t="s">
        <v>81</v>
      </c>
      <c r="D80" s="151"/>
      <c r="E80" s="100">
        <v>500</v>
      </c>
      <c r="F80" s="97">
        <f t="shared" si="4"/>
        <v>0</v>
      </c>
      <c r="G80" s="165"/>
      <c r="H80" s="110" t="s">
        <v>955</v>
      </c>
      <c r="I80" s="110" t="str">
        <f>VLOOKUP(H80,Presupuesto!$B$11:$C$565,2,0)</f>
        <v>OTROS RESPUESTOS Y ACCESORIOS MENORES</v>
      </c>
      <c r="J80" s="98" t="str">
        <f t="shared" si="5"/>
        <v>Posgrado</v>
      </c>
      <c r="K80" s="98" t="s">
        <v>395</v>
      </c>
      <c r="L80" s="98"/>
    </row>
    <row r="81" spans="3:12" ht="15.75" thickBot="1" x14ac:dyDescent="0.3">
      <c r="C81" s="102" t="s">
        <v>82</v>
      </c>
      <c r="D81" s="159"/>
      <c r="E81" s="104">
        <v>20</v>
      </c>
      <c r="F81" s="105">
        <f t="shared" si="4"/>
        <v>0</v>
      </c>
      <c r="G81" s="162"/>
      <c r="H81" s="106" t="s">
        <v>955</v>
      </c>
      <c r="I81" s="106" t="str">
        <f>VLOOKUP(H81,Presupuesto!$B$11:$C$565,2,0)</f>
        <v>OTROS RESPUESTOS Y ACCESORIOS MENORES</v>
      </c>
      <c r="J81" s="106" t="str">
        <f t="shared" si="5"/>
        <v>Posgrado</v>
      </c>
      <c r="K81" s="124" t="s">
        <v>394</v>
      </c>
      <c r="L81" s="124"/>
    </row>
    <row r="82" spans="3:12" x14ac:dyDescent="0.25">
      <c r="F82" s="93"/>
      <c r="G82" s="76"/>
      <c r="H82" s="76"/>
      <c r="I82" s="76"/>
    </row>
    <row r="83" spans="3:12" ht="15.75" thickBot="1" x14ac:dyDescent="0.3"/>
    <row r="84" spans="3:12" ht="15.75" thickBot="1" x14ac:dyDescent="0.3">
      <c r="C84" s="29" t="s">
        <v>43</v>
      </c>
      <c r="D84" s="108">
        <f>SUM(F91:F104)</f>
        <v>0</v>
      </c>
      <c r="F84" s="70"/>
      <c r="G84" s="79"/>
      <c r="H84" s="70"/>
      <c r="I84" s="70"/>
    </row>
    <row r="85" spans="3:12" x14ac:dyDescent="0.25">
      <c r="C85" s="70"/>
      <c r="D85" s="31"/>
      <c r="E85" s="93"/>
      <c r="F85" s="93"/>
      <c r="G85" s="93"/>
      <c r="H85" s="76"/>
      <c r="I85" s="76"/>
      <c r="J85" s="76"/>
      <c r="K85" s="112"/>
    </row>
    <row r="86" spans="3:12" x14ac:dyDescent="0.25">
      <c r="C86" s="70"/>
      <c r="D86" s="31"/>
      <c r="E86" s="93"/>
      <c r="F86" s="93"/>
      <c r="G86" s="93"/>
      <c r="H86" s="76"/>
      <c r="I86" s="76"/>
      <c r="J86" s="76"/>
      <c r="K86" s="112"/>
    </row>
    <row r="87" spans="3:12" ht="15.75" x14ac:dyDescent="0.25">
      <c r="C87" s="202" t="s">
        <v>392</v>
      </c>
      <c r="D87" s="370"/>
      <c r="E87" s="93"/>
      <c r="F87" s="93"/>
      <c r="G87" s="93"/>
      <c r="H87" s="76"/>
      <c r="I87" s="76"/>
      <c r="J87" s="76"/>
      <c r="K87" s="112"/>
    </row>
    <row r="88" spans="3:12" ht="18.75" x14ac:dyDescent="0.25">
      <c r="C88" s="211" t="e">
        <f>IFERROR(VLOOKUP(D87,'1. Desarrollo e Innov. Curricu.'!$E:$F,2,FALSE),IFERROR(VLOOKUP(D87,'2. Investigación Científica'!$E:$F,2,FALSE),IFERROR(VLOOKUP(D87,'3. Vinculación Univ. Sociedad'!$E:$F,2,FALSE),IFERROR(VLOOKUP(D87,'4. Docencia y Profesorado Univ.'!$E:$F,2,FALSE),IFERROR(VLOOKUP(D87,'5. Estudiantes y Graduados'!$E:$F,2,FALSE),IFERROR(VLOOKUP(D87,'11. Gestion Administrativa'!$E:$F,2,FALSE),IFERROR(VLOOKUP(D87,'13. Gestión Académica'!$E:$F,2,FALSE),IFERROR(VLOOKUP(D87,'8. Asegura. de la Calid. y M'!$E:$F,2,FALSE),IFERROR(VLOOKUP(D87,'6. Gestión del Conocimiento'!$E:$F,2,FALSE),IFERROR(VLOOKUP(D87,'15. Gobernabilidad y Proceso...'!$E:$F,2,FALSE),IFERROR(VLOOKUP(D87,'12. Gestión del Talento Humano'!$E:$F,2,FALSE),IFERROR(VLOOKUP(D87,'14. Internacional... de la E.S.'!$E:$F,2,FALSE),IFERROR(VLOOKUP(D87,'10. Posgrado'!$E:$F,2,FALSE),IFERROR(VLOOKUP(D87,'16. Desa. del Sistema Educ.Sup.'!$E:$F,2,FALSE),IFERROR(VLOOKUP(D87,'9. Cultura de Inno. Insti...'!$E:$F,2,FALSE),VLOOKUP(D87,'7. Lo Esencial de la Reforma U.'!$E:$F,2,0))))))))))))))))</f>
        <v>#N/A</v>
      </c>
      <c r="D88" s="31"/>
      <c r="E88" s="93"/>
      <c r="F88" s="93"/>
      <c r="G88" s="93"/>
      <c r="H88" s="76"/>
      <c r="I88" s="76"/>
      <c r="J88" s="76"/>
      <c r="K88" s="112"/>
    </row>
    <row r="89" spans="3:12" x14ac:dyDescent="0.25">
      <c r="F89" s="93"/>
      <c r="G89" s="76"/>
      <c r="H89" s="76"/>
      <c r="I89" s="76"/>
    </row>
    <row r="90" spans="3:12" ht="30.75" thickBot="1" x14ac:dyDescent="0.3">
      <c r="C90" s="149" t="s">
        <v>44</v>
      </c>
      <c r="D90" s="149" t="s">
        <v>55</v>
      </c>
      <c r="E90" s="149" t="s">
        <v>57</v>
      </c>
      <c r="F90" s="150" t="s">
        <v>27</v>
      </c>
      <c r="G90" s="150" t="s">
        <v>131</v>
      </c>
      <c r="H90" s="149" t="s">
        <v>46</v>
      </c>
      <c r="I90" s="149" t="s">
        <v>132</v>
      </c>
      <c r="J90" s="149" t="s">
        <v>410</v>
      </c>
      <c r="K90" s="149" t="s">
        <v>411</v>
      </c>
      <c r="L90" s="149" t="s">
        <v>464</v>
      </c>
    </row>
    <row r="91" spans="3:12" ht="15.75" thickBot="1" x14ac:dyDescent="0.3">
      <c r="C91" s="306" t="s">
        <v>1339</v>
      </c>
      <c r="D91" s="158"/>
      <c r="E91" s="96">
        <f>HLOOKUP($C91,$CB$2:$CE$3,2,0)</f>
        <v>15000</v>
      </c>
      <c r="F91" s="97">
        <f>D91*E91</f>
        <v>0</v>
      </c>
      <c r="G91" s="165"/>
      <c r="H91" s="98" t="s">
        <v>1014</v>
      </c>
      <c r="I91" s="98" t="str">
        <f>VLOOKUP(H91,Presupuesto!$B$11:$C$565,2,0)</f>
        <v>EQUIPO DE COMPUTACION</v>
      </c>
      <c r="J91" s="219" t="s">
        <v>1454</v>
      </c>
      <c r="K91" s="98" t="s">
        <v>394</v>
      </c>
      <c r="L91" s="98"/>
    </row>
    <row r="92" spans="3:12" x14ac:dyDescent="0.25">
      <c r="C92" s="306" t="s">
        <v>1337</v>
      </c>
      <c r="D92" s="151"/>
      <c r="E92" s="96">
        <f>HLOOKUP($C92,$CB$2:$CE$3,2,0)</f>
        <v>35000</v>
      </c>
      <c r="F92" s="97">
        <f>D92*E92</f>
        <v>0</v>
      </c>
      <c r="G92" s="165"/>
      <c r="H92" s="101" t="s">
        <v>1014</v>
      </c>
      <c r="I92" s="101" t="str">
        <f>VLOOKUP(H92,Presupuesto!$B$11:$C$565,2,0)</f>
        <v>EQUIPO DE COMPUTACION</v>
      </c>
      <c r="J92" s="98" t="str">
        <f>$J$91</f>
        <v>Posgrado</v>
      </c>
      <c r="K92" s="98" t="s">
        <v>412</v>
      </c>
      <c r="L92" s="98"/>
    </row>
    <row r="93" spans="3:12" x14ac:dyDescent="0.25">
      <c r="C93" s="99" t="s">
        <v>73</v>
      </c>
      <c r="D93" s="151"/>
      <c r="E93" s="100">
        <v>4000</v>
      </c>
      <c r="F93" s="97">
        <f t="shared" ref="F93:F104" si="6">D93*E93</f>
        <v>0</v>
      </c>
      <c r="G93" s="165"/>
      <c r="H93" s="101" t="s">
        <v>986</v>
      </c>
      <c r="I93" s="101" t="str">
        <f>VLOOKUP(H93,Presupuesto!$B$11:$C$565,2,0)</f>
        <v>EQUIPOS VARIOS DE OFICINA</v>
      </c>
      <c r="J93" s="98" t="str">
        <f t="shared" ref="J93:J104" si="7">$J$91</f>
        <v>Posgrado</v>
      </c>
      <c r="K93" s="98" t="s">
        <v>395</v>
      </c>
      <c r="L93" s="98"/>
    </row>
    <row r="94" spans="3:12" x14ac:dyDescent="0.25">
      <c r="C94" s="99" t="s">
        <v>74</v>
      </c>
      <c r="D94" s="151"/>
      <c r="E94" s="100">
        <v>8000</v>
      </c>
      <c r="F94" s="97">
        <f t="shared" si="6"/>
        <v>0</v>
      </c>
      <c r="G94" s="165"/>
      <c r="H94" s="101" t="s">
        <v>1014</v>
      </c>
      <c r="I94" s="101" t="str">
        <f>VLOOKUP(H94,Presupuesto!$B$11:$C$565,2,0)</f>
        <v>EQUIPO DE COMPUTACION</v>
      </c>
      <c r="J94" s="98" t="str">
        <f t="shared" si="7"/>
        <v>Posgrado</v>
      </c>
      <c r="K94" s="98" t="s">
        <v>395</v>
      </c>
      <c r="L94" s="98"/>
    </row>
    <row r="95" spans="3:12" x14ac:dyDescent="0.25">
      <c r="C95" s="99" t="s">
        <v>75</v>
      </c>
      <c r="D95" s="151"/>
      <c r="E95" s="100">
        <v>5000</v>
      </c>
      <c r="F95" s="97">
        <f t="shared" si="6"/>
        <v>0</v>
      </c>
      <c r="G95" s="165"/>
      <c r="H95" s="101" t="s">
        <v>1014</v>
      </c>
      <c r="I95" s="101" t="str">
        <f>VLOOKUP(H95,Presupuesto!$B$11:$C$565,2,0)</f>
        <v>EQUIPO DE COMPUTACION</v>
      </c>
      <c r="J95" s="98" t="str">
        <f t="shared" si="7"/>
        <v>Posgrado</v>
      </c>
      <c r="K95" s="98" t="s">
        <v>395</v>
      </c>
      <c r="L95" s="98"/>
    </row>
    <row r="96" spans="3:12" x14ac:dyDescent="0.25">
      <c r="C96" s="99" t="s">
        <v>35</v>
      </c>
      <c r="D96" s="151"/>
      <c r="E96" s="100">
        <v>13000</v>
      </c>
      <c r="F96" s="97">
        <f t="shared" si="6"/>
        <v>0</v>
      </c>
      <c r="G96" s="165"/>
      <c r="H96" s="101" t="s">
        <v>1000</v>
      </c>
      <c r="I96" s="101" t="str">
        <f>VLOOKUP(H96,Presupuesto!$B$11:$C$565,2,0)</f>
        <v>EQUIPO DE TRANSPORTE TRACCION Y ELEVACION</v>
      </c>
      <c r="J96" s="98" t="str">
        <f t="shared" si="7"/>
        <v>Posgrado</v>
      </c>
      <c r="K96" s="98" t="s">
        <v>395</v>
      </c>
      <c r="L96" s="98"/>
    </row>
    <row r="97" spans="3:12" x14ac:dyDescent="0.25">
      <c r="C97" s="99" t="s">
        <v>76</v>
      </c>
      <c r="D97" s="151"/>
      <c r="E97" s="100">
        <v>15000</v>
      </c>
      <c r="F97" s="97">
        <f t="shared" si="6"/>
        <v>0</v>
      </c>
      <c r="G97" s="165"/>
      <c r="H97" s="101" t="s">
        <v>1000</v>
      </c>
      <c r="I97" s="101" t="str">
        <f>VLOOKUP(H97,Presupuesto!$B$11:$C$565,2,0)</f>
        <v>EQUIPO DE TRANSPORTE TRACCION Y ELEVACION</v>
      </c>
      <c r="J97" s="98" t="str">
        <f t="shared" si="7"/>
        <v>Posgrado</v>
      </c>
      <c r="K97" s="98" t="s">
        <v>395</v>
      </c>
      <c r="L97" s="98"/>
    </row>
    <row r="98" spans="3:12" x14ac:dyDescent="0.25">
      <c r="C98" s="99" t="s">
        <v>77</v>
      </c>
      <c r="D98" s="151"/>
      <c r="E98" s="100">
        <v>10000</v>
      </c>
      <c r="F98" s="97">
        <f t="shared" si="6"/>
        <v>0</v>
      </c>
      <c r="G98" s="165"/>
      <c r="H98" s="101" t="s">
        <v>1000</v>
      </c>
      <c r="I98" s="101" t="str">
        <f>VLOOKUP(H98,Presupuesto!$B$11:$C$565,2,0)</f>
        <v>EQUIPO DE TRANSPORTE TRACCION Y ELEVACION</v>
      </c>
      <c r="J98" s="98" t="str">
        <f t="shared" si="7"/>
        <v>Posgrado</v>
      </c>
      <c r="K98" s="98" t="s">
        <v>403</v>
      </c>
      <c r="L98" s="98"/>
    </row>
    <row r="99" spans="3:12" x14ac:dyDescent="0.25">
      <c r="C99" s="99" t="s">
        <v>78</v>
      </c>
      <c r="D99" s="151"/>
      <c r="E99" s="100">
        <v>10000</v>
      </c>
      <c r="F99" s="97">
        <f t="shared" si="6"/>
        <v>0</v>
      </c>
      <c r="G99" s="165"/>
      <c r="H99" s="101" t="s">
        <v>1046</v>
      </c>
      <c r="I99" s="101" t="str">
        <f>VLOOKUP(H99,Presupuesto!$B$11:$C$565,2,0)</f>
        <v>APLICACIONES INFORMATICAS</v>
      </c>
      <c r="J99" s="98" t="str">
        <f t="shared" si="7"/>
        <v>Posgrado</v>
      </c>
      <c r="K99" s="98" t="s">
        <v>399</v>
      </c>
      <c r="L99" s="98"/>
    </row>
    <row r="100" spans="3:12" x14ac:dyDescent="0.25">
      <c r="C100" s="109" t="s">
        <v>79</v>
      </c>
      <c r="D100" s="151"/>
      <c r="E100" s="100">
        <v>2000</v>
      </c>
      <c r="F100" s="97">
        <f t="shared" si="6"/>
        <v>0</v>
      </c>
      <c r="G100" s="165"/>
      <c r="H100" s="110" t="s">
        <v>1014</v>
      </c>
      <c r="I100" s="110" t="str">
        <f>VLOOKUP(H100,Presupuesto!$B$11:$C$565,2,0)</f>
        <v>EQUIPO DE COMPUTACION</v>
      </c>
      <c r="J100" s="98" t="str">
        <f t="shared" si="7"/>
        <v>Posgrado</v>
      </c>
      <c r="K100" s="98" t="s">
        <v>395</v>
      </c>
      <c r="L100" s="98"/>
    </row>
    <row r="101" spans="3:12" x14ac:dyDescent="0.25">
      <c r="C101" s="109" t="s">
        <v>1482</v>
      </c>
      <c r="D101" s="151"/>
      <c r="E101" s="100">
        <v>1500</v>
      </c>
      <c r="F101" s="97">
        <f t="shared" si="6"/>
        <v>0</v>
      </c>
      <c r="G101" s="165"/>
      <c r="H101" s="110" t="s">
        <v>946</v>
      </c>
      <c r="I101" s="110" t="str">
        <f>VLOOKUP(H101,Presupuesto!$B$11:$C$565,2,0)</f>
        <v>UTILES Y MATERIALES ELECTRICOS</v>
      </c>
      <c r="J101" s="98" t="str">
        <f t="shared" si="7"/>
        <v>Posgrado</v>
      </c>
      <c r="K101" s="98" t="s">
        <v>395</v>
      </c>
      <c r="L101" s="98"/>
    </row>
    <row r="102" spans="3:12" x14ac:dyDescent="0.25">
      <c r="C102" s="109" t="s">
        <v>80</v>
      </c>
      <c r="D102" s="151"/>
      <c r="E102" s="100">
        <v>1500</v>
      </c>
      <c r="F102" s="97">
        <f t="shared" si="6"/>
        <v>0</v>
      </c>
      <c r="G102" s="165"/>
      <c r="H102" s="110" t="s">
        <v>1014</v>
      </c>
      <c r="I102" s="110" t="str">
        <f>VLOOKUP(H102,Presupuesto!$B$11:$C$565,2,0)</f>
        <v>EQUIPO DE COMPUTACION</v>
      </c>
      <c r="J102" s="98" t="str">
        <f t="shared" si="7"/>
        <v>Posgrado</v>
      </c>
      <c r="K102" s="98" t="s">
        <v>395</v>
      </c>
      <c r="L102" s="98"/>
    </row>
    <row r="103" spans="3:12" x14ac:dyDescent="0.25">
      <c r="C103" s="109" t="s">
        <v>81</v>
      </c>
      <c r="D103" s="151"/>
      <c r="E103" s="100">
        <v>500</v>
      </c>
      <c r="F103" s="97">
        <f t="shared" si="6"/>
        <v>0</v>
      </c>
      <c r="G103" s="165"/>
      <c r="H103" s="110" t="s">
        <v>955</v>
      </c>
      <c r="I103" s="110" t="str">
        <f>VLOOKUP(H103,Presupuesto!$B$11:$C$565,2,0)</f>
        <v>OTROS RESPUESTOS Y ACCESORIOS MENORES</v>
      </c>
      <c r="J103" s="98" t="str">
        <f t="shared" si="7"/>
        <v>Posgrado</v>
      </c>
      <c r="K103" s="98" t="s">
        <v>395</v>
      </c>
      <c r="L103" s="98"/>
    </row>
    <row r="104" spans="3:12" ht="15.75" thickBot="1" x14ac:dyDescent="0.3">
      <c r="C104" s="102" t="s">
        <v>82</v>
      </c>
      <c r="D104" s="159"/>
      <c r="E104" s="104">
        <v>20</v>
      </c>
      <c r="F104" s="105">
        <f t="shared" si="6"/>
        <v>0</v>
      </c>
      <c r="G104" s="162"/>
      <c r="H104" s="106" t="s">
        <v>955</v>
      </c>
      <c r="I104" s="106" t="str">
        <f>VLOOKUP(H104,Presupuesto!$B$11:$C$565,2,0)</f>
        <v>OTROS RESPUESTOS Y ACCESORIOS MENORES</v>
      </c>
      <c r="J104" s="106" t="str">
        <f t="shared" si="7"/>
        <v>Posgrado</v>
      </c>
      <c r="K104" s="124" t="s">
        <v>394</v>
      </c>
      <c r="L104" s="124"/>
    </row>
    <row r="106" spans="3:12" ht="15.75" thickBot="1" x14ac:dyDescent="0.3"/>
    <row r="107" spans="3:12" ht="15.75" thickBot="1" x14ac:dyDescent="0.3">
      <c r="C107" s="29" t="s">
        <v>43</v>
      </c>
      <c r="D107" s="108">
        <f>SUM(F114:F127)</f>
        <v>0</v>
      </c>
      <c r="F107" s="70"/>
      <c r="G107" s="79"/>
      <c r="H107" s="70"/>
      <c r="I107" s="70"/>
    </row>
    <row r="108" spans="3:12" x14ac:dyDescent="0.25">
      <c r="C108" s="70"/>
      <c r="D108" s="31"/>
      <c r="E108" s="93"/>
      <c r="F108" s="93"/>
      <c r="G108" s="93"/>
      <c r="H108" s="76"/>
      <c r="I108" s="76"/>
      <c r="J108" s="76"/>
      <c r="K108" s="112"/>
    </row>
    <row r="109" spans="3:12" x14ac:dyDescent="0.25">
      <c r="C109" s="70"/>
      <c r="D109" s="31"/>
      <c r="E109" s="93"/>
      <c r="F109" s="93"/>
      <c r="G109" s="93"/>
      <c r="H109" s="76"/>
      <c r="I109" s="76"/>
      <c r="J109" s="76"/>
      <c r="K109" s="112"/>
    </row>
    <row r="110" spans="3:12" ht="15.75" x14ac:dyDescent="0.25">
      <c r="C110" s="202" t="s">
        <v>392</v>
      </c>
      <c r="D110" s="370"/>
      <c r="E110" s="93"/>
      <c r="F110" s="93"/>
      <c r="G110" s="93"/>
      <c r="H110" s="76"/>
      <c r="I110" s="76"/>
      <c r="J110" s="76"/>
      <c r="K110" s="112"/>
    </row>
    <row r="111" spans="3:12" ht="18.75" x14ac:dyDescent="0.25">
      <c r="C111" s="211" t="e">
        <f>IFERROR(VLOOKUP(D110,'1. Desarrollo e Innov. Curricu.'!$E:$F,2,FALSE),IFERROR(VLOOKUP(D110,'2. Investigación Científica'!$E:$F,2,FALSE),IFERROR(VLOOKUP(D110,'3. Vinculación Univ. Sociedad'!$E:$F,2,FALSE),IFERROR(VLOOKUP(D110,'4. Docencia y Profesorado Univ.'!$E:$F,2,FALSE),IFERROR(VLOOKUP(D110,'5. Estudiantes y Graduados'!$E:$F,2,FALSE),IFERROR(VLOOKUP(D110,'11. Gestion Administrativa'!$E:$F,2,FALSE),IFERROR(VLOOKUP(D110,'13. Gestión Académica'!$E:$F,2,FALSE),IFERROR(VLOOKUP(D110,'8. Asegura. de la Calid. y M'!$E:$F,2,FALSE),IFERROR(VLOOKUP(D110,'6. Gestión del Conocimiento'!$E:$F,2,FALSE),IFERROR(VLOOKUP(D110,'15. Gobernabilidad y Proceso...'!$E:$F,2,FALSE),IFERROR(VLOOKUP(D110,'12. Gestión del Talento Humano'!$E:$F,2,FALSE),IFERROR(VLOOKUP(D110,'14. Internacional... de la E.S.'!$E:$F,2,FALSE),IFERROR(VLOOKUP(D110,'10. Posgrado'!$E:$F,2,FALSE),IFERROR(VLOOKUP(D110,'16. Desa. del Sistema Educ.Sup.'!$E:$F,2,FALSE),IFERROR(VLOOKUP(D110,'9. Cultura de Inno. Insti...'!$E:$F,2,FALSE),VLOOKUP(D110,'7. Lo Esencial de la Reforma U.'!$E:$F,2,0))))))))))))))))</f>
        <v>#N/A</v>
      </c>
      <c r="D111" s="31"/>
      <c r="E111" s="93"/>
      <c r="F111" s="93"/>
      <c r="G111" s="93"/>
      <c r="H111" s="76"/>
      <c r="I111" s="76"/>
      <c r="J111" s="76"/>
      <c r="K111" s="112"/>
    </row>
    <row r="112" spans="3:12" x14ac:dyDescent="0.25">
      <c r="F112" s="93"/>
      <c r="G112" s="76"/>
      <c r="H112" s="76"/>
      <c r="I112" s="76"/>
    </row>
    <row r="113" spans="3:12" ht="30.75" thickBot="1" x14ac:dyDescent="0.3">
      <c r="C113" s="149" t="s">
        <v>44</v>
      </c>
      <c r="D113" s="149" t="s">
        <v>55</v>
      </c>
      <c r="E113" s="149" t="s">
        <v>57</v>
      </c>
      <c r="F113" s="150" t="s">
        <v>27</v>
      </c>
      <c r="G113" s="150" t="s">
        <v>131</v>
      </c>
      <c r="H113" s="149" t="s">
        <v>46</v>
      </c>
      <c r="I113" s="149" t="s">
        <v>132</v>
      </c>
      <c r="J113" s="149" t="s">
        <v>410</v>
      </c>
      <c r="K113" s="149" t="s">
        <v>411</v>
      </c>
      <c r="L113" s="149" t="s">
        <v>464</v>
      </c>
    </row>
    <row r="114" spans="3:12" ht="15.75" thickBot="1" x14ac:dyDescent="0.3">
      <c r="C114" s="306" t="s">
        <v>1339</v>
      </c>
      <c r="D114" s="158"/>
      <c r="E114" s="96">
        <f>HLOOKUP($C114,$CB$2:$CE$3,2,0)</f>
        <v>15000</v>
      </c>
      <c r="F114" s="97">
        <f>D114*E114</f>
        <v>0</v>
      </c>
      <c r="G114" s="165"/>
      <c r="H114" s="98" t="s">
        <v>1014</v>
      </c>
      <c r="I114" s="98" t="str">
        <f>VLOOKUP(H114,Presupuesto!$B$11:$C$565,2,0)</f>
        <v>EQUIPO DE COMPUTACION</v>
      </c>
      <c r="J114" s="219" t="s">
        <v>1517</v>
      </c>
      <c r="K114" s="98" t="s">
        <v>394</v>
      </c>
      <c r="L114" s="98"/>
    </row>
    <row r="115" spans="3:12" x14ac:dyDescent="0.25">
      <c r="C115" s="306" t="s">
        <v>1337</v>
      </c>
      <c r="D115" s="151"/>
      <c r="E115" s="96">
        <f>HLOOKUP($C115,$CB$2:$CE$3,2,0)</f>
        <v>35000</v>
      </c>
      <c r="F115" s="97">
        <f>D115*E115</f>
        <v>0</v>
      </c>
      <c r="G115" s="165"/>
      <c r="H115" s="101" t="s">
        <v>1014</v>
      </c>
      <c r="I115" s="101" t="str">
        <f>VLOOKUP(H115,Presupuesto!$B$11:$C$565,2,0)</f>
        <v>EQUIPO DE COMPUTACION</v>
      </c>
      <c r="J115" s="98" t="str">
        <f>$J$114</f>
        <v>Gestión Tecnologías de Información y Comunicación</v>
      </c>
      <c r="K115" s="98" t="s">
        <v>412</v>
      </c>
      <c r="L115" s="98"/>
    </row>
    <row r="116" spans="3:12" x14ac:dyDescent="0.25">
      <c r="C116" s="99" t="s">
        <v>73</v>
      </c>
      <c r="D116" s="151"/>
      <c r="E116" s="100">
        <v>4000</v>
      </c>
      <c r="F116" s="97">
        <f t="shared" ref="F116:F127" si="8">D116*E116</f>
        <v>0</v>
      </c>
      <c r="G116" s="165"/>
      <c r="H116" s="101" t="s">
        <v>986</v>
      </c>
      <c r="I116" s="101" t="str">
        <f>VLOOKUP(H116,Presupuesto!$B$11:$C$565,2,0)</f>
        <v>EQUIPOS VARIOS DE OFICINA</v>
      </c>
      <c r="J116" s="98" t="str">
        <f t="shared" ref="J116:J127" si="9">$J$114</f>
        <v>Gestión Tecnologías de Información y Comunicación</v>
      </c>
      <c r="K116" s="98" t="s">
        <v>395</v>
      </c>
      <c r="L116" s="98"/>
    </row>
    <row r="117" spans="3:12" x14ac:dyDescent="0.25">
      <c r="C117" s="99" t="s">
        <v>74</v>
      </c>
      <c r="D117" s="151"/>
      <c r="E117" s="100">
        <v>8000</v>
      </c>
      <c r="F117" s="97">
        <f t="shared" si="8"/>
        <v>0</v>
      </c>
      <c r="G117" s="165"/>
      <c r="H117" s="101" t="s">
        <v>1014</v>
      </c>
      <c r="I117" s="101" t="str">
        <f>VLOOKUP(H117,Presupuesto!$B$11:$C$565,2,0)</f>
        <v>EQUIPO DE COMPUTACION</v>
      </c>
      <c r="J117" s="98" t="str">
        <f t="shared" si="9"/>
        <v>Gestión Tecnologías de Información y Comunicación</v>
      </c>
      <c r="K117" s="98" t="s">
        <v>395</v>
      </c>
      <c r="L117" s="98"/>
    </row>
    <row r="118" spans="3:12" x14ac:dyDescent="0.25">
      <c r="C118" s="99" t="s">
        <v>75</v>
      </c>
      <c r="D118" s="151"/>
      <c r="E118" s="100">
        <v>5000</v>
      </c>
      <c r="F118" s="97">
        <f t="shared" si="8"/>
        <v>0</v>
      </c>
      <c r="G118" s="165"/>
      <c r="H118" s="101" t="s">
        <v>1014</v>
      </c>
      <c r="I118" s="101" t="str">
        <f>VLOOKUP(H118,Presupuesto!$B$11:$C$565,2,0)</f>
        <v>EQUIPO DE COMPUTACION</v>
      </c>
      <c r="J118" s="98" t="str">
        <f t="shared" si="9"/>
        <v>Gestión Tecnologías de Información y Comunicación</v>
      </c>
      <c r="K118" s="98" t="s">
        <v>395</v>
      </c>
      <c r="L118" s="98"/>
    </row>
    <row r="119" spans="3:12" x14ac:dyDescent="0.25">
      <c r="C119" s="99" t="s">
        <v>35</v>
      </c>
      <c r="D119" s="151"/>
      <c r="E119" s="100">
        <v>13000</v>
      </c>
      <c r="F119" s="97">
        <f t="shared" si="8"/>
        <v>0</v>
      </c>
      <c r="G119" s="165"/>
      <c r="H119" s="101" t="s">
        <v>1000</v>
      </c>
      <c r="I119" s="101" t="str">
        <f>VLOOKUP(H119,Presupuesto!$B$11:$C$565,2,0)</f>
        <v>EQUIPO DE TRANSPORTE TRACCION Y ELEVACION</v>
      </c>
      <c r="J119" s="98" t="str">
        <f t="shared" si="9"/>
        <v>Gestión Tecnologías de Información y Comunicación</v>
      </c>
      <c r="K119" s="98" t="s">
        <v>395</v>
      </c>
      <c r="L119" s="98"/>
    </row>
    <row r="120" spans="3:12" x14ac:dyDescent="0.25">
      <c r="C120" s="99" t="s">
        <v>76</v>
      </c>
      <c r="D120" s="151"/>
      <c r="E120" s="100">
        <v>15000</v>
      </c>
      <c r="F120" s="97">
        <f t="shared" si="8"/>
        <v>0</v>
      </c>
      <c r="G120" s="165"/>
      <c r="H120" s="101" t="s">
        <v>1000</v>
      </c>
      <c r="I120" s="101" t="str">
        <f>VLOOKUP(H120,Presupuesto!$B$11:$C$565,2,0)</f>
        <v>EQUIPO DE TRANSPORTE TRACCION Y ELEVACION</v>
      </c>
      <c r="J120" s="98" t="str">
        <f t="shared" si="9"/>
        <v>Gestión Tecnologías de Información y Comunicación</v>
      </c>
      <c r="K120" s="98" t="s">
        <v>395</v>
      </c>
      <c r="L120" s="98"/>
    </row>
    <row r="121" spans="3:12" x14ac:dyDescent="0.25">
      <c r="C121" s="99" t="s">
        <v>77</v>
      </c>
      <c r="D121" s="151"/>
      <c r="E121" s="100">
        <v>10000</v>
      </c>
      <c r="F121" s="97">
        <f t="shared" si="8"/>
        <v>0</v>
      </c>
      <c r="G121" s="165"/>
      <c r="H121" s="101" t="s">
        <v>1000</v>
      </c>
      <c r="I121" s="101" t="str">
        <f>VLOOKUP(H121,Presupuesto!$B$11:$C$565,2,0)</f>
        <v>EQUIPO DE TRANSPORTE TRACCION Y ELEVACION</v>
      </c>
      <c r="J121" s="98" t="str">
        <f t="shared" si="9"/>
        <v>Gestión Tecnologías de Información y Comunicación</v>
      </c>
      <c r="K121" s="98" t="s">
        <v>403</v>
      </c>
      <c r="L121" s="98"/>
    </row>
    <row r="122" spans="3:12" x14ac:dyDescent="0.25">
      <c r="C122" s="99" t="s">
        <v>78</v>
      </c>
      <c r="D122" s="151"/>
      <c r="E122" s="100">
        <v>10000</v>
      </c>
      <c r="F122" s="97">
        <f t="shared" si="8"/>
        <v>0</v>
      </c>
      <c r="G122" s="165"/>
      <c r="H122" s="101" t="s">
        <v>1046</v>
      </c>
      <c r="I122" s="101" t="str">
        <f>VLOOKUP(H122,Presupuesto!$B$11:$C$565,2,0)</f>
        <v>APLICACIONES INFORMATICAS</v>
      </c>
      <c r="J122" s="98" t="str">
        <f t="shared" si="9"/>
        <v>Gestión Tecnologías de Información y Comunicación</v>
      </c>
      <c r="K122" s="98" t="s">
        <v>399</v>
      </c>
      <c r="L122" s="98"/>
    </row>
    <row r="123" spans="3:12" x14ac:dyDescent="0.25">
      <c r="C123" s="109" t="s">
        <v>79</v>
      </c>
      <c r="D123" s="151"/>
      <c r="E123" s="100">
        <v>2000</v>
      </c>
      <c r="F123" s="97">
        <f t="shared" si="8"/>
        <v>0</v>
      </c>
      <c r="G123" s="165"/>
      <c r="H123" s="110" t="s">
        <v>1014</v>
      </c>
      <c r="I123" s="110" t="str">
        <f>VLOOKUP(H123,Presupuesto!$B$11:$C$565,2,0)</f>
        <v>EQUIPO DE COMPUTACION</v>
      </c>
      <c r="J123" s="98" t="str">
        <f t="shared" si="9"/>
        <v>Gestión Tecnologías de Información y Comunicación</v>
      </c>
      <c r="K123" s="98" t="s">
        <v>395</v>
      </c>
      <c r="L123" s="98"/>
    </row>
    <row r="124" spans="3:12" x14ac:dyDescent="0.25">
      <c r="C124" s="109" t="s">
        <v>1482</v>
      </c>
      <c r="D124" s="151"/>
      <c r="E124" s="100">
        <v>1500</v>
      </c>
      <c r="F124" s="97">
        <f t="shared" si="8"/>
        <v>0</v>
      </c>
      <c r="G124" s="165"/>
      <c r="H124" s="110" t="s">
        <v>946</v>
      </c>
      <c r="I124" s="110" t="str">
        <f>VLOOKUP(H124,Presupuesto!$B$11:$C$565,2,0)</f>
        <v>UTILES Y MATERIALES ELECTRICOS</v>
      </c>
      <c r="J124" s="98" t="str">
        <f t="shared" si="9"/>
        <v>Gestión Tecnologías de Información y Comunicación</v>
      </c>
      <c r="K124" s="98" t="s">
        <v>395</v>
      </c>
      <c r="L124" s="98"/>
    </row>
    <row r="125" spans="3:12" x14ac:dyDescent="0.25">
      <c r="C125" s="109" t="s">
        <v>80</v>
      </c>
      <c r="D125" s="151"/>
      <c r="E125" s="100">
        <v>1500</v>
      </c>
      <c r="F125" s="97">
        <f t="shared" si="8"/>
        <v>0</v>
      </c>
      <c r="G125" s="165"/>
      <c r="H125" s="110" t="s">
        <v>1014</v>
      </c>
      <c r="I125" s="110" t="str">
        <f>VLOOKUP(H125,Presupuesto!$B$11:$C$565,2,0)</f>
        <v>EQUIPO DE COMPUTACION</v>
      </c>
      <c r="J125" s="98" t="str">
        <f t="shared" si="9"/>
        <v>Gestión Tecnologías de Información y Comunicación</v>
      </c>
      <c r="K125" s="98" t="s">
        <v>395</v>
      </c>
      <c r="L125" s="98"/>
    </row>
    <row r="126" spans="3:12" x14ac:dyDescent="0.25">
      <c r="C126" s="109" t="s">
        <v>81</v>
      </c>
      <c r="D126" s="151"/>
      <c r="E126" s="100">
        <v>500</v>
      </c>
      <c r="F126" s="97">
        <f t="shared" si="8"/>
        <v>0</v>
      </c>
      <c r="G126" s="165"/>
      <c r="H126" s="110" t="s">
        <v>955</v>
      </c>
      <c r="I126" s="110" t="str">
        <f>VLOOKUP(H126,Presupuesto!$B$11:$C$565,2,0)</f>
        <v>OTROS RESPUESTOS Y ACCESORIOS MENORES</v>
      </c>
      <c r="J126" s="98" t="str">
        <f t="shared" si="9"/>
        <v>Gestión Tecnologías de Información y Comunicación</v>
      </c>
      <c r="K126" s="98" t="s">
        <v>395</v>
      </c>
      <c r="L126" s="98"/>
    </row>
    <row r="127" spans="3:12" ht="15.75" thickBot="1" x14ac:dyDescent="0.3">
      <c r="C127" s="102" t="s">
        <v>82</v>
      </c>
      <c r="D127" s="159"/>
      <c r="E127" s="104">
        <v>20</v>
      </c>
      <c r="F127" s="105">
        <f t="shared" si="8"/>
        <v>0</v>
      </c>
      <c r="G127" s="162"/>
      <c r="H127" s="106" t="s">
        <v>955</v>
      </c>
      <c r="I127" s="106" t="str">
        <f>VLOOKUP(H127,Presupuesto!$B$11:$C$565,2,0)</f>
        <v>OTROS RESPUESTOS Y ACCESORIOS MENORES</v>
      </c>
      <c r="J127" s="106" t="str">
        <f t="shared" si="9"/>
        <v>Gestión Tecnologías de Información y Comunicación</v>
      </c>
      <c r="K127" s="124" t="s">
        <v>394</v>
      </c>
      <c r="L127" s="124"/>
    </row>
    <row r="128" spans="3:12" x14ac:dyDescent="0.25">
      <c r="F128" s="93"/>
      <c r="G128" s="76"/>
      <c r="H128" s="76"/>
      <c r="I128" s="76"/>
    </row>
    <row r="129" spans="3:12" ht="15.75" thickBot="1" x14ac:dyDescent="0.3"/>
    <row r="130" spans="3:12" ht="15.75" thickBot="1" x14ac:dyDescent="0.3">
      <c r="C130" s="29" t="s">
        <v>43</v>
      </c>
      <c r="D130" s="108">
        <f>SUM(F137:F150)</f>
        <v>0</v>
      </c>
      <c r="F130" s="70"/>
      <c r="G130" s="79"/>
      <c r="H130" s="70"/>
      <c r="I130" s="70"/>
    </row>
    <row r="131" spans="3:12" x14ac:dyDescent="0.25">
      <c r="C131" s="70"/>
      <c r="D131" s="31"/>
      <c r="E131" s="93"/>
      <c r="F131" s="93"/>
      <c r="G131" s="93"/>
      <c r="H131" s="76"/>
      <c r="I131" s="76"/>
      <c r="J131" s="76"/>
      <c r="K131" s="112"/>
    </row>
    <row r="132" spans="3:12" x14ac:dyDescent="0.25">
      <c r="C132" s="70"/>
      <c r="D132" s="31"/>
      <c r="E132" s="93"/>
      <c r="F132" s="93"/>
      <c r="G132" s="93"/>
      <c r="H132" s="76"/>
      <c r="I132" s="76"/>
      <c r="J132" s="76"/>
      <c r="K132" s="112"/>
    </row>
    <row r="133" spans="3:12" ht="15.75" x14ac:dyDescent="0.25">
      <c r="C133" s="202" t="s">
        <v>392</v>
      </c>
      <c r="D133" s="370"/>
      <c r="E133" s="93"/>
      <c r="F133" s="93"/>
      <c r="G133" s="93"/>
      <c r="H133" s="76"/>
      <c r="I133" s="76"/>
      <c r="J133" s="76"/>
      <c r="K133" s="112"/>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Posgrado'!$E:$F,2,FALSE),IFERROR(VLOOKUP(D133,'16. Desa. del Sistema Educ.Sup.'!$E:$F,2,FALSE),IFERROR(VLOOKUP(D133,'9. Cultura de Inno. Insti...'!$E:$F,2,FALSE),VLOOKUP(D133,'7. Lo Esencial de la Reforma U.'!$E:$F,2,0))))))))))))))))</f>
        <v>#N/A</v>
      </c>
      <c r="D134" s="31"/>
      <c r="E134" s="93"/>
      <c r="F134" s="93"/>
      <c r="G134" s="93"/>
      <c r="H134" s="76"/>
      <c r="I134" s="76"/>
      <c r="J134" s="76"/>
      <c r="K134" s="112"/>
    </row>
    <row r="135" spans="3:12" x14ac:dyDescent="0.25">
      <c r="F135" s="93"/>
      <c r="G135" s="76"/>
      <c r="H135" s="76"/>
      <c r="I135" s="76"/>
    </row>
    <row r="136" spans="3:12" ht="30.75" thickBot="1" x14ac:dyDescent="0.3">
      <c r="C136" s="149" t="s">
        <v>44</v>
      </c>
      <c r="D136" s="149" t="s">
        <v>55</v>
      </c>
      <c r="E136" s="149" t="s">
        <v>57</v>
      </c>
      <c r="F136" s="150" t="s">
        <v>27</v>
      </c>
      <c r="G136" s="150" t="s">
        <v>131</v>
      </c>
      <c r="H136" s="149" t="s">
        <v>46</v>
      </c>
      <c r="I136" s="149" t="s">
        <v>132</v>
      </c>
      <c r="J136" s="149" t="s">
        <v>410</v>
      </c>
      <c r="K136" s="149" t="s">
        <v>411</v>
      </c>
      <c r="L136" s="149" t="s">
        <v>464</v>
      </c>
    </row>
    <row r="137" spans="3:12" ht="15.75" thickBot="1" x14ac:dyDescent="0.3">
      <c r="C137" s="306" t="s">
        <v>1339</v>
      </c>
      <c r="D137" s="158"/>
      <c r="E137" s="96">
        <f>HLOOKUP($C137,$CB$2:$CE$3,2,0)</f>
        <v>15000</v>
      </c>
      <c r="F137" s="97">
        <f>D137*E137</f>
        <v>0</v>
      </c>
      <c r="G137" s="165"/>
      <c r="H137" s="98" t="s">
        <v>1014</v>
      </c>
      <c r="I137" s="98" t="str">
        <f>VLOOKUP(H137,Presupuesto!$B$11:$C$565,2,0)</f>
        <v>EQUIPO DE COMPUTACION</v>
      </c>
      <c r="J137" s="219" t="s">
        <v>1454</v>
      </c>
      <c r="K137" s="98" t="s">
        <v>394</v>
      </c>
      <c r="L137" s="98"/>
    </row>
    <row r="138" spans="3:12" x14ac:dyDescent="0.25">
      <c r="C138" s="306" t="s">
        <v>1337</v>
      </c>
      <c r="D138" s="151"/>
      <c r="E138" s="96">
        <f>HLOOKUP($C138,$CB$2:$CE$3,2,0)</f>
        <v>35000</v>
      </c>
      <c r="F138" s="97">
        <f>D138*E138</f>
        <v>0</v>
      </c>
      <c r="G138" s="165"/>
      <c r="H138" s="101" t="s">
        <v>1014</v>
      </c>
      <c r="I138" s="101" t="str">
        <f>VLOOKUP(H138,Presupuesto!$B$11:$C$565,2,0)</f>
        <v>EQUIPO DE COMPUTACION</v>
      </c>
      <c r="J138" s="98" t="str">
        <f>$J$137</f>
        <v>Posgrado</v>
      </c>
      <c r="K138" s="98" t="s">
        <v>412</v>
      </c>
      <c r="L138" s="98"/>
    </row>
    <row r="139" spans="3:12" x14ac:dyDescent="0.25">
      <c r="C139" s="99" t="s">
        <v>73</v>
      </c>
      <c r="D139" s="151"/>
      <c r="E139" s="100">
        <v>4000</v>
      </c>
      <c r="F139" s="97">
        <f t="shared" ref="F139:F150" si="10">D139*E139</f>
        <v>0</v>
      </c>
      <c r="G139" s="165"/>
      <c r="H139" s="101" t="s">
        <v>986</v>
      </c>
      <c r="I139" s="101" t="str">
        <f>VLOOKUP(H139,Presupuesto!$B$11:$C$565,2,0)</f>
        <v>EQUIPOS VARIOS DE OFICINA</v>
      </c>
      <c r="J139" s="98" t="str">
        <f t="shared" ref="J139:J149" si="11">$J$137</f>
        <v>Posgrado</v>
      </c>
      <c r="K139" s="98" t="s">
        <v>395</v>
      </c>
      <c r="L139" s="98"/>
    </row>
    <row r="140" spans="3:12" x14ac:dyDescent="0.25">
      <c r="C140" s="99" t="s">
        <v>74</v>
      </c>
      <c r="D140" s="151"/>
      <c r="E140" s="100">
        <v>8000</v>
      </c>
      <c r="F140" s="97">
        <f t="shared" si="10"/>
        <v>0</v>
      </c>
      <c r="G140" s="165"/>
      <c r="H140" s="101" t="s">
        <v>1014</v>
      </c>
      <c r="I140" s="101" t="str">
        <f>VLOOKUP(H140,Presupuesto!$B$11:$C$565,2,0)</f>
        <v>EQUIPO DE COMPUTACION</v>
      </c>
      <c r="J140" s="98" t="str">
        <f t="shared" si="11"/>
        <v>Posgrado</v>
      </c>
      <c r="K140" s="98" t="s">
        <v>395</v>
      </c>
      <c r="L140" s="98"/>
    </row>
    <row r="141" spans="3:12" x14ac:dyDescent="0.25">
      <c r="C141" s="99" t="s">
        <v>75</v>
      </c>
      <c r="D141" s="151"/>
      <c r="E141" s="100">
        <v>5000</v>
      </c>
      <c r="F141" s="97">
        <f t="shared" si="10"/>
        <v>0</v>
      </c>
      <c r="G141" s="165"/>
      <c r="H141" s="101" t="s">
        <v>1014</v>
      </c>
      <c r="I141" s="101" t="str">
        <f>VLOOKUP(H141,Presupuesto!$B$11:$C$565,2,0)</f>
        <v>EQUIPO DE COMPUTACION</v>
      </c>
      <c r="J141" s="98" t="str">
        <f t="shared" si="11"/>
        <v>Posgrado</v>
      </c>
      <c r="K141" s="98" t="s">
        <v>395</v>
      </c>
      <c r="L141" s="98"/>
    </row>
    <row r="142" spans="3:12" x14ac:dyDescent="0.25">
      <c r="C142" s="99" t="s">
        <v>35</v>
      </c>
      <c r="D142" s="151"/>
      <c r="E142" s="100">
        <v>13000</v>
      </c>
      <c r="F142" s="97">
        <f t="shared" si="10"/>
        <v>0</v>
      </c>
      <c r="G142" s="165"/>
      <c r="H142" s="101" t="s">
        <v>1000</v>
      </c>
      <c r="I142" s="101" t="str">
        <f>VLOOKUP(H142,Presupuesto!$B$11:$C$565,2,0)</f>
        <v>EQUIPO DE TRANSPORTE TRACCION Y ELEVACION</v>
      </c>
      <c r="J142" s="98" t="str">
        <f t="shared" si="11"/>
        <v>Posgrado</v>
      </c>
      <c r="K142" s="98" t="s">
        <v>395</v>
      </c>
      <c r="L142" s="98"/>
    </row>
    <row r="143" spans="3:12" x14ac:dyDescent="0.25">
      <c r="C143" s="99" t="s">
        <v>76</v>
      </c>
      <c r="D143" s="151"/>
      <c r="E143" s="100">
        <v>15000</v>
      </c>
      <c r="F143" s="97">
        <f t="shared" si="10"/>
        <v>0</v>
      </c>
      <c r="G143" s="165"/>
      <c r="H143" s="101" t="s">
        <v>1000</v>
      </c>
      <c r="I143" s="101" t="str">
        <f>VLOOKUP(H143,Presupuesto!$B$11:$C$565,2,0)</f>
        <v>EQUIPO DE TRANSPORTE TRACCION Y ELEVACION</v>
      </c>
      <c r="J143" s="98" t="str">
        <f t="shared" si="11"/>
        <v>Posgrado</v>
      </c>
      <c r="K143" s="98" t="s">
        <v>395</v>
      </c>
      <c r="L143" s="98"/>
    </row>
    <row r="144" spans="3:12" x14ac:dyDescent="0.25">
      <c r="C144" s="99" t="s">
        <v>77</v>
      </c>
      <c r="D144" s="151"/>
      <c r="E144" s="100">
        <v>10000</v>
      </c>
      <c r="F144" s="97">
        <f t="shared" si="10"/>
        <v>0</v>
      </c>
      <c r="G144" s="165"/>
      <c r="H144" s="101" t="s">
        <v>1000</v>
      </c>
      <c r="I144" s="101" t="str">
        <f>VLOOKUP(H144,Presupuesto!$B$11:$C$565,2,0)</f>
        <v>EQUIPO DE TRANSPORTE TRACCION Y ELEVACION</v>
      </c>
      <c r="J144" s="98" t="str">
        <f t="shared" si="11"/>
        <v>Posgrado</v>
      </c>
      <c r="K144" s="98" t="s">
        <v>403</v>
      </c>
      <c r="L144" s="98"/>
    </row>
    <row r="145" spans="3:12" x14ac:dyDescent="0.25">
      <c r="C145" s="99" t="s">
        <v>78</v>
      </c>
      <c r="D145" s="151"/>
      <c r="E145" s="100">
        <v>10000</v>
      </c>
      <c r="F145" s="97">
        <f t="shared" si="10"/>
        <v>0</v>
      </c>
      <c r="G145" s="165"/>
      <c r="H145" s="101" t="s">
        <v>1046</v>
      </c>
      <c r="I145" s="101" t="str">
        <f>VLOOKUP(H145,Presupuesto!$B$11:$C$565,2,0)</f>
        <v>APLICACIONES INFORMATICAS</v>
      </c>
      <c r="J145" s="98" t="str">
        <f t="shared" si="11"/>
        <v>Posgrado</v>
      </c>
      <c r="K145" s="98" t="s">
        <v>399</v>
      </c>
      <c r="L145" s="98"/>
    </row>
    <row r="146" spans="3:12" x14ac:dyDescent="0.25">
      <c r="C146" s="109" t="s">
        <v>79</v>
      </c>
      <c r="D146" s="151"/>
      <c r="E146" s="100">
        <v>2000</v>
      </c>
      <c r="F146" s="97">
        <f t="shared" si="10"/>
        <v>0</v>
      </c>
      <c r="G146" s="165"/>
      <c r="H146" s="110" t="s">
        <v>1014</v>
      </c>
      <c r="I146" s="110" t="str">
        <f>VLOOKUP(H146,Presupuesto!$B$11:$C$565,2,0)</f>
        <v>EQUIPO DE COMPUTACION</v>
      </c>
      <c r="J146" s="98" t="str">
        <f t="shared" si="11"/>
        <v>Posgrado</v>
      </c>
      <c r="K146" s="98" t="s">
        <v>395</v>
      </c>
      <c r="L146" s="98"/>
    </row>
    <row r="147" spans="3:12" x14ac:dyDescent="0.25">
      <c r="C147" s="109" t="s">
        <v>1482</v>
      </c>
      <c r="D147" s="151"/>
      <c r="E147" s="100">
        <v>1500</v>
      </c>
      <c r="F147" s="97">
        <f t="shared" si="10"/>
        <v>0</v>
      </c>
      <c r="G147" s="165"/>
      <c r="H147" s="110" t="s">
        <v>946</v>
      </c>
      <c r="I147" s="110" t="str">
        <f>VLOOKUP(H147,Presupuesto!$B$11:$C$565,2,0)</f>
        <v>UTILES Y MATERIALES ELECTRICOS</v>
      </c>
      <c r="J147" s="98" t="str">
        <f t="shared" si="11"/>
        <v>Posgrado</v>
      </c>
      <c r="K147" s="98" t="s">
        <v>395</v>
      </c>
      <c r="L147" s="98"/>
    </row>
    <row r="148" spans="3:12" x14ac:dyDescent="0.25">
      <c r="C148" s="109" t="s">
        <v>80</v>
      </c>
      <c r="D148" s="151"/>
      <c r="E148" s="100">
        <v>1500</v>
      </c>
      <c r="F148" s="97">
        <f t="shared" si="10"/>
        <v>0</v>
      </c>
      <c r="G148" s="165"/>
      <c r="H148" s="110" t="s">
        <v>1014</v>
      </c>
      <c r="I148" s="110" t="str">
        <f>VLOOKUP(H148,Presupuesto!$B$11:$C$565,2,0)</f>
        <v>EQUIPO DE COMPUTACION</v>
      </c>
      <c r="J148" s="98" t="str">
        <f t="shared" si="11"/>
        <v>Posgrado</v>
      </c>
      <c r="K148" s="98" t="s">
        <v>395</v>
      </c>
      <c r="L148" s="98"/>
    </row>
    <row r="149" spans="3:12" x14ac:dyDescent="0.25">
      <c r="C149" s="109" t="s">
        <v>81</v>
      </c>
      <c r="D149" s="151"/>
      <c r="E149" s="100">
        <v>500</v>
      </c>
      <c r="F149" s="97">
        <f t="shared" si="10"/>
        <v>0</v>
      </c>
      <c r="G149" s="165"/>
      <c r="H149" s="110" t="s">
        <v>955</v>
      </c>
      <c r="I149" s="110" t="str">
        <f>VLOOKUP(H149,Presupuesto!$B$11:$C$565,2,0)</f>
        <v>OTROS RESPUESTOS Y ACCESORIOS MENORES</v>
      </c>
      <c r="J149" s="98" t="str">
        <f t="shared" si="11"/>
        <v>Posgrado</v>
      </c>
      <c r="K149" s="98" t="s">
        <v>395</v>
      </c>
      <c r="L149" s="98"/>
    </row>
    <row r="150" spans="3:12" ht="15.75" thickBot="1" x14ac:dyDescent="0.3">
      <c r="C150" s="102" t="s">
        <v>82</v>
      </c>
      <c r="D150" s="159"/>
      <c r="E150" s="104">
        <v>20</v>
      </c>
      <c r="F150" s="105">
        <f t="shared" si="10"/>
        <v>0</v>
      </c>
      <c r="G150" s="162"/>
      <c r="H150" s="106" t="s">
        <v>955</v>
      </c>
      <c r="I150" s="106" t="str">
        <f>VLOOKUP(H150,Presupuesto!$B$11:$C$565,2,0)</f>
        <v>OTROS RESPUESTOS Y ACCESORIOS MENORES</v>
      </c>
      <c r="J150" s="106" t="str">
        <f>$J$137</f>
        <v>Posgrado</v>
      </c>
      <c r="K150" s="124" t="s">
        <v>394</v>
      </c>
      <c r="L150" s="124"/>
    </row>
    <row r="152" spans="3:12" ht="15.75" thickBot="1" x14ac:dyDescent="0.3"/>
    <row r="153" spans="3:12" ht="15.75" thickBot="1" x14ac:dyDescent="0.3">
      <c r="C153" s="29" t="s">
        <v>43</v>
      </c>
      <c r="D153" s="108">
        <f>SUM(F160:F173)</f>
        <v>0</v>
      </c>
      <c r="F153" s="70"/>
      <c r="G153" s="79"/>
      <c r="H153" s="70"/>
      <c r="I153" s="70"/>
    </row>
    <row r="154" spans="3:12" x14ac:dyDescent="0.25">
      <c r="C154" s="70"/>
      <c r="D154" s="31"/>
      <c r="E154" s="93"/>
      <c r="F154" s="93"/>
      <c r="G154" s="93"/>
      <c r="H154" s="76"/>
      <c r="I154" s="76"/>
      <c r="J154" s="76"/>
      <c r="K154" s="112"/>
    </row>
    <row r="155" spans="3:12" x14ac:dyDescent="0.25">
      <c r="C155" s="70"/>
      <c r="D155" s="31"/>
      <c r="E155" s="93"/>
      <c r="F155" s="93"/>
      <c r="G155" s="93"/>
      <c r="H155" s="76"/>
      <c r="I155" s="76"/>
      <c r="J155" s="76"/>
      <c r="K155" s="112"/>
    </row>
    <row r="156" spans="3:12" ht="15.75" x14ac:dyDescent="0.25">
      <c r="C156" s="202" t="s">
        <v>392</v>
      </c>
      <c r="D156" s="370"/>
      <c r="E156" s="93"/>
      <c r="F156" s="93"/>
      <c r="G156" s="93"/>
      <c r="H156" s="76"/>
      <c r="I156" s="76"/>
      <c r="J156" s="76"/>
      <c r="K156" s="112"/>
    </row>
    <row r="157" spans="3:12" ht="18.75" x14ac:dyDescent="0.25">
      <c r="C157" s="211" t="e">
        <f>IFERROR(VLOOKUP(D156,'1. Desarrollo e Innov. Curricu.'!$E:$F,2,FALSE),IFERROR(VLOOKUP(D156,'2. Investigación Científica'!$E:$F,2,FALSE),IFERROR(VLOOKUP(D156,'3. Vinculación Univ. Sociedad'!$E:$F,2,FALSE),IFERROR(VLOOKUP(D156,'4. Docencia y Profesorado Univ.'!$E:$F,2,FALSE),IFERROR(VLOOKUP(D156,'5. Estudiantes y Graduados'!$E:$F,2,FALSE),IFERROR(VLOOKUP(D156,'11. Gestion Administrativa'!$E:$F,2,FALSE),IFERROR(VLOOKUP(D156,'13. Gestión Académica'!$E:$F,2,FALSE),IFERROR(VLOOKUP(D156,'8. Asegura. de la Calid. y M'!$E:$F,2,FALSE),IFERROR(VLOOKUP(D156,'6. Gestión del Conocimiento'!$E:$F,2,FALSE),IFERROR(VLOOKUP(D156,'15. Gobernabilidad y Proceso...'!$E:$F,2,FALSE),IFERROR(VLOOKUP(D156,'12. Gestión del Talento Humano'!$E:$F,2,FALSE),IFERROR(VLOOKUP(D156,'14. Internacional... de la E.S.'!$E:$F,2,FALSE),IFERROR(VLOOKUP(D156,'10. Posgrado'!$E:$F,2,FALSE),IFERROR(VLOOKUP(D156,'16. Desa. del Sistema Educ.Sup.'!$E:$F,2,FALSE),IFERROR(VLOOKUP(D156,'9. Cultura de Inno. Insti...'!$E:$F,2,FALSE),VLOOKUP(D156,'7. Lo Esencial de la Reforma U.'!$E:$F,2,0))))))))))))))))</f>
        <v>#N/A</v>
      </c>
      <c r="D157" s="31"/>
      <c r="E157" s="93"/>
      <c r="F157" s="93"/>
      <c r="G157" s="93"/>
      <c r="H157" s="76"/>
      <c r="I157" s="76"/>
      <c r="J157" s="76"/>
      <c r="K157" s="112"/>
    </row>
    <row r="158" spans="3:12" x14ac:dyDescent="0.25">
      <c r="F158" s="93"/>
      <c r="G158" s="76"/>
      <c r="H158" s="76"/>
      <c r="I158" s="76"/>
    </row>
    <row r="159" spans="3:12" ht="30.75" thickBot="1" x14ac:dyDescent="0.3">
      <c r="C159" s="149" t="s">
        <v>44</v>
      </c>
      <c r="D159" s="149" t="s">
        <v>55</v>
      </c>
      <c r="E159" s="149" t="s">
        <v>57</v>
      </c>
      <c r="F159" s="150" t="s">
        <v>27</v>
      </c>
      <c r="G159" s="150" t="s">
        <v>131</v>
      </c>
      <c r="H159" s="149" t="s">
        <v>46</v>
      </c>
      <c r="I159" s="149" t="s">
        <v>132</v>
      </c>
      <c r="J159" s="149" t="s">
        <v>410</v>
      </c>
      <c r="K159" s="149" t="s">
        <v>411</v>
      </c>
      <c r="L159" s="149" t="s">
        <v>464</v>
      </c>
    </row>
    <row r="160" spans="3:12" ht="15.75" thickBot="1" x14ac:dyDescent="0.3">
      <c r="C160" s="306" t="s">
        <v>1339</v>
      </c>
      <c r="D160" s="158"/>
      <c r="E160" s="96">
        <f>HLOOKUP($C160,$CB$2:$CE$3,2,0)</f>
        <v>15000</v>
      </c>
      <c r="F160" s="97">
        <f>D160*E160</f>
        <v>0</v>
      </c>
      <c r="G160" s="165"/>
      <c r="H160" s="98" t="s">
        <v>1014</v>
      </c>
      <c r="I160" s="98" t="str">
        <f>VLOOKUP(H160,Presupuesto!$B$11:$C$565,2,0)</f>
        <v>EQUIPO DE COMPUTACION</v>
      </c>
      <c r="J160" s="219" t="s">
        <v>1454</v>
      </c>
      <c r="K160" s="98" t="s">
        <v>394</v>
      </c>
      <c r="L160" s="98"/>
    </row>
    <row r="161" spans="3:12" x14ac:dyDescent="0.25">
      <c r="C161" s="306" t="s">
        <v>1337</v>
      </c>
      <c r="D161" s="151"/>
      <c r="E161" s="96">
        <f>HLOOKUP($C161,$CB$2:$CE$3,2,0)</f>
        <v>35000</v>
      </c>
      <c r="F161" s="97">
        <f>D161*E161</f>
        <v>0</v>
      </c>
      <c r="G161" s="165"/>
      <c r="H161" s="101" t="s">
        <v>1014</v>
      </c>
      <c r="I161" s="101" t="str">
        <f>VLOOKUP(H161,Presupuesto!$B$11:$C$565,2,0)</f>
        <v>EQUIPO DE COMPUTACION</v>
      </c>
      <c r="J161" s="98" t="str">
        <f>$J$160</f>
        <v>Posgrado</v>
      </c>
      <c r="K161" s="98" t="s">
        <v>412</v>
      </c>
      <c r="L161" s="98"/>
    </row>
    <row r="162" spans="3:12" x14ac:dyDescent="0.25">
      <c r="C162" s="99" t="s">
        <v>73</v>
      </c>
      <c r="D162" s="151"/>
      <c r="E162" s="100">
        <v>4000</v>
      </c>
      <c r="F162" s="97">
        <f t="shared" ref="F162:F173" si="12">D162*E162</f>
        <v>0</v>
      </c>
      <c r="G162" s="165"/>
      <c r="H162" s="101" t="s">
        <v>986</v>
      </c>
      <c r="I162" s="101" t="str">
        <f>VLOOKUP(H162,Presupuesto!$B$11:$C$565,2,0)</f>
        <v>EQUIPOS VARIOS DE OFICINA</v>
      </c>
      <c r="J162" s="98" t="str">
        <f t="shared" ref="J162:J173" si="13">$J$160</f>
        <v>Posgrado</v>
      </c>
      <c r="K162" s="98" t="s">
        <v>395</v>
      </c>
      <c r="L162" s="98"/>
    </row>
    <row r="163" spans="3:12" x14ac:dyDescent="0.25">
      <c r="C163" s="99" t="s">
        <v>74</v>
      </c>
      <c r="D163" s="151"/>
      <c r="E163" s="100">
        <v>8000</v>
      </c>
      <c r="F163" s="97">
        <f t="shared" si="12"/>
        <v>0</v>
      </c>
      <c r="G163" s="165"/>
      <c r="H163" s="101" t="s">
        <v>1014</v>
      </c>
      <c r="I163" s="101" t="str">
        <f>VLOOKUP(H163,Presupuesto!$B$11:$C$565,2,0)</f>
        <v>EQUIPO DE COMPUTACION</v>
      </c>
      <c r="J163" s="98" t="str">
        <f t="shared" si="13"/>
        <v>Posgrado</v>
      </c>
      <c r="K163" s="98" t="s">
        <v>395</v>
      </c>
      <c r="L163" s="98"/>
    </row>
    <row r="164" spans="3:12" x14ac:dyDescent="0.25">
      <c r="C164" s="99" t="s">
        <v>75</v>
      </c>
      <c r="D164" s="151"/>
      <c r="E164" s="100">
        <v>5000</v>
      </c>
      <c r="F164" s="97">
        <f t="shared" si="12"/>
        <v>0</v>
      </c>
      <c r="G164" s="165"/>
      <c r="H164" s="101" t="s">
        <v>1014</v>
      </c>
      <c r="I164" s="101" t="str">
        <f>VLOOKUP(H164,Presupuesto!$B$11:$C$565,2,0)</f>
        <v>EQUIPO DE COMPUTACION</v>
      </c>
      <c r="J164" s="98" t="str">
        <f t="shared" si="13"/>
        <v>Posgrado</v>
      </c>
      <c r="K164" s="98" t="s">
        <v>395</v>
      </c>
      <c r="L164" s="98"/>
    </row>
    <row r="165" spans="3:12" x14ac:dyDescent="0.25">
      <c r="C165" s="99" t="s">
        <v>35</v>
      </c>
      <c r="D165" s="151"/>
      <c r="E165" s="100">
        <v>13000</v>
      </c>
      <c r="F165" s="97">
        <f t="shared" si="12"/>
        <v>0</v>
      </c>
      <c r="G165" s="165"/>
      <c r="H165" s="101" t="s">
        <v>1000</v>
      </c>
      <c r="I165" s="101" t="str">
        <f>VLOOKUP(H165,Presupuesto!$B$11:$C$565,2,0)</f>
        <v>EQUIPO DE TRANSPORTE TRACCION Y ELEVACION</v>
      </c>
      <c r="J165" s="98" t="str">
        <f t="shared" si="13"/>
        <v>Posgrado</v>
      </c>
      <c r="K165" s="98" t="s">
        <v>395</v>
      </c>
      <c r="L165" s="98"/>
    </row>
    <row r="166" spans="3:12" x14ac:dyDescent="0.25">
      <c r="C166" s="99" t="s">
        <v>76</v>
      </c>
      <c r="D166" s="151"/>
      <c r="E166" s="100">
        <v>15000</v>
      </c>
      <c r="F166" s="97">
        <f t="shared" si="12"/>
        <v>0</v>
      </c>
      <c r="G166" s="165"/>
      <c r="H166" s="101" t="s">
        <v>1000</v>
      </c>
      <c r="I166" s="101" t="str">
        <f>VLOOKUP(H166,Presupuesto!$B$11:$C$565,2,0)</f>
        <v>EQUIPO DE TRANSPORTE TRACCION Y ELEVACION</v>
      </c>
      <c r="J166" s="98" t="str">
        <f t="shared" si="13"/>
        <v>Posgrado</v>
      </c>
      <c r="K166" s="98" t="s">
        <v>395</v>
      </c>
      <c r="L166" s="98"/>
    </row>
    <row r="167" spans="3:12" x14ac:dyDescent="0.25">
      <c r="C167" s="99" t="s">
        <v>77</v>
      </c>
      <c r="D167" s="151"/>
      <c r="E167" s="100">
        <v>10000</v>
      </c>
      <c r="F167" s="97">
        <f t="shared" si="12"/>
        <v>0</v>
      </c>
      <c r="G167" s="165"/>
      <c r="H167" s="101" t="s">
        <v>1000</v>
      </c>
      <c r="I167" s="101" t="str">
        <f>VLOOKUP(H167,Presupuesto!$B$11:$C$565,2,0)</f>
        <v>EQUIPO DE TRANSPORTE TRACCION Y ELEVACION</v>
      </c>
      <c r="J167" s="98" t="str">
        <f t="shared" si="13"/>
        <v>Posgrado</v>
      </c>
      <c r="K167" s="98" t="s">
        <v>403</v>
      </c>
      <c r="L167" s="98"/>
    </row>
    <row r="168" spans="3:12" x14ac:dyDescent="0.25">
      <c r="C168" s="99" t="s">
        <v>78</v>
      </c>
      <c r="D168" s="151"/>
      <c r="E168" s="100">
        <v>10000</v>
      </c>
      <c r="F168" s="97">
        <f t="shared" si="12"/>
        <v>0</v>
      </c>
      <c r="G168" s="165"/>
      <c r="H168" s="101" t="s">
        <v>1046</v>
      </c>
      <c r="I168" s="101" t="str">
        <f>VLOOKUP(H168,Presupuesto!$B$11:$C$565,2,0)</f>
        <v>APLICACIONES INFORMATICAS</v>
      </c>
      <c r="J168" s="98" t="str">
        <f t="shared" si="13"/>
        <v>Posgrado</v>
      </c>
      <c r="K168" s="98" t="s">
        <v>399</v>
      </c>
      <c r="L168" s="98"/>
    </row>
    <row r="169" spans="3:12" x14ac:dyDescent="0.25">
      <c r="C169" s="109" t="s">
        <v>79</v>
      </c>
      <c r="D169" s="151"/>
      <c r="E169" s="100">
        <v>2000</v>
      </c>
      <c r="F169" s="97">
        <f t="shared" si="12"/>
        <v>0</v>
      </c>
      <c r="G169" s="165"/>
      <c r="H169" s="110" t="s">
        <v>1014</v>
      </c>
      <c r="I169" s="110" t="str">
        <f>VLOOKUP(H169,Presupuesto!$B$11:$C$565,2,0)</f>
        <v>EQUIPO DE COMPUTACION</v>
      </c>
      <c r="J169" s="98" t="str">
        <f t="shared" si="13"/>
        <v>Posgrado</v>
      </c>
      <c r="K169" s="98" t="s">
        <v>395</v>
      </c>
      <c r="L169" s="98"/>
    </row>
    <row r="170" spans="3:12" x14ac:dyDescent="0.25">
      <c r="C170" s="109" t="s">
        <v>1482</v>
      </c>
      <c r="D170" s="151"/>
      <c r="E170" s="100">
        <v>1500</v>
      </c>
      <c r="F170" s="97">
        <f t="shared" si="12"/>
        <v>0</v>
      </c>
      <c r="G170" s="165"/>
      <c r="H170" s="110" t="s">
        <v>946</v>
      </c>
      <c r="I170" s="110" t="str">
        <f>VLOOKUP(H170,Presupuesto!$B$11:$C$565,2,0)</f>
        <v>UTILES Y MATERIALES ELECTRICOS</v>
      </c>
      <c r="J170" s="98" t="str">
        <f t="shared" si="13"/>
        <v>Posgrado</v>
      </c>
      <c r="K170" s="98" t="s">
        <v>395</v>
      </c>
      <c r="L170" s="98"/>
    </row>
    <row r="171" spans="3:12" x14ac:dyDescent="0.25">
      <c r="C171" s="109" t="s">
        <v>80</v>
      </c>
      <c r="D171" s="151"/>
      <c r="E171" s="100">
        <v>1500</v>
      </c>
      <c r="F171" s="97">
        <f t="shared" si="12"/>
        <v>0</v>
      </c>
      <c r="G171" s="165"/>
      <c r="H171" s="110" t="s">
        <v>1014</v>
      </c>
      <c r="I171" s="110" t="str">
        <f>VLOOKUP(H171,Presupuesto!$B$11:$C$565,2,0)</f>
        <v>EQUIPO DE COMPUTACION</v>
      </c>
      <c r="J171" s="98" t="str">
        <f t="shared" si="13"/>
        <v>Posgrado</v>
      </c>
      <c r="K171" s="98" t="s">
        <v>395</v>
      </c>
      <c r="L171" s="98"/>
    </row>
    <row r="172" spans="3:12" x14ac:dyDescent="0.25">
      <c r="C172" s="109" t="s">
        <v>81</v>
      </c>
      <c r="D172" s="151"/>
      <c r="E172" s="100">
        <v>500</v>
      </c>
      <c r="F172" s="97">
        <f t="shared" si="12"/>
        <v>0</v>
      </c>
      <c r="G172" s="165"/>
      <c r="H172" s="110" t="s">
        <v>955</v>
      </c>
      <c r="I172" s="110" t="str">
        <f>VLOOKUP(H172,Presupuesto!$B$11:$C$565,2,0)</f>
        <v>OTROS RESPUESTOS Y ACCESORIOS MENORES</v>
      </c>
      <c r="J172" s="98" t="str">
        <f t="shared" si="13"/>
        <v>Posgrado</v>
      </c>
      <c r="K172" s="98" t="s">
        <v>395</v>
      </c>
      <c r="L172" s="98"/>
    </row>
    <row r="173" spans="3:12" ht="15.75" thickBot="1" x14ac:dyDescent="0.3">
      <c r="C173" s="102" t="s">
        <v>82</v>
      </c>
      <c r="D173" s="159"/>
      <c r="E173" s="104">
        <v>20</v>
      </c>
      <c r="F173" s="105">
        <f t="shared" si="12"/>
        <v>0</v>
      </c>
      <c r="G173" s="162"/>
      <c r="H173" s="106" t="s">
        <v>955</v>
      </c>
      <c r="I173" s="106" t="str">
        <f>VLOOKUP(H173,Presupuesto!$B$11:$C$565,2,0)</f>
        <v>OTROS RESPUESTOS Y ACCESORIOS MENORES</v>
      </c>
      <c r="J173" s="106" t="str">
        <f t="shared" si="13"/>
        <v>Posgrado</v>
      </c>
      <c r="K173" s="124" t="s">
        <v>394</v>
      </c>
      <c r="L173" s="124"/>
    </row>
    <row r="174" spans="3:12" x14ac:dyDescent="0.25">
      <c r="F174" s="93"/>
      <c r="G174" s="76"/>
      <c r="H174" s="76"/>
      <c r="I174" s="76"/>
    </row>
    <row r="175" spans="3:12" ht="15.75" thickBot="1" x14ac:dyDescent="0.3"/>
    <row r="176" spans="3:12" ht="15.75" thickBot="1" x14ac:dyDescent="0.3">
      <c r="C176" s="29" t="s">
        <v>43</v>
      </c>
      <c r="D176" s="108">
        <f>SUM(F183:F196)</f>
        <v>0</v>
      </c>
      <c r="F176" s="70"/>
      <c r="G176" s="79"/>
      <c r="H176" s="70"/>
      <c r="I176" s="70"/>
    </row>
    <row r="177" spans="3:12" x14ac:dyDescent="0.25">
      <c r="C177" s="70"/>
      <c r="D177" s="31"/>
      <c r="E177" s="93"/>
      <c r="F177" s="93"/>
      <c r="G177" s="93"/>
      <c r="H177" s="76"/>
      <c r="I177" s="76"/>
      <c r="J177" s="76"/>
      <c r="K177" s="112"/>
    </row>
    <row r="178" spans="3:12" x14ac:dyDescent="0.25">
      <c r="C178" s="70"/>
      <c r="D178" s="31"/>
      <c r="E178" s="93"/>
      <c r="F178" s="93"/>
      <c r="G178" s="93"/>
      <c r="H178" s="76"/>
      <c r="I178" s="76"/>
      <c r="J178" s="76"/>
      <c r="K178" s="112"/>
    </row>
    <row r="179" spans="3:12" ht="15.75" x14ac:dyDescent="0.25">
      <c r="C179" s="202" t="s">
        <v>392</v>
      </c>
      <c r="D179" s="370"/>
      <c r="E179" s="93"/>
      <c r="F179" s="93"/>
      <c r="G179" s="93"/>
      <c r="H179" s="76"/>
      <c r="I179" s="76"/>
      <c r="J179" s="76"/>
      <c r="K179" s="112"/>
    </row>
    <row r="180" spans="3:12" ht="18.75" x14ac:dyDescent="0.25">
      <c r="C180" s="211" t="e">
        <f>IFERROR(VLOOKUP(D179,'1. Desarrollo e Innov. Curricu.'!$E:$F,2,FALSE),IFERROR(VLOOKUP(D179,'2. Investigación Científica'!$E:$F,2,FALSE),IFERROR(VLOOKUP(D179,'3. Vinculación Univ. Sociedad'!$E:$F,2,FALSE),IFERROR(VLOOKUP(D179,'4. Docencia y Profesorado Univ.'!$E:$F,2,FALSE),IFERROR(VLOOKUP(D179,'5. Estudiantes y Graduados'!$E:$F,2,FALSE),IFERROR(VLOOKUP(D179,'11. Gestion Administrativa'!$E:$F,2,FALSE),IFERROR(VLOOKUP(D179,'13. Gestión Académica'!$E:$F,2,FALSE),IFERROR(VLOOKUP(D179,'8. Asegura. de la Calid. y M'!$E:$F,2,FALSE),IFERROR(VLOOKUP(D179,'6. Gestión del Conocimiento'!$E:$F,2,FALSE),IFERROR(VLOOKUP(D179,'15. Gobernabilidad y Proceso...'!$E:$F,2,FALSE),IFERROR(VLOOKUP(D179,'12. Gestión del Talento Humano'!$E:$F,2,FALSE),IFERROR(VLOOKUP(D179,'14. Internacional... de la E.S.'!$E:$F,2,FALSE),IFERROR(VLOOKUP(D179,'10. Posgrado'!$E:$F,2,FALSE),IFERROR(VLOOKUP(D179,'16. Desa. del Sistema Educ.Sup.'!$E:$F,2,FALSE),IFERROR(VLOOKUP(D179,'9. Cultura de Inno. Insti...'!$E:$F,2,FALSE),VLOOKUP(D179,'7. Lo Esencial de la Reforma U.'!$E:$F,2,0))))))))))))))))</f>
        <v>#N/A</v>
      </c>
      <c r="D180" s="31"/>
      <c r="E180" s="93"/>
      <c r="F180" s="93"/>
      <c r="G180" s="93"/>
      <c r="H180" s="76"/>
      <c r="I180" s="76"/>
      <c r="J180" s="76"/>
      <c r="K180" s="112"/>
    </row>
    <row r="181" spans="3:12" x14ac:dyDescent="0.25">
      <c r="F181" s="93"/>
      <c r="G181" s="76"/>
      <c r="H181" s="76"/>
      <c r="I181" s="76"/>
    </row>
    <row r="182" spans="3:12" ht="30.75" thickBot="1" x14ac:dyDescent="0.3">
      <c r="C182" s="149" t="s">
        <v>44</v>
      </c>
      <c r="D182" s="149" t="s">
        <v>55</v>
      </c>
      <c r="E182" s="149" t="s">
        <v>57</v>
      </c>
      <c r="F182" s="150" t="s">
        <v>27</v>
      </c>
      <c r="G182" s="150" t="s">
        <v>131</v>
      </c>
      <c r="H182" s="149" t="s">
        <v>46</v>
      </c>
      <c r="I182" s="149" t="s">
        <v>132</v>
      </c>
      <c r="J182" s="149" t="s">
        <v>410</v>
      </c>
      <c r="K182" s="149" t="s">
        <v>411</v>
      </c>
      <c r="L182" s="149" t="s">
        <v>464</v>
      </c>
    </row>
    <row r="183" spans="3:12" ht="15.75" thickBot="1" x14ac:dyDescent="0.3">
      <c r="C183" s="306" t="s">
        <v>1339</v>
      </c>
      <c r="D183" s="158"/>
      <c r="E183" s="96">
        <f>HLOOKUP($C183,$CB$2:$CE$3,2,0)</f>
        <v>15000</v>
      </c>
      <c r="F183" s="97">
        <f>D183*E183</f>
        <v>0</v>
      </c>
      <c r="G183" s="165"/>
      <c r="H183" s="98" t="s">
        <v>1014</v>
      </c>
      <c r="I183" s="98" t="str">
        <f>VLOOKUP(H183,Presupuesto!$B$11:$C$565,2,0)</f>
        <v>EQUIPO DE COMPUTACION</v>
      </c>
      <c r="J183" s="219" t="s">
        <v>1454</v>
      </c>
      <c r="K183" s="98" t="s">
        <v>394</v>
      </c>
      <c r="L183" s="98"/>
    </row>
    <row r="184" spans="3:12" x14ac:dyDescent="0.25">
      <c r="C184" s="306" t="s">
        <v>1337</v>
      </c>
      <c r="D184" s="151"/>
      <c r="E184" s="96">
        <f>HLOOKUP($C184,$CB$2:$CE$3,2,0)</f>
        <v>35000</v>
      </c>
      <c r="F184" s="97">
        <f>D184*E184</f>
        <v>0</v>
      </c>
      <c r="G184" s="165"/>
      <c r="H184" s="101" t="s">
        <v>1014</v>
      </c>
      <c r="I184" s="101" t="str">
        <f>VLOOKUP(H184,Presupuesto!$B$11:$C$565,2,0)</f>
        <v>EQUIPO DE COMPUTACION</v>
      </c>
      <c r="J184" s="98" t="str">
        <f>$J$183</f>
        <v>Posgrado</v>
      </c>
      <c r="K184" s="98" t="s">
        <v>412</v>
      </c>
      <c r="L184" s="98"/>
    </row>
    <row r="185" spans="3:12" x14ac:dyDescent="0.25">
      <c r="C185" s="99" t="s">
        <v>73</v>
      </c>
      <c r="D185" s="151"/>
      <c r="E185" s="100">
        <v>4000</v>
      </c>
      <c r="F185" s="97">
        <f t="shared" ref="F185:F196" si="14">D185*E185</f>
        <v>0</v>
      </c>
      <c r="G185" s="165"/>
      <c r="H185" s="101" t="s">
        <v>986</v>
      </c>
      <c r="I185" s="101" t="str">
        <f>VLOOKUP(H185,Presupuesto!$B$11:$C$565,2,0)</f>
        <v>EQUIPOS VARIOS DE OFICINA</v>
      </c>
      <c r="J185" s="98" t="str">
        <f t="shared" ref="J185:J196" si="15">$J$183</f>
        <v>Posgrado</v>
      </c>
      <c r="K185" s="98" t="s">
        <v>395</v>
      </c>
      <c r="L185" s="98"/>
    </row>
    <row r="186" spans="3:12" x14ac:dyDescent="0.25">
      <c r="C186" s="99" t="s">
        <v>74</v>
      </c>
      <c r="D186" s="151"/>
      <c r="E186" s="100">
        <v>8000</v>
      </c>
      <c r="F186" s="97">
        <f t="shared" si="14"/>
        <v>0</v>
      </c>
      <c r="G186" s="165"/>
      <c r="H186" s="101" t="s">
        <v>1014</v>
      </c>
      <c r="I186" s="101" t="str">
        <f>VLOOKUP(H186,Presupuesto!$B$11:$C$565,2,0)</f>
        <v>EQUIPO DE COMPUTACION</v>
      </c>
      <c r="J186" s="98" t="str">
        <f t="shared" si="15"/>
        <v>Posgrado</v>
      </c>
      <c r="K186" s="98" t="s">
        <v>395</v>
      </c>
      <c r="L186" s="98"/>
    </row>
    <row r="187" spans="3:12" x14ac:dyDescent="0.25">
      <c r="C187" s="99" t="s">
        <v>75</v>
      </c>
      <c r="D187" s="151"/>
      <c r="E187" s="100">
        <v>5000</v>
      </c>
      <c r="F187" s="97">
        <f t="shared" si="14"/>
        <v>0</v>
      </c>
      <c r="G187" s="165"/>
      <c r="H187" s="101" t="s">
        <v>1014</v>
      </c>
      <c r="I187" s="101" t="str">
        <f>VLOOKUP(H187,Presupuesto!$B$11:$C$565,2,0)</f>
        <v>EQUIPO DE COMPUTACION</v>
      </c>
      <c r="J187" s="98" t="str">
        <f t="shared" si="15"/>
        <v>Posgrado</v>
      </c>
      <c r="K187" s="98" t="s">
        <v>395</v>
      </c>
      <c r="L187" s="98"/>
    </row>
    <row r="188" spans="3:12" x14ac:dyDescent="0.25">
      <c r="C188" s="99" t="s">
        <v>35</v>
      </c>
      <c r="D188" s="151"/>
      <c r="E188" s="100">
        <v>13000</v>
      </c>
      <c r="F188" s="97">
        <f t="shared" si="14"/>
        <v>0</v>
      </c>
      <c r="G188" s="165"/>
      <c r="H188" s="101" t="s">
        <v>1000</v>
      </c>
      <c r="I188" s="101" t="str">
        <f>VLOOKUP(H188,Presupuesto!$B$11:$C$565,2,0)</f>
        <v>EQUIPO DE TRANSPORTE TRACCION Y ELEVACION</v>
      </c>
      <c r="J188" s="98" t="str">
        <f t="shared" si="15"/>
        <v>Posgrado</v>
      </c>
      <c r="K188" s="98" t="s">
        <v>395</v>
      </c>
      <c r="L188" s="98"/>
    </row>
    <row r="189" spans="3:12" x14ac:dyDescent="0.25">
      <c r="C189" s="99" t="s">
        <v>76</v>
      </c>
      <c r="D189" s="151"/>
      <c r="E189" s="100">
        <v>15000</v>
      </c>
      <c r="F189" s="97">
        <f t="shared" si="14"/>
        <v>0</v>
      </c>
      <c r="G189" s="165"/>
      <c r="H189" s="101" t="s">
        <v>1000</v>
      </c>
      <c r="I189" s="101" t="str">
        <f>VLOOKUP(H189,Presupuesto!$B$11:$C$565,2,0)</f>
        <v>EQUIPO DE TRANSPORTE TRACCION Y ELEVACION</v>
      </c>
      <c r="J189" s="98" t="str">
        <f t="shared" si="15"/>
        <v>Posgrado</v>
      </c>
      <c r="K189" s="98" t="s">
        <v>395</v>
      </c>
      <c r="L189" s="98"/>
    </row>
    <row r="190" spans="3:12" x14ac:dyDescent="0.25">
      <c r="C190" s="99" t="s">
        <v>77</v>
      </c>
      <c r="D190" s="151"/>
      <c r="E190" s="100">
        <v>10000</v>
      </c>
      <c r="F190" s="97">
        <f t="shared" si="14"/>
        <v>0</v>
      </c>
      <c r="G190" s="165"/>
      <c r="H190" s="101" t="s">
        <v>1000</v>
      </c>
      <c r="I190" s="101" t="str">
        <f>VLOOKUP(H190,Presupuesto!$B$11:$C$565,2,0)</f>
        <v>EQUIPO DE TRANSPORTE TRACCION Y ELEVACION</v>
      </c>
      <c r="J190" s="98" t="str">
        <f t="shared" si="15"/>
        <v>Posgrado</v>
      </c>
      <c r="K190" s="98" t="s">
        <v>403</v>
      </c>
      <c r="L190" s="98"/>
    </row>
    <row r="191" spans="3:12" x14ac:dyDescent="0.25">
      <c r="C191" s="99" t="s">
        <v>78</v>
      </c>
      <c r="D191" s="151"/>
      <c r="E191" s="100">
        <v>10000</v>
      </c>
      <c r="F191" s="97">
        <f t="shared" si="14"/>
        <v>0</v>
      </c>
      <c r="G191" s="165"/>
      <c r="H191" s="101" t="s">
        <v>1046</v>
      </c>
      <c r="I191" s="101" t="str">
        <f>VLOOKUP(H191,Presupuesto!$B$11:$C$565,2,0)</f>
        <v>APLICACIONES INFORMATICAS</v>
      </c>
      <c r="J191" s="98" t="str">
        <f t="shared" si="15"/>
        <v>Posgrado</v>
      </c>
      <c r="K191" s="98" t="s">
        <v>399</v>
      </c>
      <c r="L191" s="98"/>
    </row>
    <row r="192" spans="3:12" x14ac:dyDescent="0.25">
      <c r="C192" s="109" t="s">
        <v>79</v>
      </c>
      <c r="D192" s="151"/>
      <c r="E192" s="100">
        <v>2000</v>
      </c>
      <c r="F192" s="97">
        <f t="shared" si="14"/>
        <v>0</v>
      </c>
      <c r="G192" s="165"/>
      <c r="H192" s="110" t="s">
        <v>1014</v>
      </c>
      <c r="I192" s="110" t="str">
        <f>VLOOKUP(H192,Presupuesto!$B$11:$C$565,2,0)</f>
        <v>EQUIPO DE COMPUTACION</v>
      </c>
      <c r="J192" s="98" t="str">
        <f t="shared" si="15"/>
        <v>Posgrado</v>
      </c>
      <c r="K192" s="98" t="s">
        <v>395</v>
      </c>
      <c r="L192" s="98"/>
    </row>
    <row r="193" spans="3:12" x14ac:dyDescent="0.25">
      <c r="C193" s="109" t="s">
        <v>1482</v>
      </c>
      <c r="D193" s="151"/>
      <c r="E193" s="100">
        <v>1500</v>
      </c>
      <c r="F193" s="97">
        <f t="shared" si="14"/>
        <v>0</v>
      </c>
      <c r="G193" s="165"/>
      <c r="H193" s="110" t="s">
        <v>946</v>
      </c>
      <c r="I193" s="110" t="str">
        <f>VLOOKUP(H193,Presupuesto!$B$11:$C$565,2,0)</f>
        <v>UTILES Y MATERIALES ELECTRICOS</v>
      </c>
      <c r="J193" s="98" t="str">
        <f t="shared" si="15"/>
        <v>Posgrado</v>
      </c>
      <c r="K193" s="98" t="s">
        <v>395</v>
      </c>
      <c r="L193" s="98"/>
    </row>
    <row r="194" spans="3:12" x14ac:dyDescent="0.25">
      <c r="C194" s="109" t="s">
        <v>80</v>
      </c>
      <c r="D194" s="151"/>
      <c r="E194" s="100">
        <v>1500</v>
      </c>
      <c r="F194" s="97">
        <f t="shared" si="14"/>
        <v>0</v>
      </c>
      <c r="G194" s="165"/>
      <c r="H194" s="110" t="s">
        <v>1014</v>
      </c>
      <c r="I194" s="110" t="str">
        <f>VLOOKUP(H194,Presupuesto!$B$11:$C$565,2,0)</f>
        <v>EQUIPO DE COMPUTACION</v>
      </c>
      <c r="J194" s="98" t="str">
        <f t="shared" si="15"/>
        <v>Posgrado</v>
      </c>
      <c r="K194" s="98" t="s">
        <v>395</v>
      </c>
      <c r="L194" s="98"/>
    </row>
    <row r="195" spans="3:12" x14ac:dyDescent="0.25">
      <c r="C195" s="109" t="s">
        <v>81</v>
      </c>
      <c r="D195" s="151"/>
      <c r="E195" s="100">
        <v>500</v>
      </c>
      <c r="F195" s="97">
        <f t="shared" si="14"/>
        <v>0</v>
      </c>
      <c r="G195" s="165"/>
      <c r="H195" s="110" t="s">
        <v>955</v>
      </c>
      <c r="I195" s="110" t="str">
        <f>VLOOKUP(H195,Presupuesto!$B$11:$C$565,2,0)</f>
        <v>OTROS RESPUESTOS Y ACCESORIOS MENORES</v>
      </c>
      <c r="J195" s="98" t="str">
        <f t="shared" si="15"/>
        <v>Posgrado</v>
      </c>
      <c r="K195" s="98" t="s">
        <v>395</v>
      </c>
      <c r="L195" s="98"/>
    </row>
    <row r="196" spans="3:12" ht="15.75" thickBot="1" x14ac:dyDescent="0.3">
      <c r="C196" s="102" t="s">
        <v>82</v>
      </c>
      <c r="D196" s="159"/>
      <c r="E196" s="104">
        <v>20</v>
      </c>
      <c r="F196" s="105">
        <f t="shared" si="14"/>
        <v>0</v>
      </c>
      <c r="G196" s="162"/>
      <c r="H196" s="106" t="s">
        <v>955</v>
      </c>
      <c r="I196" s="106" t="str">
        <f>VLOOKUP(H196,Presupuesto!$B$11:$C$565,2,0)</f>
        <v>OTROS RESPUESTOS Y ACCESORIOS MENORES</v>
      </c>
      <c r="J196" s="106" t="str">
        <f t="shared" si="15"/>
        <v>Posgrado</v>
      </c>
      <c r="K196" s="124" t="s">
        <v>394</v>
      </c>
      <c r="L196" s="124"/>
    </row>
    <row r="198" spans="3:12" ht="15.75" thickBot="1" x14ac:dyDescent="0.3"/>
    <row r="199" spans="3:12" ht="15.75" thickBot="1" x14ac:dyDescent="0.3">
      <c r="C199" s="29" t="s">
        <v>43</v>
      </c>
      <c r="D199" s="108">
        <f>SUM(F206:F219)</f>
        <v>0</v>
      </c>
      <c r="F199" s="70"/>
      <c r="G199" s="79"/>
      <c r="H199" s="70"/>
      <c r="I199" s="70"/>
    </row>
    <row r="200" spans="3:12" x14ac:dyDescent="0.25">
      <c r="C200" s="70"/>
      <c r="D200" s="31"/>
      <c r="E200" s="93"/>
      <c r="F200" s="93"/>
      <c r="G200" s="93"/>
      <c r="H200" s="76"/>
      <c r="I200" s="76"/>
      <c r="J200" s="76"/>
      <c r="K200" s="112"/>
    </row>
    <row r="201" spans="3:12" x14ac:dyDescent="0.25">
      <c r="C201" s="70"/>
      <c r="D201" s="31"/>
      <c r="E201" s="93"/>
      <c r="F201" s="93"/>
      <c r="G201" s="93"/>
      <c r="H201" s="76"/>
      <c r="I201" s="76"/>
      <c r="J201" s="76"/>
      <c r="K201" s="112"/>
    </row>
    <row r="202" spans="3:12" ht="15.75" x14ac:dyDescent="0.25">
      <c r="C202" s="202" t="s">
        <v>392</v>
      </c>
      <c r="D202" s="370"/>
      <c r="E202" s="93"/>
      <c r="F202" s="93"/>
      <c r="G202" s="93"/>
      <c r="H202" s="76"/>
      <c r="I202" s="76"/>
      <c r="J202" s="76"/>
      <c r="K202" s="112"/>
    </row>
    <row r="203" spans="3:12" ht="18.75" x14ac:dyDescent="0.25">
      <c r="C203" s="211" t="e">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Posgrado'!$E:$F,2,FALSE),IFERROR(VLOOKUP(D202,'16. Desa. del Sistema Educ.Sup.'!$E:$F,2,FALSE),IFERROR(VLOOKUP(D202,'9. Cultura de Inno. Insti...'!$E:$F,2,FALSE),VLOOKUP(D202,'7. Lo Esencial de la Reforma U.'!$E:$F,2,0))))))))))))))))</f>
        <v>#N/A</v>
      </c>
      <c r="D203" s="31"/>
      <c r="E203" s="93"/>
      <c r="F203" s="93"/>
      <c r="G203" s="93"/>
      <c r="H203" s="76"/>
      <c r="I203" s="76"/>
      <c r="J203" s="76"/>
      <c r="K203" s="112"/>
    </row>
    <row r="204" spans="3:12" x14ac:dyDescent="0.25">
      <c r="F204" s="93"/>
      <c r="G204" s="76"/>
      <c r="H204" s="76"/>
      <c r="I204" s="76"/>
    </row>
    <row r="205" spans="3:12" ht="30.75" thickBot="1" x14ac:dyDescent="0.3">
      <c r="C205" s="149" t="s">
        <v>44</v>
      </c>
      <c r="D205" s="149" t="s">
        <v>55</v>
      </c>
      <c r="E205" s="149" t="s">
        <v>57</v>
      </c>
      <c r="F205" s="150" t="s">
        <v>27</v>
      </c>
      <c r="G205" s="150" t="s">
        <v>131</v>
      </c>
      <c r="H205" s="149" t="s">
        <v>46</v>
      </c>
      <c r="I205" s="149" t="s">
        <v>132</v>
      </c>
      <c r="J205" s="149" t="s">
        <v>410</v>
      </c>
      <c r="K205" s="149" t="s">
        <v>411</v>
      </c>
      <c r="L205" s="149" t="s">
        <v>464</v>
      </c>
    </row>
    <row r="206" spans="3:12" ht="15.75" thickBot="1" x14ac:dyDescent="0.3">
      <c r="C206" s="306" t="s">
        <v>1339</v>
      </c>
      <c r="D206" s="158"/>
      <c r="E206" s="96">
        <f>HLOOKUP($C206,$CB$2:$CE$3,2,0)</f>
        <v>15000</v>
      </c>
      <c r="F206" s="97">
        <f>D206*E206</f>
        <v>0</v>
      </c>
      <c r="G206" s="165"/>
      <c r="H206" s="98" t="s">
        <v>1014</v>
      </c>
      <c r="I206" s="98" t="str">
        <f>VLOOKUP(H206,Presupuesto!$B$11:$C$565,2,0)</f>
        <v>EQUIPO DE COMPUTACION</v>
      </c>
      <c r="J206" s="219" t="s">
        <v>1454</v>
      </c>
      <c r="K206" s="98" t="s">
        <v>394</v>
      </c>
      <c r="L206" s="98"/>
    </row>
    <row r="207" spans="3:12" x14ac:dyDescent="0.25">
      <c r="C207" s="306" t="s">
        <v>1337</v>
      </c>
      <c r="D207" s="151"/>
      <c r="E207" s="96">
        <f>HLOOKUP($C207,$CB$2:$CE$3,2,0)</f>
        <v>35000</v>
      </c>
      <c r="F207" s="97">
        <f>D207*E207</f>
        <v>0</v>
      </c>
      <c r="G207" s="165"/>
      <c r="H207" s="101" t="s">
        <v>1014</v>
      </c>
      <c r="I207" s="101" t="str">
        <f>VLOOKUP(H207,Presupuesto!$B$11:$C$565,2,0)</f>
        <v>EQUIPO DE COMPUTACION</v>
      </c>
      <c r="J207" s="98" t="str">
        <f>$J$206</f>
        <v>Posgrado</v>
      </c>
      <c r="K207" s="98" t="s">
        <v>412</v>
      </c>
      <c r="L207" s="98"/>
    </row>
    <row r="208" spans="3:12" x14ac:dyDescent="0.25">
      <c r="C208" s="99" t="s">
        <v>73</v>
      </c>
      <c r="D208" s="151"/>
      <c r="E208" s="100">
        <v>4000</v>
      </c>
      <c r="F208" s="97">
        <f t="shared" ref="F208:F219" si="16">D208*E208</f>
        <v>0</v>
      </c>
      <c r="G208" s="165"/>
      <c r="H208" s="101" t="s">
        <v>986</v>
      </c>
      <c r="I208" s="101" t="str">
        <f>VLOOKUP(H208,Presupuesto!$B$11:$C$565,2,0)</f>
        <v>EQUIPOS VARIOS DE OFICINA</v>
      </c>
      <c r="J208" s="98" t="str">
        <f t="shared" ref="J208:J219" si="17">$J$206</f>
        <v>Posgrado</v>
      </c>
      <c r="K208" s="98" t="s">
        <v>395</v>
      </c>
      <c r="L208" s="98"/>
    </row>
    <row r="209" spans="3:12" x14ac:dyDescent="0.25">
      <c r="C209" s="99" t="s">
        <v>74</v>
      </c>
      <c r="D209" s="151"/>
      <c r="E209" s="100">
        <v>8000</v>
      </c>
      <c r="F209" s="97">
        <f t="shared" si="16"/>
        <v>0</v>
      </c>
      <c r="G209" s="165"/>
      <c r="H209" s="101" t="s">
        <v>1014</v>
      </c>
      <c r="I209" s="101" t="str">
        <f>VLOOKUP(H209,Presupuesto!$B$11:$C$565,2,0)</f>
        <v>EQUIPO DE COMPUTACION</v>
      </c>
      <c r="J209" s="98" t="str">
        <f t="shared" si="17"/>
        <v>Posgrado</v>
      </c>
      <c r="K209" s="98" t="s">
        <v>395</v>
      </c>
      <c r="L209" s="98"/>
    </row>
    <row r="210" spans="3:12" x14ac:dyDescent="0.25">
      <c r="C210" s="99" t="s">
        <v>75</v>
      </c>
      <c r="D210" s="151"/>
      <c r="E210" s="100">
        <v>5000</v>
      </c>
      <c r="F210" s="97">
        <f t="shared" si="16"/>
        <v>0</v>
      </c>
      <c r="G210" s="165"/>
      <c r="H210" s="101" t="s">
        <v>1014</v>
      </c>
      <c r="I210" s="101" t="str">
        <f>VLOOKUP(H210,Presupuesto!$B$11:$C$565,2,0)</f>
        <v>EQUIPO DE COMPUTACION</v>
      </c>
      <c r="J210" s="98" t="str">
        <f t="shared" si="17"/>
        <v>Posgrado</v>
      </c>
      <c r="K210" s="98" t="s">
        <v>395</v>
      </c>
      <c r="L210" s="98"/>
    </row>
    <row r="211" spans="3:12" x14ac:dyDescent="0.25">
      <c r="C211" s="99" t="s">
        <v>35</v>
      </c>
      <c r="D211" s="151"/>
      <c r="E211" s="100">
        <v>13000</v>
      </c>
      <c r="F211" s="97">
        <f t="shared" si="16"/>
        <v>0</v>
      </c>
      <c r="G211" s="165"/>
      <c r="H211" s="101" t="s">
        <v>1000</v>
      </c>
      <c r="I211" s="101" t="str">
        <f>VLOOKUP(H211,Presupuesto!$B$11:$C$565,2,0)</f>
        <v>EQUIPO DE TRANSPORTE TRACCION Y ELEVACION</v>
      </c>
      <c r="J211" s="98" t="str">
        <f t="shared" si="17"/>
        <v>Posgrado</v>
      </c>
      <c r="K211" s="98" t="s">
        <v>395</v>
      </c>
      <c r="L211" s="98"/>
    </row>
    <row r="212" spans="3:12" x14ac:dyDescent="0.25">
      <c r="C212" s="99" t="s">
        <v>76</v>
      </c>
      <c r="D212" s="151"/>
      <c r="E212" s="100">
        <v>15000</v>
      </c>
      <c r="F212" s="97">
        <f t="shared" si="16"/>
        <v>0</v>
      </c>
      <c r="G212" s="165"/>
      <c r="H212" s="101" t="s">
        <v>1000</v>
      </c>
      <c r="I212" s="101" t="str">
        <f>VLOOKUP(H212,Presupuesto!$B$11:$C$565,2,0)</f>
        <v>EQUIPO DE TRANSPORTE TRACCION Y ELEVACION</v>
      </c>
      <c r="J212" s="98" t="str">
        <f t="shared" si="17"/>
        <v>Posgrado</v>
      </c>
      <c r="K212" s="98" t="s">
        <v>395</v>
      </c>
      <c r="L212" s="98"/>
    </row>
    <row r="213" spans="3:12" x14ac:dyDescent="0.25">
      <c r="C213" s="99" t="s">
        <v>77</v>
      </c>
      <c r="D213" s="151"/>
      <c r="E213" s="100">
        <v>10000</v>
      </c>
      <c r="F213" s="97">
        <f t="shared" si="16"/>
        <v>0</v>
      </c>
      <c r="G213" s="165"/>
      <c r="H213" s="101" t="s">
        <v>1000</v>
      </c>
      <c r="I213" s="101" t="str">
        <f>VLOOKUP(H213,Presupuesto!$B$11:$C$565,2,0)</f>
        <v>EQUIPO DE TRANSPORTE TRACCION Y ELEVACION</v>
      </c>
      <c r="J213" s="98" t="str">
        <f t="shared" si="17"/>
        <v>Posgrado</v>
      </c>
      <c r="K213" s="98" t="s">
        <v>403</v>
      </c>
      <c r="L213" s="98"/>
    </row>
    <row r="214" spans="3:12" x14ac:dyDescent="0.25">
      <c r="C214" s="99" t="s">
        <v>78</v>
      </c>
      <c r="D214" s="151"/>
      <c r="E214" s="100">
        <v>10000</v>
      </c>
      <c r="F214" s="97">
        <f t="shared" si="16"/>
        <v>0</v>
      </c>
      <c r="G214" s="165"/>
      <c r="H214" s="101" t="s">
        <v>1046</v>
      </c>
      <c r="I214" s="101" t="str">
        <f>VLOOKUP(H214,Presupuesto!$B$11:$C$565,2,0)</f>
        <v>APLICACIONES INFORMATICAS</v>
      </c>
      <c r="J214" s="98" t="str">
        <f t="shared" si="17"/>
        <v>Posgrado</v>
      </c>
      <c r="K214" s="98" t="s">
        <v>399</v>
      </c>
      <c r="L214" s="98"/>
    </row>
    <row r="215" spans="3:12" x14ac:dyDescent="0.25">
      <c r="C215" s="109" t="s">
        <v>79</v>
      </c>
      <c r="D215" s="151"/>
      <c r="E215" s="100">
        <v>2000</v>
      </c>
      <c r="F215" s="97">
        <f t="shared" si="16"/>
        <v>0</v>
      </c>
      <c r="G215" s="165"/>
      <c r="H215" s="110" t="s">
        <v>1014</v>
      </c>
      <c r="I215" s="110" t="str">
        <f>VLOOKUP(H215,Presupuesto!$B$11:$C$565,2,0)</f>
        <v>EQUIPO DE COMPUTACION</v>
      </c>
      <c r="J215" s="98" t="str">
        <f t="shared" si="17"/>
        <v>Posgrado</v>
      </c>
      <c r="K215" s="98" t="s">
        <v>395</v>
      </c>
      <c r="L215" s="98"/>
    </row>
    <row r="216" spans="3:12" x14ac:dyDescent="0.25">
      <c r="C216" s="109" t="s">
        <v>1482</v>
      </c>
      <c r="D216" s="151"/>
      <c r="E216" s="100">
        <v>1500</v>
      </c>
      <c r="F216" s="97">
        <f t="shared" si="16"/>
        <v>0</v>
      </c>
      <c r="G216" s="165"/>
      <c r="H216" s="110" t="s">
        <v>946</v>
      </c>
      <c r="I216" s="110" t="str">
        <f>VLOOKUP(H216,Presupuesto!$B$11:$C$565,2,0)</f>
        <v>UTILES Y MATERIALES ELECTRICOS</v>
      </c>
      <c r="J216" s="98" t="str">
        <f t="shared" si="17"/>
        <v>Posgrado</v>
      </c>
      <c r="K216" s="98" t="s">
        <v>395</v>
      </c>
      <c r="L216" s="98"/>
    </row>
    <row r="217" spans="3:12" x14ac:dyDescent="0.25">
      <c r="C217" s="109" t="s">
        <v>80</v>
      </c>
      <c r="D217" s="151"/>
      <c r="E217" s="100">
        <v>1500</v>
      </c>
      <c r="F217" s="97">
        <f t="shared" si="16"/>
        <v>0</v>
      </c>
      <c r="G217" s="165"/>
      <c r="H217" s="110" t="s">
        <v>1014</v>
      </c>
      <c r="I217" s="110" t="str">
        <f>VLOOKUP(H217,Presupuesto!$B$11:$C$565,2,0)</f>
        <v>EQUIPO DE COMPUTACION</v>
      </c>
      <c r="J217" s="98" t="str">
        <f t="shared" si="17"/>
        <v>Posgrado</v>
      </c>
      <c r="K217" s="98" t="s">
        <v>395</v>
      </c>
      <c r="L217" s="98"/>
    </row>
    <row r="218" spans="3:12" x14ac:dyDescent="0.25">
      <c r="C218" s="109" t="s">
        <v>81</v>
      </c>
      <c r="D218" s="151"/>
      <c r="E218" s="100">
        <v>500</v>
      </c>
      <c r="F218" s="97">
        <f t="shared" si="16"/>
        <v>0</v>
      </c>
      <c r="G218" s="165"/>
      <c r="H218" s="110" t="s">
        <v>955</v>
      </c>
      <c r="I218" s="110" t="str">
        <f>VLOOKUP(H218,Presupuesto!$B$11:$C$565,2,0)</f>
        <v>OTROS RESPUESTOS Y ACCESORIOS MENORES</v>
      </c>
      <c r="J218" s="98" t="str">
        <f t="shared" si="17"/>
        <v>Posgrado</v>
      </c>
      <c r="K218" s="98" t="s">
        <v>395</v>
      </c>
      <c r="L218" s="98"/>
    </row>
    <row r="219" spans="3:12" ht="15.75" thickBot="1" x14ac:dyDescent="0.3">
      <c r="C219" s="102" t="s">
        <v>82</v>
      </c>
      <c r="D219" s="159"/>
      <c r="E219" s="104">
        <v>20</v>
      </c>
      <c r="F219" s="105">
        <f t="shared" si="16"/>
        <v>0</v>
      </c>
      <c r="G219" s="162"/>
      <c r="H219" s="106" t="s">
        <v>955</v>
      </c>
      <c r="I219" s="106" t="str">
        <f>VLOOKUP(H219,Presupuesto!$B$11:$C$565,2,0)</f>
        <v>OTROS RESPUESTOS Y ACCESORIOS MENORES</v>
      </c>
      <c r="J219" s="106" t="str">
        <f t="shared" si="17"/>
        <v>Posgrado</v>
      </c>
      <c r="K219" s="124" t="s">
        <v>394</v>
      </c>
      <c r="L219" s="124"/>
    </row>
    <row r="220" spans="3:12" x14ac:dyDescent="0.25">
      <c r="F220" s="93"/>
      <c r="G220" s="76"/>
      <c r="H220" s="76"/>
      <c r="I220" s="76"/>
    </row>
    <row r="221" spans="3:12" ht="15.75" thickBot="1" x14ac:dyDescent="0.3"/>
    <row r="222" spans="3:12" ht="15.75" thickBot="1" x14ac:dyDescent="0.3">
      <c r="C222" s="29" t="s">
        <v>43</v>
      </c>
      <c r="D222" s="108">
        <f>SUM(F229:F242)</f>
        <v>0</v>
      </c>
      <c r="F222" s="70"/>
      <c r="G222" s="79"/>
      <c r="H222" s="70"/>
      <c r="I222" s="70"/>
    </row>
    <row r="223" spans="3:12" x14ac:dyDescent="0.25">
      <c r="C223" s="70"/>
      <c r="D223" s="31"/>
      <c r="E223" s="93"/>
      <c r="F223" s="93"/>
      <c r="G223" s="93"/>
      <c r="H223" s="76"/>
      <c r="I223" s="76"/>
      <c r="J223" s="76"/>
      <c r="K223" s="112"/>
    </row>
    <row r="224" spans="3:12" x14ac:dyDescent="0.25">
      <c r="C224" s="70"/>
      <c r="D224" s="31"/>
      <c r="E224" s="93"/>
      <c r="F224" s="93"/>
      <c r="G224" s="93"/>
      <c r="H224" s="76"/>
      <c r="I224" s="76"/>
      <c r="J224" s="76"/>
      <c r="K224" s="112"/>
    </row>
    <row r="225" spans="3:12" ht="15.75" x14ac:dyDescent="0.25">
      <c r="C225" s="202" t="s">
        <v>392</v>
      </c>
      <c r="D225" s="370"/>
      <c r="E225" s="93"/>
      <c r="F225" s="93"/>
      <c r="G225" s="93"/>
      <c r="H225" s="76"/>
      <c r="I225" s="76"/>
      <c r="J225" s="76"/>
      <c r="K225" s="112"/>
    </row>
    <row r="226" spans="3:12" ht="18.75" x14ac:dyDescent="0.25">
      <c r="C226" s="211" t="e">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Posgrado'!$E:$F,2,FALSE),IFERROR(VLOOKUP(D225,'16. Desa. del Sistema Educ.Sup.'!$E:$F,2,FALSE),IFERROR(VLOOKUP(D225,'9. Cultura de Inno. Insti...'!$E:$F,2,FALSE),VLOOKUP(D225,'7. Lo Esencial de la Reforma U.'!$E:$F,2,0))))))))))))))))</f>
        <v>#N/A</v>
      </c>
      <c r="D226" s="31"/>
      <c r="E226" s="93"/>
      <c r="F226" s="93"/>
      <c r="G226" s="93"/>
      <c r="H226" s="76"/>
      <c r="I226" s="76"/>
      <c r="J226" s="76"/>
      <c r="K226" s="112"/>
    </row>
    <row r="227" spans="3:12" x14ac:dyDescent="0.25">
      <c r="F227" s="93"/>
      <c r="G227" s="76"/>
      <c r="H227" s="76"/>
      <c r="I227" s="76"/>
    </row>
    <row r="228" spans="3:12" ht="30.75" thickBot="1" x14ac:dyDescent="0.3">
      <c r="C228" s="149" t="s">
        <v>44</v>
      </c>
      <c r="D228" s="149" t="s">
        <v>55</v>
      </c>
      <c r="E228" s="149" t="s">
        <v>57</v>
      </c>
      <c r="F228" s="150" t="s">
        <v>27</v>
      </c>
      <c r="G228" s="150" t="s">
        <v>131</v>
      </c>
      <c r="H228" s="149" t="s">
        <v>46</v>
      </c>
      <c r="I228" s="149" t="s">
        <v>132</v>
      </c>
      <c r="J228" s="149" t="s">
        <v>410</v>
      </c>
      <c r="K228" s="149" t="s">
        <v>411</v>
      </c>
      <c r="L228" s="149" t="s">
        <v>464</v>
      </c>
    </row>
    <row r="229" spans="3:12" ht="15.75" thickBot="1" x14ac:dyDescent="0.3">
      <c r="C229" s="306" t="s">
        <v>1339</v>
      </c>
      <c r="D229" s="158"/>
      <c r="E229" s="96">
        <f>HLOOKUP($C229,$CB$2:$CE$3,2,0)</f>
        <v>15000</v>
      </c>
      <c r="F229" s="97">
        <f>D229*E229</f>
        <v>0</v>
      </c>
      <c r="G229" s="165"/>
      <c r="H229" s="98" t="s">
        <v>1014</v>
      </c>
      <c r="I229" s="98" t="str">
        <f>VLOOKUP(H229,Presupuesto!$B$11:$C$565,2,0)</f>
        <v>EQUIPO DE COMPUTACION</v>
      </c>
      <c r="J229" s="219" t="s">
        <v>1454</v>
      </c>
      <c r="K229" s="98" t="s">
        <v>394</v>
      </c>
      <c r="L229" s="98"/>
    </row>
    <row r="230" spans="3:12" x14ac:dyDescent="0.25">
      <c r="C230" s="306" t="s">
        <v>1337</v>
      </c>
      <c r="D230" s="151"/>
      <c r="E230" s="96">
        <f>HLOOKUP($C230,$CB$2:$CE$3,2,0)</f>
        <v>35000</v>
      </c>
      <c r="F230" s="97">
        <f>D230*E230</f>
        <v>0</v>
      </c>
      <c r="G230" s="165"/>
      <c r="H230" s="101" t="s">
        <v>1014</v>
      </c>
      <c r="I230" s="101" t="str">
        <f>VLOOKUP(H230,Presupuesto!$B$11:$C$565,2,0)</f>
        <v>EQUIPO DE COMPUTACION</v>
      </c>
      <c r="J230" s="98" t="str">
        <f>$J$229</f>
        <v>Posgrado</v>
      </c>
      <c r="K230" s="98" t="s">
        <v>412</v>
      </c>
      <c r="L230" s="98"/>
    </row>
    <row r="231" spans="3:12" x14ac:dyDescent="0.25">
      <c r="C231" s="99" t="s">
        <v>73</v>
      </c>
      <c r="D231" s="151"/>
      <c r="E231" s="100">
        <v>4000</v>
      </c>
      <c r="F231" s="97">
        <f t="shared" ref="F231:F242" si="18">D231*E231</f>
        <v>0</v>
      </c>
      <c r="G231" s="165"/>
      <c r="H231" s="101" t="s">
        <v>986</v>
      </c>
      <c r="I231" s="101" t="str">
        <f>VLOOKUP(H231,Presupuesto!$B$11:$C$565,2,0)</f>
        <v>EQUIPOS VARIOS DE OFICINA</v>
      </c>
      <c r="J231" s="98" t="str">
        <f t="shared" ref="J231:J242" si="19">$J$229</f>
        <v>Posgrado</v>
      </c>
      <c r="K231" s="98" t="s">
        <v>395</v>
      </c>
      <c r="L231" s="98"/>
    </row>
    <row r="232" spans="3:12" x14ac:dyDescent="0.25">
      <c r="C232" s="99" t="s">
        <v>74</v>
      </c>
      <c r="D232" s="151"/>
      <c r="E232" s="100">
        <v>8000</v>
      </c>
      <c r="F232" s="97">
        <f t="shared" si="18"/>
        <v>0</v>
      </c>
      <c r="G232" s="165"/>
      <c r="H232" s="101" t="s">
        <v>1014</v>
      </c>
      <c r="I232" s="101" t="str">
        <f>VLOOKUP(H232,Presupuesto!$B$11:$C$565,2,0)</f>
        <v>EQUIPO DE COMPUTACION</v>
      </c>
      <c r="J232" s="98" t="str">
        <f t="shared" si="19"/>
        <v>Posgrado</v>
      </c>
      <c r="K232" s="98" t="s">
        <v>395</v>
      </c>
      <c r="L232" s="98"/>
    </row>
    <row r="233" spans="3:12" x14ac:dyDescent="0.25">
      <c r="C233" s="99" t="s">
        <v>75</v>
      </c>
      <c r="D233" s="151"/>
      <c r="E233" s="100">
        <v>5000</v>
      </c>
      <c r="F233" s="97">
        <f t="shared" si="18"/>
        <v>0</v>
      </c>
      <c r="G233" s="165"/>
      <c r="H233" s="101" t="s">
        <v>1014</v>
      </c>
      <c r="I233" s="101" t="str">
        <f>VLOOKUP(H233,Presupuesto!$B$11:$C$565,2,0)</f>
        <v>EQUIPO DE COMPUTACION</v>
      </c>
      <c r="J233" s="98" t="str">
        <f t="shared" si="19"/>
        <v>Posgrado</v>
      </c>
      <c r="K233" s="98" t="s">
        <v>395</v>
      </c>
      <c r="L233" s="98"/>
    </row>
    <row r="234" spans="3:12" x14ac:dyDescent="0.25">
      <c r="C234" s="99" t="s">
        <v>35</v>
      </c>
      <c r="D234" s="151"/>
      <c r="E234" s="100">
        <v>13000</v>
      </c>
      <c r="F234" s="97">
        <f t="shared" si="18"/>
        <v>0</v>
      </c>
      <c r="G234" s="165"/>
      <c r="H234" s="101" t="s">
        <v>1000</v>
      </c>
      <c r="I234" s="101" t="str">
        <f>VLOOKUP(H234,Presupuesto!$B$11:$C$565,2,0)</f>
        <v>EQUIPO DE TRANSPORTE TRACCION Y ELEVACION</v>
      </c>
      <c r="J234" s="98" t="str">
        <f t="shared" si="19"/>
        <v>Posgrado</v>
      </c>
      <c r="K234" s="98" t="s">
        <v>395</v>
      </c>
      <c r="L234" s="98"/>
    </row>
    <row r="235" spans="3:12" x14ac:dyDescent="0.25">
      <c r="C235" s="99" t="s">
        <v>76</v>
      </c>
      <c r="D235" s="151"/>
      <c r="E235" s="100">
        <v>15000</v>
      </c>
      <c r="F235" s="97">
        <f t="shared" si="18"/>
        <v>0</v>
      </c>
      <c r="G235" s="165"/>
      <c r="H235" s="101" t="s">
        <v>1000</v>
      </c>
      <c r="I235" s="101" t="str">
        <f>VLOOKUP(H235,Presupuesto!$B$11:$C$565,2,0)</f>
        <v>EQUIPO DE TRANSPORTE TRACCION Y ELEVACION</v>
      </c>
      <c r="J235" s="98" t="str">
        <f t="shared" si="19"/>
        <v>Posgrado</v>
      </c>
      <c r="K235" s="98" t="s">
        <v>395</v>
      </c>
      <c r="L235" s="98"/>
    </row>
    <row r="236" spans="3:12" x14ac:dyDescent="0.25">
      <c r="C236" s="99" t="s">
        <v>77</v>
      </c>
      <c r="D236" s="151"/>
      <c r="E236" s="100">
        <v>10000</v>
      </c>
      <c r="F236" s="97">
        <f t="shared" si="18"/>
        <v>0</v>
      </c>
      <c r="G236" s="165"/>
      <c r="H236" s="101" t="s">
        <v>1000</v>
      </c>
      <c r="I236" s="101" t="str">
        <f>VLOOKUP(H236,Presupuesto!$B$11:$C$565,2,0)</f>
        <v>EQUIPO DE TRANSPORTE TRACCION Y ELEVACION</v>
      </c>
      <c r="J236" s="98" t="str">
        <f t="shared" si="19"/>
        <v>Posgrado</v>
      </c>
      <c r="K236" s="98" t="s">
        <v>403</v>
      </c>
      <c r="L236" s="98"/>
    </row>
    <row r="237" spans="3:12" x14ac:dyDescent="0.25">
      <c r="C237" s="99" t="s">
        <v>78</v>
      </c>
      <c r="D237" s="151"/>
      <c r="E237" s="100">
        <v>10000</v>
      </c>
      <c r="F237" s="97">
        <f t="shared" si="18"/>
        <v>0</v>
      </c>
      <c r="G237" s="165"/>
      <c r="H237" s="101" t="s">
        <v>1046</v>
      </c>
      <c r="I237" s="101" t="str">
        <f>VLOOKUP(H237,Presupuesto!$B$11:$C$565,2,0)</f>
        <v>APLICACIONES INFORMATICAS</v>
      </c>
      <c r="J237" s="98" t="str">
        <f t="shared" si="19"/>
        <v>Posgrado</v>
      </c>
      <c r="K237" s="98" t="s">
        <v>399</v>
      </c>
      <c r="L237" s="98"/>
    </row>
    <row r="238" spans="3:12" x14ac:dyDescent="0.25">
      <c r="C238" s="109" t="s">
        <v>79</v>
      </c>
      <c r="D238" s="151"/>
      <c r="E238" s="100">
        <v>2000</v>
      </c>
      <c r="F238" s="97">
        <f t="shared" si="18"/>
        <v>0</v>
      </c>
      <c r="G238" s="165"/>
      <c r="H238" s="110" t="s">
        <v>1014</v>
      </c>
      <c r="I238" s="110" t="str">
        <f>VLOOKUP(H238,Presupuesto!$B$11:$C$565,2,0)</f>
        <v>EQUIPO DE COMPUTACION</v>
      </c>
      <c r="J238" s="98" t="str">
        <f t="shared" si="19"/>
        <v>Posgrado</v>
      </c>
      <c r="K238" s="98" t="s">
        <v>395</v>
      </c>
      <c r="L238" s="98"/>
    </row>
    <row r="239" spans="3:12" x14ac:dyDescent="0.25">
      <c r="C239" s="109" t="s">
        <v>1482</v>
      </c>
      <c r="D239" s="151"/>
      <c r="E239" s="100">
        <v>1500</v>
      </c>
      <c r="F239" s="97">
        <f t="shared" si="18"/>
        <v>0</v>
      </c>
      <c r="G239" s="165"/>
      <c r="H239" s="110" t="s">
        <v>946</v>
      </c>
      <c r="I239" s="110" t="str">
        <f>VLOOKUP(H239,Presupuesto!$B$11:$C$565,2,0)</f>
        <v>UTILES Y MATERIALES ELECTRICOS</v>
      </c>
      <c r="J239" s="98" t="str">
        <f t="shared" si="19"/>
        <v>Posgrado</v>
      </c>
      <c r="K239" s="98" t="s">
        <v>395</v>
      </c>
      <c r="L239" s="98"/>
    </row>
    <row r="240" spans="3:12" x14ac:dyDescent="0.25">
      <c r="C240" s="109" t="s">
        <v>80</v>
      </c>
      <c r="D240" s="151"/>
      <c r="E240" s="100">
        <v>1500</v>
      </c>
      <c r="F240" s="97">
        <f t="shared" si="18"/>
        <v>0</v>
      </c>
      <c r="G240" s="165"/>
      <c r="H240" s="110" t="s">
        <v>1014</v>
      </c>
      <c r="I240" s="110" t="str">
        <f>VLOOKUP(H240,Presupuesto!$B$11:$C$565,2,0)</f>
        <v>EQUIPO DE COMPUTACION</v>
      </c>
      <c r="J240" s="98" t="str">
        <f t="shared" si="19"/>
        <v>Posgrado</v>
      </c>
      <c r="K240" s="98" t="s">
        <v>395</v>
      </c>
      <c r="L240" s="98"/>
    </row>
    <row r="241" spans="3:12" x14ac:dyDescent="0.25">
      <c r="C241" s="109" t="s">
        <v>81</v>
      </c>
      <c r="D241" s="151"/>
      <c r="E241" s="100">
        <v>500</v>
      </c>
      <c r="F241" s="97">
        <f t="shared" si="18"/>
        <v>0</v>
      </c>
      <c r="G241" s="165"/>
      <c r="H241" s="110" t="s">
        <v>955</v>
      </c>
      <c r="I241" s="110" t="str">
        <f>VLOOKUP(H241,Presupuesto!$B$11:$C$565,2,0)</f>
        <v>OTROS RESPUESTOS Y ACCESORIOS MENORES</v>
      </c>
      <c r="J241" s="98" t="str">
        <f t="shared" si="19"/>
        <v>Posgrado</v>
      </c>
      <c r="K241" s="98" t="s">
        <v>395</v>
      </c>
      <c r="L241" s="98"/>
    </row>
    <row r="242" spans="3:12" ht="15.75" thickBot="1" x14ac:dyDescent="0.3">
      <c r="C242" s="102" t="s">
        <v>82</v>
      </c>
      <c r="D242" s="159"/>
      <c r="E242" s="104">
        <v>20</v>
      </c>
      <c r="F242" s="105">
        <f t="shared" si="18"/>
        <v>0</v>
      </c>
      <c r="G242" s="162"/>
      <c r="H242" s="106" t="s">
        <v>955</v>
      </c>
      <c r="I242" s="106" t="str">
        <f>VLOOKUP(H242,Presupuesto!$B$11:$C$565,2,0)</f>
        <v>OTROS RESPUESTOS Y ACCESORIOS MENORES</v>
      </c>
      <c r="J242" s="106" t="str">
        <f t="shared" si="19"/>
        <v>Posgrado</v>
      </c>
      <c r="K242" s="124" t="s">
        <v>394</v>
      </c>
      <c r="L242" s="124"/>
    </row>
    <row r="244" spans="3:12" ht="15.75" thickBot="1" x14ac:dyDescent="0.3"/>
    <row r="245" spans="3:12" ht="15.75" thickBot="1" x14ac:dyDescent="0.3">
      <c r="C245" s="29" t="s">
        <v>43</v>
      </c>
      <c r="D245" s="108">
        <f>SUM(F252:F265)</f>
        <v>0</v>
      </c>
      <c r="F245" s="70"/>
      <c r="G245" s="79"/>
      <c r="H245" s="70"/>
      <c r="I245" s="70"/>
    </row>
    <row r="246" spans="3:12" x14ac:dyDescent="0.25">
      <c r="C246" s="70"/>
      <c r="D246" s="31"/>
      <c r="E246" s="93"/>
      <c r="F246" s="93"/>
      <c r="G246" s="93"/>
      <c r="H246" s="76"/>
      <c r="I246" s="76"/>
      <c r="J246" s="76"/>
      <c r="K246" s="112"/>
    </row>
    <row r="247" spans="3:12" x14ac:dyDescent="0.25">
      <c r="C247" s="70"/>
      <c r="D247" s="31"/>
      <c r="E247" s="93"/>
      <c r="F247" s="93"/>
      <c r="G247" s="93"/>
      <c r="H247" s="76"/>
      <c r="I247" s="76"/>
      <c r="J247" s="76"/>
      <c r="K247" s="112"/>
    </row>
    <row r="248" spans="3:12" ht="15.75" x14ac:dyDescent="0.25">
      <c r="C248" s="202" t="s">
        <v>392</v>
      </c>
      <c r="D248" s="370"/>
      <c r="E248" s="93"/>
      <c r="F248" s="93"/>
      <c r="G248" s="93"/>
      <c r="H248" s="76"/>
      <c r="I248" s="76"/>
      <c r="J248" s="76"/>
      <c r="K248" s="112"/>
    </row>
    <row r="249" spans="3:12" ht="18.75" x14ac:dyDescent="0.25">
      <c r="C249" s="211" t="e">
        <f>IFERROR(VLOOKUP(D248,'1. Desarrollo e Innov. Curricu.'!$E:$F,2,FALSE),IFERROR(VLOOKUP(D248,'2. Investigación Científica'!$E:$F,2,FALSE),IFERROR(VLOOKUP(D248,'3. Vinculación Univ. Sociedad'!$E:$F,2,FALSE),IFERROR(VLOOKUP(D248,'4. Docencia y Profesorado Univ.'!$E:$F,2,FALSE),IFERROR(VLOOKUP(D248,'5. Estudiantes y Graduados'!$E:$F,2,FALSE),IFERROR(VLOOKUP(D248,'11. Gestion Administrativa'!$E:$F,2,FALSE),IFERROR(VLOOKUP(D248,'13. Gestión Académica'!$E:$F,2,FALSE),IFERROR(VLOOKUP(D248,'8. Asegura. de la Calid. y M'!$E:$F,2,FALSE),IFERROR(VLOOKUP(D248,'6. Gestión del Conocimiento'!$E:$F,2,FALSE),IFERROR(VLOOKUP(D248,'15. Gobernabilidad y Proceso...'!$E:$F,2,FALSE),IFERROR(VLOOKUP(D248,'12. Gestión del Talento Humano'!$E:$F,2,FALSE),IFERROR(VLOOKUP(D248,'14. Internacional... de la E.S.'!$E:$F,2,FALSE),IFERROR(VLOOKUP(D248,'10. Posgrado'!$E:$F,2,FALSE),IFERROR(VLOOKUP(D248,'16. Desa. del Sistema Educ.Sup.'!$E:$F,2,FALSE),IFERROR(VLOOKUP(D248,'9. Cultura de Inno. Insti...'!$E:$F,2,FALSE),VLOOKUP(D248,'7. Lo Esencial de la Reforma U.'!$E:$F,2,0))))))))))))))))</f>
        <v>#N/A</v>
      </c>
      <c r="D249" s="31"/>
      <c r="E249" s="93"/>
      <c r="F249" s="93"/>
      <c r="G249" s="93"/>
      <c r="H249" s="76"/>
      <c r="I249" s="76"/>
      <c r="J249" s="76"/>
      <c r="K249" s="112"/>
    </row>
    <row r="250" spans="3:12" x14ac:dyDescent="0.25">
      <c r="F250" s="93"/>
      <c r="G250" s="76"/>
      <c r="H250" s="76"/>
      <c r="I250" s="76"/>
    </row>
    <row r="251" spans="3:12" ht="30.75" thickBot="1" x14ac:dyDescent="0.3">
      <c r="C251" s="149" t="s">
        <v>44</v>
      </c>
      <c r="D251" s="149" t="s">
        <v>55</v>
      </c>
      <c r="E251" s="149" t="s">
        <v>57</v>
      </c>
      <c r="F251" s="150" t="s">
        <v>27</v>
      </c>
      <c r="G251" s="150" t="s">
        <v>131</v>
      </c>
      <c r="H251" s="149" t="s">
        <v>46</v>
      </c>
      <c r="I251" s="149" t="s">
        <v>132</v>
      </c>
      <c r="J251" s="149" t="s">
        <v>410</v>
      </c>
      <c r="K251" s="149" t="s">
        <v>411</v>
      </c>
      <c r="L251" s="149" t="s">
        <v>464</v>
      </c>
    </row>
    <row r="252" spans="3:12" ht="15.75" thickBot="1" x14ac:dyDescent="0.3">
      <c r="C252" s="306" t="s">
        <v>1339</v>
      </c>
      <c r="D252" s="158"/>
      <c r="E252" s="96">
        <f>HLOOKUP($C252,$CB$2:$CE$3,2,0)</f>
        <v>15000</v>
      </c>
      <c r="F252" s="97">
        <f>D252*E252</f>
        <v>0</v>
      </c>
      <c r="G252" s="165"/>
      <c r="H252" s="98" t="s">
        <v>1014</v>
      </c>
      <c r="I252" s="98" t="str">
        <f>VLOOKUP(H252,Presupuesto!$B$11:$C$565,2,0)</f>
        <v>EQUIPO DE COMPUTACION</v>
      </c>
      <c r="J252" s="219" t="s">
        <v>1454</v>
      </c>
      <c r="K252" s="98" t="s">
        <v>394</v>
      </c>
      <c r="L252" s="98"/>
    </row>
    <row r="253" spans="3:12" x14ac:dyDescent="0.25">
      <c r="C253" s="306" t="s">
        <v>1337</v>
      </c>
      <c r="D253" s="151"/>
      <c r="E253" s="96">
        <f>HLOOKUP($C253,$CB$2:$CE$3,2,0)</f>
        <v>35000</v>
      </c>
      <c r="F253" s="97">
        <f>D253*E253</f>
        <v>0</v>
      </c>
      <c r="G253" s="165"/>
      <c r="H253" s="101" t="s">
        <v>1014</v>
      </c>
      <c r="I253" s="101" t="str">
        <f>VLOOKUP(H253,Presupuesto!$B$11:$C$565,2,0)</f>
        <v>EQUIPO DE COMPUTACION</v>
      </c>
      <c r="J253" s="98" t="str">
        <f>$J$252</f>
        <v>Posgrado</v>
      </c>
      <c r="K253" s="98" t="s">
        <v>412</v>
      </c>
      <c r="L253" s="98"/>
    </row>
    <row r="254" spans="3:12" x14ac:dyDescent="0.25">
      <c r="C254" s="99" t="s">
        <v>73</v>
      </c>
      <c r="D254" s="151"/>
      <c r="E254" s="100">
        <v>4000</v>
      </c>
      <c r="F254" s="97">
        <f t="shared" ref="F254:F265" si="20">D254*E254</f>
        <v>0</v>
      </c>
      <c r="G254" s="165"/>
      <c r="H254" s="101" t="s">
        <v>986</v>
      </c>
      <c r="I254" s="101" t="str">
        <f>VLOOKUP(H254,Presupuesto!$B$11:$C$565,2,0)</f>
        <v>EQUIPOS VARIOS DE OFICINA</v>
      </c>
      <c r="J254" s="98" t="str">
        <f t="shared" ref="J254:J265" si="21">$J$252</f>
        <v>Posgrado</v>
      </c>
      <c r="K254" s="98" t="s">
        <v>395</v>
      </c>
      <c r="L254" s="98"/>
    </row>
    <row r="255" spans="3:12" x14ac:dyDescent="0.25">
      <c r="C255" s="99" t="s">
        <v>74</v>
      </c>
      <c r="D255" s="151"/>
      <c r="E255" s="100">
        <v>8000</v>
      </c>
      <c r="F255" s="97">
        <f t="shared" si="20"/>
        <v>0</v>
      </c>
      <c r="G255" s="165"/>
      <c r="H255" s="101" t="s">
        <v>1014</v>
      </c>
      <c r="I255" s="101" t="str">
        <f>VLOOKUP(H255,Presupuesto!$B$11:$C$565,2,0)</f>
        <v>EQUIPO DE COMPUTACION</v>
      </c>
      <c r="J255" s="98" t="str">
        <f t="shared" si="21"/>
        <v>Posgrado</v>
      </c>
      <c r="K255" s="98" t="s">
        <v>395</v>
      </c>
      <c r="L255" s="98"/>
    </row>
    <row r="256" spans="3:12" x14ac:dyDescent="0.25">
      <c r="C256" s="99" t="s">
        <v>75</v>
      </c>
      <c r="D256" s="151"/>
      <c r="E256" s="100">
        <v>5000</v>
      </c>
      <c r="F256" s="97">
        <f t="shared" si="20"/>
        <v>0</v>
      </c>
      <c r="G256" s="165"/>
      <c r="H256" s="101" t="s">
        <v>1014</v>
      </c>
      <c r="I256" s="101" t="str">
        <f>VLOOKUP(H256,Presupuesto!$B$11:$C$565,2,0)</f>
        <v>EQUIPO DE COMPUTACION</v>
      </c>
      <c r="J256" s="98" t="str">
        <f t="shared" si="21"/>
        <v>Posgrado</v>
      </c>
      <c r="K256" s="98" t="s">
        <v>395</v>
      </c>
      <c r="L256" s="98"/>
    </row>
    <row r="257" spans="3:12" x14ac:dyDescent="0.25">
      <c r="C257" s="99" t="s">
        <v>35</v>
      </c>
      <c r="D257" s="151"/>
      <c r="E257" s="100">
        <v>13000</v>
      </c>
      <c r="F257" s="97">
        <f t="shared" si="20"/>
        <v>0</v>
      </c>
      <c r="G257" s="165"/>
      <c r="H257" s="101" t="s">
        <v>1000</v>
      </c>
      <c r="I257" s="101" t="str">
        <f>VLOOKUP(H257,Presupuesto!$B$11:$C$565,2,0)</f>
        <v>EQUIPO DE TRANSPORTE TRACCION Y ELEVACION</v>
      </c>
      <c r="J257" s="98" t="str">
        <f t="shared" si="21"/>
        <v>Posgrado</v>
      </c>
      <c r="K257" s="98" t="s">
        <v>395</v>
      </c>
      <c r="L257" s="98"/>
    </row>
    <row r="258" spans="3:12" x14ac:dyDescent="0.25">
      <c r="C258" s="99" t="s">
        <v>76</v>
      </c>
      <c r="D258" s="151"/>
      <c r="E258" s="100">
        <v>15000</v>
      </c>
      <c r="F258" s="97">
        <f t="shared" si="20"/>
        <v>0</v>
      </c>
      <c r="G258" s="165"/>
      <c r="H258" s="101" t="s">
        <v>1000</v>
      </c>
      <c r="I258" s="101" t="str">
        <f>VLOOKUP(H258,Presupuesto!$B$11:$C$565,2,0)</f>
        <v>EQUIPO DE TRANSPORTE TRACCION Y ELEVACION</v>
      </c>
      <c r="J258" s="98" t="str">
        <f t="shared" si="21"/>
        <v>Posgrado</v>
      </c>
      <c r="K258" s="98" t="s">
        <v>395</v>
      </c>
      <c r="L258" s="98"/>
    </row>
    <row r="259" spans="3:12" x14ac:dyDescent="0.25">
      <c r="C259" s="99" t="s">
        <v>77</v>
      </c>
      <c r="D259" s="151"/>
      <c r="E259" s="100">
        <v>10000</v>
      </c>
      <c r="F259" s="97">
        <f t="shared" si="20"/>
        <v>0</v>
      </c>
      <c r="G259" s="165"/>
      <c r="H259" s="101" t="s">
        <v>1000</v>
      </c>
      <c r="I259" s="101" t="str">
        <f>VLOOKUP(H259,Presupuesto!$B$11:$C$565,2,0)</f>
        <v>EQUIPO DE TRANSPORTE TRACCION Y ELEVACION</v>
      </c>
      <c r="J259" s="98" t="str">
        <f t="shared" si="21"/>
        <v>Posgrado</v>
      </c>
      <c r="K259" s="98" t="s">
        <v>403</v>
      </c>
      <c r="L259" s="98"/>
    </row>
    <row r="260" spans="3:12" x14ac:dyDescent="0.25">
      <c r="C260" s="99" t="s">
        <v>78</v>
      </c>
      <c r="D260" s="151"/>
      <c r="E260" s="100">
        <v>10000</v>
      </c>
      <c r="F260" s="97">
        <f t="shared" si="20"/>
        <v>0</v>
      </c>
      <c r="G260" s="165"/>
      <c r="H260" s="101" t="s">
        <v>1046</v>
      </c>
      <c r="I260" s="101" t="str">
        <f>VLOOKUP(H260,Presupuesto!$B$11:$C$565,2,0)</f>
        <v>APLICACIONES INFORMATICAS</v>
      </c>
      <c r="J260" s="98" t="str">
        <f t="shared" si="21"/>
        <v>Posgrado</v>
      </c>
      <c r="K260" s="98" t="s">
        <v>399</v>
      </c>
      <c r="L260" s="98"/>
    </row>
    <row r="261" spans="3:12" x14ac:dyDescent="0.25">
      <c r="C261" s="109" t="s">
        <v>79</v>
      </c>
      <c r="D261" s="151"/>
      <c r="E261" s="100">
        <v>2000</v>
      </c>
      <c r="F261" s="97">
        <f t="shared" si="20"/>
        <v>0</v>
      </c>
      <c r="G261" s="165"/>
      <c r="H261" s="110" t="s">
        <v>1014</v>
      </c>
      <c r="I261" s="110" t="str">
        <f>VLOOKUP(H261,Presupuesto!$B$11:$C$565,2,0)</f>
        <v>EQUIPO DE COMPUTACION</v>
      </c>
      <c r="J261" s="98" t="str">
        <f t="shared" si="21"/>
        <v>Posgrado</v>
      </c>
      <c r="K261" s="98" t="s">
        <v>395</v>
      </c>
      <c r="L261" s="98"/>
    </row>
    <row r="262" spans="3:12" x14ac:dyDescent="0.25">
      <c r="C262" s="109" t="s">
        <v>1482</v>
      </c>
      <c r="D262" s="151"/>
      <c r="E262" s="100">
        <v>1500</v>
      </c>
      <c r="F262" s="97">
        <f t="shared" si="20"/>
        <v>0</v>
      </c>
      <c r="G262" s="165"/>
      <c r="H262" s="110" t="s">
        <v>946</v>
      </c>
      <c r="I262" s="110" t="str">
        <f>VLOOKUP(H262,Presupuesto!$B$11:$C$565,2,0)</f>
        <v>UTILES Y MATERIALES ELECTRICOS</v>
      </c>
      <c r="J262" s="98" t="str">
        <f t="shared" si="21"/>
        <v>Posgrado</v>
      </c>
      <c r="K262" s="98" t="s">
        <v>395</v>
      </c>
      <c r="L262" s="98"/>
    </row>
    <row r="263" spans="3:12" x14ac:dyDescent="0.25">
      <c r="C263" s="109" t="s">
        <v>80</v>
      </c>
      <c r="D263" s="151"/>
      <c r="E263" s="100">
        <v>1500</v>
      </c>
      <c r="F263" s="97">
        <f t="shared" si="20"/>
        <v>0</v>
      </c>
      <c r="G263" s="165"/>
      <c r="H263" s="110" t="s">
        <v>1014</v>
      </c>
      <c r="I263" s="110" t="str">
        <f>VLOOKUP(H263,Presupuesto!$B$11:$C$565,2,0)</f>
        <v>EQUIPO DE COMPUTACION</v>
      </c>
      <c r="J263" s="98" t="str">
        <f t="shared" si="21"/>
        <v>Posgrado</v>
      </c>
      <c r="K263" s="98" t="s">
        <v>395</v>
      </c>
      <c r="L263" s="98"/>
    </row>
    <row r="264" spans="3:12" x14ac:dyDescent="0.25">
      <c r="C264" s="109" t="s">
        <v>81</v>
      </c>
      <c r="D264" s="151"/>
      <c r="E264" s="100">
        <v>500</v>
      </c>
      <c r="F264" s="97">
        <f t="shared" si="20"/>
        <v>0</v>
      </c>
      <c r="G264" s="165"/>
      <c r="H264" s="110" t="s">
        <v>955</v>
      </c>
      <c r="I264" s="110" t="str">
        <f>VLOOKUP(H264,Presupuesto!$B$11:$C$565,2,0)</f>
        <v>OTROS RESPUESTOS Y ACCESORIOS MENORES</v>
      </c>
      <c r="J264" s="98" t="str">
        <f t="shared" si="21"/>
        <v>Posgrado</v>
      </c>
      <c r="K264" s="98" t="s">
        <v>395</v>
      </c>
      <c r="L264" s="98"/>
    </row>
    <row r="265" spans="3:12" ht="15.75" thickBot="1" x14ac:dyDescent="0.3">
      <c r="C265" s="102" t="s">
        <v>82</v>
      </c>
      <c r="D265" s="159"/>
      <c r="E265" s="104">
        <v>20</v>
      </c>
      <c r="F265" s="105">
        <f t="shared" si="20"/>
        <v>0</v>
      </c>
      <c r="G265" s="162"/>
      <c r="H265" s="106" t="s">
        <v>955</v>
      </c>
      <c r="I265" s="106" t="str">
        <f>VLOOKUP(H265,Presupuesto!$B$11:$C$565,2,0)</f>
        <v>OTROS RESPUESTOS Y ACCESORIOS MENORES</v>
      </c>
      <c r="J265" s="106" t="str">
        <f t="shared" si="21"/>
        <v>Posgrado</v>
      </c>
      <c r="K265" s="124" t="s">
        <v>394</v>
      </c>
      <c r="L265" s="124"/>
    </row>
    <row r="266" spans="3:12" x14ac:dyDescent="0.25">
      <c r="F266" s="93"/>
      <c r="G266" s="76"/>
      <c r="H266" s="76"/>
      <c r="I266" s="76"/>
    </row>
    <row r="267" spans="3:12" ht="15.75" thickBot="1" x14ac:dyDescent="0.3"/>
    <row r="268" spans="3:12" ht="15.75" thickBot="1" x14ac:dyDescent="0.3">
      <c r="C268" s="29" t="s">
        <v>43</v>
      </c>
      <c r="D268" s="108">
        <f>SUM(F275:F288)</f>
        <v>0</v>
      </c>
      <c r="F268" s="70"/>
      <c r="G268" s="79"/>
      <c r="H268" s="70"/>
      <c r="I268" s="70"/>
    </row>
    <row r="269" spans="3:12" x14ac:dyDescent="0.25">
      <c r="C269" s="70"/>
      <c r="D269" s="31"/>
      <c r="E269" s="93"/>
      <c r="F269" s="93"/>
      <c r="G269" s="93"/>
      <c r="H269" s="76"/>
      <c r="I269" s="76"/>
      <c r="J269" s="76"/>
      <c r="K269" s="112"/>
    </row>
    <row r="270" spans="3:12" x14ac:dyDescent="0.25">
      <c r="C270" s="70"/>
      <c r="D270" s="31"/>
      <c r="E270" s="93"/>
      <c r="F270" s="93"/>
      <c r="G270" s="93"/>
      <c r="H270" s="76"/>
      <c r="I270" s="76"/>
      <c r="J270" s="76"/>
      <c r="K270" s="112"/>
    </row>
    <row r="271" spans="3:12" ht="15.75" x14ac:dyDescent="0.25">
      <c r="C271" s="202" t="s">
        <v>392</v>
      </c>
      <c r="D271" s="370"/>
      <c r="E271" s="93"/>
      <c r="F271" s="93"/>
      <c r="G271" s="93"/>
      <c r="H271" s="76"/>
      <c r="I271" s="76"/>
      <c r="J271" s="76"/>
      <c r="K271" s="112"/>
    </row>
    <row r="272" spans="3:12" ht="18.75" x14ac:dyDescent="0.25">
      <c r="C272" s="211" t="e">
        <f>IFERROR(VLOOKUP(D271,'1. Desarrollo e Innov. Curricu.'!$E:$F,2,FALSE),IFERROR(VLOOKUP(D271,'2. Investigación Científica'!$E:$F,2,FALSE),IFERROR(VLOOKUP(D271,'3. Vinculación Univ. Sociedad'!$E:$F,2,FALSE),IFERROR(VLOOKUP(D271,'4. Docencia y Profesorado Univ.'!$E:$F,2,FALSE),IFERROR(VLOOKUP(D271,'5. Estudiantes y Graduados'!$E:$F,2,FALSE),IFERROR(VLOOKUP(D271,'11. Gestion Administrativa'!$E:$F,2,FALSE),IFERROR(VLOOKUP(D271,'13. Gestión Académica'!$E:$F,2,FALSE),IFERROR(VLOOKUP(D271,'8. Asegura. de la Calid. y M'!$E:$F,2,FALSE),IFERROR(VLOOKUP(D271,'6. Gestión del Conocimiento'!$E:$F,2,FALSE),IFERROR(VLOOKUP(D271,'15. Gobernabilidad y Proceso...'!$E:$F,2,FALSE),IFERROR(VLOOKUP(D271,'12. Gestión del Talento Humano'!$E:$F,2,FALSE),IFERROR(VLOOKUP(D271,'14. Internacional... de la E.S.'!$E:$F,2,FALSE),IFERROR(VLOOKUP(D271,'10. Posgrado'!$E:$F,2,FALSE),IFERROR(VLOOKUP(D271,'16. Desa. del Sistema Educ.Sup.'!$E:$F,2,FALSE),IFERROR(VLOOKUP(D271,'9. Cultura de Inno. Insti...'!$E:$F,2,FALSE),VLOOKUP(D271,'7. Lo Esencial de la Reforma U.'!$E:$F,2,0))))))))))))))))</f>
        <v>#N/A</v>
      </c>
      <c r="D272" s="31"/>
      <c r="E272" s="93"/>
      <c r="F272" s="93"/>
      <c r="G272" s="93"/>
      <c r="H272" s="76"/>
      <c r="I272" s="76"/>
      <c r="J272" s="76"/>
      <c r="K272" s="112"/>
    </row>
    <row r="273" spans="3:12" x14ac:dyDescent="0.25">
      <c r="F273" s="93"/>
      <c r="G273" s="76"/>
      <c r="H273" s="76"/>
      <c r="I273" s="76"/>
    </row>
    <row r="274" spans="3:12" ht="30.75" thickBot="1" x14ac:dyDescent="0.3">
      <c r="C274" s="149" t="s">
        <v>44</v>
      </c>
      <c r="D274" s="149" t="s">
        <v>55</v>
      </c>
      <c r="E274" s="149" t="s">
        <v>57</v>
      </c>
      <c r="F274" s="150" t="s">
        <v>27</v>
      </c>
      <c r="G274" s="150" t="s">
        <v>131</v>
      </c>
      <c r="H274" s="149" t="s">
        <v>46</v>
      </c>
      <c r="I274" s="149" t="s">
        <v>132</v>
      </c>
      <c r="J274" s="149" t="s">
        <v>410</v>
      </c>
      <c r="K274" s="149" t="s">
        <v>411</v>
      </c>
      <c r="L274" s="149" t="s">
        <v>464</v>
      </c>
    </row>
    <row r="275" spans="3:12" ht="15.75" thickBot="1" x14ac:dyDescent="0.3">
      <c r="C275" s="306" t="s">
        <v>1339</v>
      </c>
      <c r="D275" s="158"/>
      <c r="E275" s="96">
        <f>HLOOKUP($C275,$CB$2:$CE$3,2,0)</f>
        <v>15000</v>
      </c>
      <c r="F275" s="97">
        <f>D275*E275</f>
        <v>0</v>
      </c>
      <c r="G275" s="165"/>
      <c r="H275" s="98" t="s">
        <v>1014</v>
      </c>
      <c r="I275" s="98" t="str">
        <f>VLOOKUP(H275,Presupuesto!$B$11:$C$565,2,0)</f>
        <v>EQUIPO DE COMPUTACION</v>
      </c>
      <c r="J275" s="219" t="s">
        <v>1479</v>
      </c>
      <c r="K275" s="98" t="s">
        <v>394</v>
      </c>
      <c r="L275" s="98"/>
    </row>
    <row r="276" spans="3:12" x14ac:dyDescent="0.25">
      <c r="C276" s="306" t="s">
        <v>1337</v>
      </c>
      <c r="D276" s="151"/>
      <c r="E276" s="96">
        <f>HLOOKUP($C276,$CB$2:$CE$3,2,0)</f>
        <v>35000</v>
      </c>
      <c r="F276" s="97">
        <f>D276*E276</f>
        <v>0</v>
      </c>
      <c r="G276" s="165"/>
      <c r="H276" s="101" t="s">
        <v>1014</v>
      </c>
      <c r="I276" s="101" t="str">
        <f>VLOOKUP(H276,Presupuesto!$B$11:$C$565,2,0)</f>
        <v>EQUIPO DE COMPUTACION</v>
      </c>
      <c r="J276" s="98" t="str">
        <f>$J$275</f>
        <v>Desarrollo del Sistema de Educación Superior</v>
      </c>
      <c r="K276" s="98" t="s">
        <v>412</v>
      </c>
      <c r="L276" s="98"/>
    </row>
    <row r="277" spans="3:12" x14ac:dyDescent="0.25">
      <c r="C277" s="99" t="s">
        <v>73</v>
      </c>
      <c r="D277" s="151"/>
      <c r="E277" s="100">
        <v>4000</v>
      </c>
      <c r="F277" s="97">
        <f t="shared" ref="F277:F288" si="22">D277*E277</f>
        <v>0</v>
      </c>
      <c r="G277" s="165"/>
      <c r="H277" s="101" t="s">
        <v>986</v>
      </c>
      <c r="I277" s="101" t="str">
        <f>VLOOKUP(H277,Presupuesto!$B$11:$C$565,2,0)</f>
        <v>EQUIPOS VARIOS DE OFICINA</v>
      </c>
      <c r="J277" s="98" t="str">
        <f t="shared" ref="J277:J288" si="23">$J$275</f>
        <v>Desarrollo del Sistema de Educación Superior</v>
      </c>
      <c r="K277" s="98" t="s">
        <v>395</v>
      </c>
      <c r="L277" s="98"/>
    </row>
    <row r="278" spans="3:12" x14ac:dyDescent="0.25">
      <c r="C278" s="99" t="s">
        <v>74</v>
      </c>
      <c r="D278" s="151"/>
      <c r="E278" s="100">
        <v>8000</v>
      </c>
      <c r="F278" s="97">
        <f t="shared" si="22"/>
        <v>0</v>
      </c>
      <c r="G278" s="165"/>
      <c r="H278" s="101" t="s">
        <v>1014</v>
      </c>
      <c r="I278" s="101" t="str">
        <f>VLOOKUP(H278,Presupuesto!$B$11:$C$565,2,0)</f>
        <v>EQUIPO DE COMPUTACION</v>
      </c>
      <c r="J278" s="98" t="str">
        <f t="shared" si="23"/>
        <v>Desarrollo del Sistema de Educación Superior</v>
      </c>
      <c r="K278" s="98" t="s">
        <v>395</v>
      </c>
      <c r="L278" s="98"/>
    </row>
    <row r="279" spans="3:12" x14ac:dyDescent="0.25">
      <c r="C279" s="99" t="s">
        <v>75</v>
      </c>
      <c r="D279" s="151"/>
      <c r="E279" s="100">
        <v>5000</v>
      </c>
      <c r="F279" s="97">
        <f t="shared" si="22"/>
        <v>0</v>
      </c>
      <c r="G279" s="165"/>
      <c r="H279" s="101" t="s">
        <v>1014</v>
      </c>
      <c r="I279" s="101" t="str">
        <f>VLOOKUP(H279,Presupuesto!$B$11:$C$565,2,0)</f>
        <v>EQUIPO DE COMPUTACION</v>
      </c>
      <c r="J279" s="98" t="str">
        <f t="shared" si="23"/>
        <v>Desarrollo del Sistema de Educación Superior</v>
      </c>
      <c r="K279" s="98" t="s">
        <v>395</v>
      </c>
      <c r="L279" s="98"/>
    </row>
    <row r="280" spans="3:12" x14ac:dyDescent="0.25">
      <c r="C280" s="99" t="s">
        <v>35</v>
      </c>
      <c r="D280" s="151"/>
      <c r="E280" s="100">
        <v>13000</v>
      </c>
      <c r="F280" s="97">
        <f t="shared" si="22"/>
        <v>0</v>
      </c>
      <c r="G280" s="165"/>
      <c r="H280" s="101" t="s">
        <v>1000</v>
      </c>
      <c r="I280" s="101" t="str">
        <f>VLOOKUP(H280,Presupuesto!$B$11:$C$565,2,0)</f>
        <v>EQUIPO DE TRANSPORTE TRACCION Y ELEVACION</v>
      </c>
      <c r="J280" s="98" t="str">
        <f t="shared" si="23"/>
        <v>Desarrollo del Sistema de Educación Superior</v>
      </c>
      <c r="K280" s="98" t="s">
        <v>395</v>
      </c>
      <c r="L280" s="98"/>
    </row>
    <row r="281" spans="3:12" x14ac:dyDescent="0.25">
      <c r="C281" s="99" t="s">
        <v>76</v>
      </c>
      <c r="D281" s="151"/>
      <c r="E281" s="100">
        <v>15000</v>
      </c>
      <c r="F281" s="97">
        <f t="shared" si="22"/>
        <v>0</v>
      </c>
      <c r="G281" s="165"/>
      <c r="H281" s="101" t="s">
        <v>1000</v>
      </c>
      <c r="I281" s="101" t="str">
        <f>VLOOKUP(H281,Presupuesto!$B$11:$C$565,2,0)</f>
        <v>EQUIPO DE TRANSPORTE TRACCION Y ELEVACION</v>
      </c>
      <c r="J281" s="98" t="str">
        <f t="shared" si="23"/>
        <v>Desarrollo del Sistema de Educación Superior</v>
      </c>
      <c r="K281" s="98" t="s">
        <v>395</v>
      </c>
      <c r="L281" s="98"/>
    </row>
    <row r="282" spans="3:12" x14ac:dyDescent="0.25">
      <c r="C282" s="99" t="s">
        <v>77</v>
      </c>
      <c r="D282" s="151"/>
      <c r="E282" s="100">
        <v>10000</v>
      </c>
      <c r="F282" s="97">
        <f t="shared" si="22"/>
        <v>0</v>
      </c>
      <c r="G282" s="165"/>
      <c r="H282" s="101" t="s">
        <v>1000</v>
      </c>
      <c r="I282" s="101" t="str">
        <f>VLOOKUP(H282,Presupuesto!$B$11:$C$565,2,0)</f>
        <v>EQUIPO DE TRANSPORTE TRACCION Y ELEVACION</v>
      </c>
      <c r="J282" s="98" t="str">
        <f t="shared" si="23"/>
        <v>Desarrollo del Sistema de Educación Superior</v>
      </c>
      <c r="K282" s="98" t="s">
        <v>403</v>
      </c>
      <c r="L282" s="98"/>
    </row>
    <row r="283" spans="3:12" x14ac:dyDescent="0.25">
      <c r="C283" s="99" t="s">
        <v>78</v>
      </c>
      <c r="D283" s="151"/>
      <c r="E283" s="100">
        <v>10000</v>
      </c>
      <c r="F283" s="97">
        <f t="shared" si="22"/>
        <v>0</v>
      </c>
      <c r="G283" s="165"/>
      <c r="H283" s="101" t="s">
        <v>1046</v>
      </c>
      <c r="I283" s="101" t="str">
        <f>VLOOKUP(H283,Presupuesto!$B$11:$C$565,2,0)</f>
        <v>APLICACIONES INFORMATICAS</v>
      </c>
      <c r="J283" s="98" t="str">
        <f t="shared" si="23"/>
        <v>Desarrollo del Sistema de Educación Superior</v>
      </c>
      <c r="K283" s="98" t="s">
        <v>399</v>
      </c>
      <c r="L283" s="98"/>
    </row>
    <row r="284" spans="3:12" x14ac:dyDescent="0.25">
      <c r="C284" s="109" t="s">
        <v>79</v>
      </c>
      <c r="D284" s="151"/>
      <c r="E284" s="100">
        <v>2000</v>
      </c>
      <c r="F284" s="97">
        <f t="shared" si="22"/>
        <v>0</v>
      </c>
      <c r="G284" s="165"/>
      <c r="H284" s="110" t="s">
        <v>1014</v>
      </c>
      <c r="I284" s="110" t="str">
        <f>VLOOKUP(H284,Presupuesto!$B$11:$C$565,2,0)</f>
        <v>EQUIPO DE COMPUTACION</v>
      </c>
      <c r="J284" s="98" t="str">
        <f t="shared" si="23"/>
        <v>Desarrollo del Sistema de Educación Superior</v>
      </c>
      <c r="K284" s="98" t="s">
        <v>395</v>
      </c>
      <c r="L284" s="98"/>
    </row>
    <row r="285" spans="3:12" x14ac:dyDescent="0.25">
      <c r="C285" s="109" t="s">
        <v>1482</v>
      </c>
      <c r="D285" s="151"/>
      <c r="E285" s="100">
        <v>1500</v>
      </c>
      <c r="F285" s="97">
        <f t="shared" si="22"/>
        <v>0</v>
      </c>
      <c r="G285" s="165"/>
      <c r="H285" s="110" t="s">
        <v>946</v>
      </c>
      <c r="I285" s="110" t="str">
        <f>VLOOKUP(H285,Presupuesto!$B$11:$C$565,2,0)</f>
        <v>UTILES Y MATERIALES ELECTRICOS</v>
      </c>
      <c r="J285" s="98" t="str">
        <f t="shared" si="23"/>
        <v>Desarrollo del Sistema de Educación Superior</v>
      </c>
      <c r="K285" s="98" t="s">
        <v>395</v>
      </c>
      <c r="L285" s="98"/>
    </row>
    <row r="286" spans="3:12" x14ac:dyDescent="0.25">
      <c r="C286" s="109" t="s">
        <v>80</v>
      </c>
      <c r="D286" s="151"/>
      <c r="E286" s="100">
        <v>1500</v>
      </c>
      <c r="F286" s="97">
        <f t="shared" si="22"/>
        <v>0</v>
      </c>
      <c r="G286" s="165"/>
      <c r="H286" s="110" t="s">
        <v>1014</v>
      </c>
      <c r="I286" s="110" t="str">
        <f>VLOOKUP(H286,Presupuesto!$B$11:$C$565,2,0)</f>
        <v>EQUIPO DE COMPUTACION</v>
      </c>
      <c r="J286" s="98" t="str">
        <f t="shared" si="23"/>
        <v>Desarrollo del Sistema de Educación Superior</v>
      </c>
      <c r="K286" s="98" t="s">
        <v>395</v>
      </c>
      <c r="L286" s="98"/>
    </row>
    <row r="287" spans="3:12" x14ac:dyDescent="0.25">
      <c r="C287" s="109" t="s">
        <v>81</v>
      </c>
      <c r="D287" s="151"/>
      <c r="E287" s="100">
        <v>500</v>
      </c>
      <c r="F287" s="97">
        <f t="shared" si="22"/>
        <v>0</v>
      </c>
      <c r="G287" s="165"/>
      <c r="H287" s="110" t="s">
        <v>955</v>
      </c>
      <c r="I287" s="110" t="str">
        <f>VLOOKUP(H287,Presupuesto!$B$11:$C$565,2,0)</f>
        <v>OTROS RESPUESTOS Y ACCESORIOS MENORES</v>
      </c>
      <c r="J287" s="98" t="str">
        <f t="shared" si="23"/>
        <v>Desarrollo del Sistema de Educación Superior</v>
      </c>
      <c r="K287" s="98" t="s">
        <v>395</v>
      </c>
      <c r="L287" s="98"/>
    </row>
    <row r="288" spans="3:12" ht="15.75" thickBot="1" x14ac:dyDescent="0.3">
      <c r="C288" s="102" t="s">
        <v>82</v>
      </c>
      <c r="D288" s="159"/>
      <c r="E288" s="104">
        <v>20</v>
      </c>
      <c r="F288" s="105">
        <f t="shared" si="22"/>
        <v>0</v>
      </c>
      <c r="G288" s="162"/>
      <c r="H288" s="106" t="s">
        <v>955</v>
      </c>
      <c r="I288" s="106" t="str">
        <f>VLOOKUP(H288,Presupuesto!$B$11:$C$565,2,0)</f>
        <v>OTROS RESPUESTOS Y ACCESORIOS MENORES</v>
      </c>
      <c r="J288" s="106" t="str">
        <f t="shared" si="23"/>
        <v>Desarrollo del Sistema de Educación Superior</v>
      </c>
      <c r="K288" s="124" t="s">
        <v>394</v>
      </c>
      <c r="L288"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5:G288 G45:G58 G68:G81 G91:G104 G114:G127 G137:G150 G160:G173 G183:G196 G206:G219 G229:G242 G252:G265 G17:G35">
      <formula1>$R$2:$S$2</formula1>
    </dataValidation>
    <dataValidation type="list" allowBlank="1" showInputMessage="1" showErrorMessage="1" errorTitle="¡Ingreso Inválido!" error="Seleccione una opción de la lista" promptTitle="Mes Requerido" prompt="Seleccione el mes en el que requiere el recurso." sqref="K275:K288 K45:K58 K68:K81 K91:K104 K114:K127 K137:K150 K160:K173 K183:K196 K206:K219 K229:K242 K252:K265 K17:K35">
      <formula1>$U$2:$AF$2</formula1>
    </dataValidation>
    <dataValidation type="list" allowBlank="1" showInputMessage="1" showErrorMessage="1" sqref="C275:C276 C45:C46 C68:C69 C91:C92 C114:C115 C137:C138 C160:C161 C183:C184 C206:C207 C229:C230 C252:C253 C17:C18">
      <formula1>$CB$2:$CE$2</formula1>
    </dataValidation>
    <dataValidation type="list" allowBlank="1" showInputMessage="1" showErrorMessage="1" errorTitle="¡Ingreso Inválido!" error="Verifique el valor ingresado" promptTitle="Objeto de Gasto" prompt="Ingrese el Objeto de Gasto" sqref="H275:H288 H45:H58 H68:H81 H91:H104 H114:H127 H137:H150 H160:H173 H183:H196 H206:H219 H229:H242 H252:H265 H17:H35">
      <formula1>$A$1:$UI$1</formula1>
    </dataValidation>
    <dataValidation type="list" allowBlank="1" showInputMessage="1" showErrorMessage="1" errorTitle="¡Ingreso Inválido!" error="Seleccione una opción de la lista." promptTitle="Dimensión Estratégica" prompt="Seleccione una opción de la lista." sqref="J276:J288 J46:J58 J69:J81 J92:J104 J115:J127 J138:J150 J161:J173 J184:J196 J207:J219 J230:J242 J253:J265 J18:J35">
      <formula1>$A$2:$P$2</formula1>
    </dataValidation>
    <dataValidation type="list" allowBlank="1" showInputMessage="1" showErrorMessage="1" errorTitle="¡Ingreso Inválido!" error="Seleccione una opción de la lista." promptTitle="Dimensión Estratégica" prompt="Seleccione una opción de la lista." sqref="J275 J45 J68 J91 J114 J137 J160 J183 J206 J229 J252 J17">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51"/>
  <sheetViews>
    <sheetView showGridLines="0" topLeftCell="A4" zoomScale="86" zoomScaleNormal="86" workbookViewId="0">
      <selection activeCell="D124" sqref="D124"/>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251</v>
      </c>
      <c r="B1" s="473" t="s">
        <v>252</v>
      </c>
      <c r="C1" s="470" t="s">
        <v>253</v>
      </c>
      <c r="D1" s="470" t="s">
        <v>496</v>
      </c>
      <c r="E1" s="470" t="s">
        <v>498</v>
      </c>
      <c r="F1" s="470" t="s">
        <v>500</v>
      </c>
      <c r="G1" s="470" t="s">
        <v>502</v>
      </c>
      <c r="H1" s="470" t="s">
        <v>504</v>
      </c>
      <c r="I1" s="470" t="s">
        <v>506</v>
      </c>
      <c r="J1" s="470" t="s">
        <v>254</v>
      </c>
      <c r="K1" s="470" t="s">
        <v>509</v>
      </c>
      <c r="L1" s="470" t="s">
        <v>255</v>
      </c>
      <c r="M1" s="470" t="s">
        <v>511</v>
      </c>
      <c r="N1" s="470" t="s">
        <v>513</v>
      </c>
      <c r="O1" s="470" t="s">
        <v>515</v>
      </c>
      <c r="P1" s="470" t="s">
        <v>256</v>
      </c>
      <c r="Q1" s="470" t="s">
        <v>516</v>
      </c>
      <c r="R1" s="470" t="s">
        <v>519</v>
      </c>
      <c r="S1" s="470" t="s">
        <v>257</v>
      </c>
      <c r="T1" s="470" t="s">
        <v>521</v>
      </c>
      <c r="U1" s="470" t="s">
        <v>258</v>
      </c>
      <c r="V1" s="470" t="s">
        <v>522</v>
      </c>
      <c r="W1" s="470" t="s">
        <v>523</v>
      </c>
      <c r="X1" s="470" t="s">
        <v>527</v>
      </c>
      <c r="Y1" s="470" t="s">
        <v>274</v>
      </c>
      <c r="Z1" s="470" t="s">
        <v>528</v>
      </c>
      <c r="AA1" s="470" t="s">
        <v>530</v>
      </c>
      <c r="AB1" s="470" t="s">
        <v>532</v>
      </c>
      <c r="AC1" s="470" t="s">
        <v>275</v>
      </c>
      <c r="AD1" s="470" t="s">
        <v>534</v>
      </c>
      <c r="AE1" s="470" t="s">
        <v>536</v>
      </c>
      <c r="AF1" s="470" t="s">
        <v>538</v>
      </c>
      <c r="AG1" s="470" t="s">
        <v>540</v>
      </c>
      <c r="AH1" s="470" t="s">
        <v>250</v>
      </c>
      <c r="AI1" s="470" t="s">
        <v>542</v>
      </c>
      <c r="AJ1" s="473" t="s">
        <v>259</v>
      </c>
      <c r="AK1" s="470" t="s">
        <v>544</v>
      </c>
      <c r="AL1" s="470" t="s">
        <v>260</v>
      </c>
      <c r="AM1" s="470" t="s">
        <v>546</v>
      </c>
      <c r="AN1" s="470" t="s">
        <v>548</v>
      </c>
      <c r="AO1" s="470" t="s">
        <v>261</v>
      </c>
      <c r="AP1" s="470" t="s">
        <v>550</v>
      </c>
      <c r="AQ1" s="470" t="s">
        <v>552</v>
      </c>
      <c r="AR1" s="470" t="s">
        <v>262</v>
      </c>
      <c r="AS1" s="470" t="s">
        <v>553</v>
      </c>
      <c r="AT1" s="470" t="s">
        <v>555</v>
      </c>
      <c r="AU1" s="470" t="s">
        <v>556</v>
      </c>
      <c r="AV1" s="470" t="s">
        <v>557</v>
      </c>
      <c r="AW1" s="470" t="s">
        <v>559</v>
      </c>
      <c r="AX1" s="470" t="s">
        <v>561</v>
      </c>
      <c r="AY1" s="470" t="s">
        <v>562</v>
      </c>
      <c r="AZ1" s="470" t="s">
        <v>263</v>
      </c>
      <c r="BA1" s="470" t="s">
        <v>564</v>
      </c>
      <c r="BB1" s="470" t="s">
        <v>566</v>
      </c>
      <c r="BC1" s="470" t="s">
        <v>568</v>
      </c>
      <c r="BD1" s="470" t="s">
        <v>570</v>
      </c>
      <c r="BE1" s="470" t="s">
        <v>572</v>
      </c>
      <c r="BF1" s="470" t="s">
        <v>574</v>
      </c>
      <c r="BG1" s="470" t="s">
        <v>576</v>
      </c>
      <c r="BH1" s="470" t="s">
        <v>578</v>
      </c>
      <c r="BI1" s="470" t="s">
        <v>276</v>
      </c>
      <c r="BJ1" s="470" t="s">
        <v>580</v>
      </c>
      <c r="BK1" s="470" t="s">
        <v>582</v>
      </c>
      <c r="BL1" s="470" t="s">
        <v>584</v>
      </c>
      <c r="BM1" s="470" t="s">
        <v>586</v>
      </c>
      <c r="BN1" s="470" t="s">
        <v>588</v>
      </c>
      <c r="BO1" s="470" t="s">
        <v>590</v>
      </c>
      <c r="BP1" s="470" t="s">
        <v>592</v>
      </c>
      <c r="BQ1" s="470" t="s">
        <v>594</v>
      </c>
      <c r="BR1" s="470" t="s">
        <v>596</v>
      </c>
      <c r="BS1" s="470" t="s">
        <v>598</v>
      </c>
      <c r="BT1" s="473" t="s">
        <v>264</v>
      </c>
      <c r="BU1" s="470" t="s">
        <v>265</v>
      </c>
      <c r="BV1" s="470" t="s">
        <v>600</v>
      </c>
      <c r="BW1" s="470" t="s">
        <v>266</v>
      </c>
      <c r="BX1" s="470" t="s">
        <v>602</v>
      </c>
      <c r="BY1" s="470" t="s">
        <v>604</v>
      </c>
      <c r="BZ1" s="473" t="s">
        <v>267</v>
      </c>
      <c r="CA1" s="470" t="s">
        <v>268</v>
      </c>
      <c r="CB1" s="470" t="s">
        <v>606</v>
      </c>
      <c r="CC1" s="470" t="s">
        <v>269</v>
      </c>
      <c r="CD1" s="470" t="s">
        <v>608</v>
      </c>
      <c r="CE1" s="470" t="s">
        <v>610</v>
      </c>
      <c r="CF1" s="470" t="s">
        <v>612</v>
      </c>
      <c r="CG1" s="473" t="s">
        <v>270</v>
      </c>
      <c r="CH1" s="470" t="s">
        <v>618</v>
      </c>
      <c r="CI1" s="470" t="s">
        <v>620</v>
      </c>
      <c r="CJ1" s="470" t="s">
        <v>271</v>
      </c>
      <c r="CK1" s="470" t="s">
        <v>614</v>
      </c>
      <c r="CL1" s="470" t="s">
        <v>616</v>
      </c>
      <c r="CM1" s="470" t="s">
        <v>272</v>
      </c>
      <c r="CN1" s="470" t="s">
        <v>622</v>
      </c>
      <c r="CO1" s="470" t="s">
        <v>273</v>
      </c>
      <c r="CP1" s="470" t="s">
        <v>623</v>
      </c>
      <c r="CQ1" s="469" t="s">
        <v>277</v>
      </c>
      <c r="CR1" s="473" t="s">
        <v>278</v>
      </c>
      <c r="CS1" s="470" t="s">
        <v>624</v>
      </c>
      <c r="CT1" s="470" t="s">
        <v>625</v>
      </c>
      <c r="CU1" s="470" t="s">
        <v>627</v>
      </c>
      <c r="CV1" s="470" t="s">
        <v>279</v>
      </c>
      <c r="CW1" s="470" t="s">
        <v>629</v>
      </c>
      <c r="CX1" s="470" t="s">
        <v>631</v>
      </c>
      <c r="CY1" s="470" t="s">
        <v>633</v>
      </c>
      <c r="CZ1" s="470" t="s">
        <v>635</v>
      </c>
      <c r="DA1" s="470" t="s">
        <v>637</v>
      </c>
      <c r="DB1" s="470" t="s">
        <v>639</v>
      </c>
      <c r="DC1" s="473" t="s">
        <v>280</v>
      </c>
      <c r="DD1" s="470" t="s">
        <v>281</v>
      </c>
      <c r="DE1" s="470" t="s">
        <v>641</v>
      </c>
      <c r="DF1" s="470" t="s">
        <v>282</v>
      </c>
      <c r="DG1" s="470" t="s">
        <v>643</v>
      </c>
      <c r="DH1" s="470" t="s">
        <v>645</v>
      </c>
      <c r="DI1" s="470" t="s">
        <v>647</v>
      </c>
      <c r="DJ1" s="470" t="s">
        <v>649</v>
      </c>
      <c r="DK1" s="470" t="s">
        <v>651</v>
      </c>
      <c r="DL1" s="470" t="s">
        <v>653</v>
      </c>
      <c r="DM1" s="470" t="s">
        <v>655</v>
      </c>
      <c r="DN1" s="470" t="s">
        <v>283</v>
      </c>
      <c r="DO1" s="470" t="s">
        <v>657</v>
      </c>
      <c r="DP1" s="470" t="s">
        <v>659</v>
      </c>
      <c r="DQ1" s="470" t="s">
        <v>661</v>
      </c>
      <c r="DR1" s="473" t="s">
        <v>284</v>
      </c>
      <c r="DS1" s="470" t="s">
        <v>663</v>
      </c>
      <c r="DT1" s="470" t="s">
        <v>285</v>
      </c>
      <c r="DU1" s="470" t="s">
        <v>665</v>
      </c>
      <c r="DV1" s="470" t="s">
        <v>286</v>
      </c>
      <c r="DW1" s="470" t="s">
        <v>667</v>
      </c>
      <c r="DX1" s="470" t="s">
        <v>669</v>
      </c>
      <c r="DY1" s="470" t="s">
        <v>671</v>
      </c>
      <c r="DZ1" s="470" t="s">
        <v>673</v>
      </c>
      <c r="EA1" s="470" t="s">
        <v>675</v>
      </c>
      <c r="EB1" s="470" t="s">
        <v>677</v>
      </c>
      <c r="EC1" s="470" t="s">
        <v>679</v>
      </c>
      <c r="ED1" s="470" t="s">
        <v>681</v>
      </c>
      <c r="EE1" s="470" t="s">
        <v>683</v>
      </c>
      <c r="EF1" s="470" t="s">
        <v>685</v>
      </c>
      <c r="EG1" s="470" t="s">
        <v>687</v>
      </c>
      <c r="EH1" s="473" t="s">
        <v>287</v>
      </c>
      <c r="EI1" s="470" t="s">
        <v>689</v>
      </c>
      <c r="EJ1" s="470" t="s">
        <v>288</v>
      </c>
      <c r="EK1" s="470" t="s">
        <v>691</v>
      </c>
      <c r="EL1" s="470" t="s">
        <v>693</v>
      </c>
      <c r="EM1" s="470" t="s">
        <v>289</v>
      </c>
      <c r="EN1" s="470" t="s">
        <v>695</v>
      </c>
      <c r="EO1" s="470" t="s">
        <v>697</v>
      </c>
      <c r="EP1" s="470" t="s">
        <v>290</v>
      </c>
      <c r="EQ1" s="470" t="s">
        <v>699</v>
      </c>
      <c r="ER1" s="470" t="s">
        <v>701</v>
      </c>
      <c r="ES1" s="470" t="s">
        <v>703</v>
      </c>
      <c r="ET1" s="470" t="s">
        <v>291</v>
      </c>
      <c r="EU1" s="470" t="s">
        <v>705</v>
      </c>
      <c r="EV1" s="470" t="s">
        <v>707</v>
      </c>
      <c r="EW1" s="473" t="s">
        <v>292</v>
      </c>
      <c r="EX1" s="470" t="s">
        <v>293</v>
      </c>
      <c r="EY1" s="470" t="s">
        <v>709</v>
      </c>
      <c r="EZ1" s="470" t="s">
        <v>711</v>
      </c>
      <c r="FA1" s="470" t="s">
        <v>713</v>
      </c>
      <c r="FB1" s="470" t="s">
        <v>715</v>
      </c>
      <c r="FC1" s="470" t="s">
        <v>294</v>
      </c>
      <c r="FD1" s="470" t="s">
        <v>717</v>
      </c>
      <c r="FE1" s="470" t="s">
        <v>719</v>
      </c>
      <c r="FF1" s="470" t="s">
        <v>721</v>
      </c>
      <c r="FG1" s="470" t="s">
        <v>723</v>
      </c>
      <c r="FH1" s="470" t="s">
        <v>725</v>
      </c>
      <c r="FI1" s="470" t="s">
        <v>295</v>
      </c>
      <c r="FJ1" s="470" t="s">
        <v>728</v>
      </c>
      <c r="FK1" s="470" t="s">
        <v>296</v>
      </c>
      <c r="FL1" s="470" t="s">
        <v>731</v>
      </c>
      <c r="FM1" s="470" t="s">
        <v>732</v>
      </c>
      <c r="FN1" s="470" t="s">
        <v>734</v>
      </c>
      <c r="FO1" s="470" t="s">
        <v>297</v>
      </c>
      <c r="FP1" s="470" t="s">
        <v>737</v>
      </c>
      <c r="FQ1" s="470" t="s">
        <v>738</v>
      </c>
      <c r="FR1" s="470" t="s">
        <v>740</v>
      </c>
      <c r="FS1" s="470" t="s">
        <v>298</v>
      </c>
      <c r="FT1" s="470" t="s">
        <v>743</v>
      </c>
      <c r="FU1" s="470" t="s">
        <v>745</v>
      </c>
      <c r="FV1" s="470" t="s">
        <v>747</v>
      </c>
      <c r="FW1" s="473" t="s">
        <v>299</v>
      </c>
      <c r="FX1" s="473" t="s">
        <v>300</v>
      </c>
      <c r="FY1" s="470" t="s">
        <v>306</v>
      </c>
      <c r="FZ1" s="470" t="s">
        <v>749</v>
      </c>
      <c r="GA1" s="470" t="s">
        <v>751</v>
      </c>
      <c r="GB1" s="470" t="s">
        <v>753</v>
      </c>
      <c r="GC1" s="470" t="s">
        <v>755</v>
      </c>
      <c r="GD1" s="470" t="s">
        <v>757</v>
      </c>
      <c r="GE1" s="470" t="s">
        <v>759</v>
      </c>
      <c r="GF1" s="473" t="s">
        <v>301</v>
      </c>
      <c r="GG1" s="470" t="s">
        <v>307</v>
      </c>
      <c r="GH1" s="470" t="s">
        <v>761</v>
      </c>
      <c r="GI1" s="470" t="s">
        <v>763</v>
      </c>
      <c r="GJ1" s="470" t="s">
        <v>764</v>
      </c>
      <c r="GK1" s="470" t="s">
        <v>308</v>
      </c>
      <c r="GL1" s="470" t="s">
        <v>767</v>
      </c>
      <c r="GM1" s="470" t="s">
        <v>768</v>
      </c>
      <c r="GN1" s="473" t="s">
        <v>302</v>
      </c>
      <c r="GO1" s="470" t="s">
        <v>303</v>
      </c>
      <c r="GP1" s="470" t="s">
        <v>770</v>
      </c>
      <c r="GQ1" s="470" t="s">
        <v>772</v>
      </c>
      <c r="GR1" s="470" t="s">
        <v>774</v>
      </c>
      <c r="GS1" s="470" t="s">
        <v>776</v>
      </c>
      <c r="GT1" s="470" t="s">
        <v>778</v>
      </c>
      <c r="GU1" s="473" t="s">
        <v>304</v>
      </c>
      <c r="GV1" s="470" t="s">
        <v>305</v>
      </c>
      <c r="GW1" s="470" t="s">
        <v>780</v>
      </c>
      <c r="GX1" s="470" t="s">
        <v>782</v>
      </c>
      <c r="GY1" s="470" t="s">
        <v>784</v>
      </c>
      <c r="GZ1" s="470" t="s">
        <v>786</v>
      </c>
      <c r="HA1" s="470" t="s">
        <v>788</v>
      </c>
      <c r="HB1" s="470" t="s">
        <v>790</v>
      </c>
      <c r="HC1" s="469" t="s">
        <v>309</v>
      </c>
      <c r="HD1" s="473" t="s">
        <v>310</v>
      </c>
      <c r="HE1" s="470" t="s">
        <v>311</v>
      </c>
      <c r="HF1" s="470" t="s">
        <v>792</v>
      </c>
      <c r="HG1" s="470" t="s">
        <v>794</v>
      </c>
      <c r="HH1" s="470" t="s">
        <v>796</v>
      </c>
      <c r="HI1" s="470" t="s">
        <v>798</v>
      </c>
      <c r="HJ1" s="470" t="s">
        <v>312</v>
      </c>
      <c r="HK1" s="470" t="s">
        <v>801</v>
      </c>
      <c r="HL1" s="470" t="s">
        <v>329</v>
      </c>
      <c r="HM1" s="470" t="s">
        <v>839</v>
      </c>
      <c r="HN1" s="470" t="s">
        <v>841</v>
      </c>
      <c r="HO1" s="470" t="s">
        <v>843</v>
      </c>
      <c r="HP1" s="473" t="s">
        <v>313</v>
      </c>
      <c r="HQ1" s="470" t="s">
        <v>803</v>
      </c>
      <c r="HR1" s="470" t="s">
        <v>805</v>
      </c>
      <c r="HS1" s="470" t="s">
        <v>314</v>
      </c>
      <c r="HT1" s="470" t="s">
        <v>808</v>
      </c>
      <c r="HU1" s="470" t="s">
        <v>810</v>
      </c>
      <c r="HV1" s="470" t="s">
        <v>811</v>
      </c>
      <c r="HW1" s="470" t="s">
        <v>813</v>
      </c>
      <c r="HX1" s="473" t="s">
        <v>315</v>
      </c>
      <c r="HY1" s="470" t="s">
        <v>815</v>
      </c>
      <c r="HZ1" s="470" t="s">
        <v>817</v>
      </c>
      <c r="IA1" s="470" t="s">
        <v>819</v>
      </c>
      <c r="IB1" s="470" t="s">
        <v>316</v>
      </c>
      <c r="IC1" s="470" t="s">
        <v>821</v>
      </c>
      <c r="ID1" s="470" t="s">
        <v>823</v>
      </c>
      <c r="IE1" s="470" t="s">
        <v>317</v>
      </c>
      <c r="IF1" s="470" t="s">
        <v>825</v>
      </c>
      <c r="IG1" s="470" t="s">
        <v>827</v>
      </c>
      <c r="IH1" s="470" t="s">
        <v>318</v>
      </c>
      <c r="II1" s="470" t="s">
        <v>829</v>
      </c>
      <c r="IJ1" s="470" t="s">
        <v>831</v>
      </c>
      <c r="IK1" s="470" t="s">
        <v>833</v>
      </c>
      <c r="IL1" s="470" t="s">
        <v>835</v>
      </c>
      <c r="IM1" s="470" t="s">
        <v>319</v>
      </c>
      <c r="IN1" s="470" t="s">
        <v>837</v>
      </c>
      <c r="IO1" s="473" t="s">
        <v>320</v>
      </c>
      <c r="IP1" s="470" t="s">
        <v>845</v>
      </c>
      <c r="IQ1" s="470" t="s">
        <v>847</v>
      </c>
      <c r="IR1" s="470" t="s">
        <v>321</v>
      </c>
      <c r="IS1" s="470" t="s">
        <v>849</v>
      </c>
      <c r="IT1" s="470" t="s">
        <v>851</v>
      </c>
      <c r="IU1" s="470" t="s">
        <v>853</v>
      </c>
      <c r="IV1" s="473" t="s">
        <v>322</v>
      </c>
      <c r="IW1" s="470" t="s">
        <v>855</v>
      </c>
      <c r="IX1" s="470" t="s">
        <v>323</v>
      </c>
      <c r="IY1" s="470" t="s">
        <v>858</v>
      </c>
      <c r="IZ1" s="470" t="s">
        <v>860</v>
      </c>
      <c r="JA1" s="470" t="s">
        <v>862</v>
      </c>
      <c r="JB1" s="470" t="s">
        <v>864</v>
      </c>
      <c r="JC1" s="470" t="s">
        <v>866</v>
      </c>
      <c r="JD1" s="470" t="s">
        <v>868</v>
      </c>
      <c r="JE1" s="470" t="s">
        <v>324</v>
      </c>
      <c r="JF1" s="470" t="s">
        <v>871</v>
      </c>
      <c r="JG1" s="470" t="s">
        <v>873</v>
      </c>
      <c r="JH1" s="470" t="s">
        <v>875</v>
      </c>
      <c r="JI1" s="470" t="s">
        <v>877</v>
      </c>
      <c r="JJ1" s="470" t="s">
        <v>879</v>
      </c>
      <c r="JK1" s="470" t="s">
        <v>881</v>
      </c>
      <c r="JL1" s="470" t="s">
        <v>883</v>
      </c>
      <c r="JM1" s="470" t="s">
        <v>885</v>
      </c>
      <c r="JN1" s="470" t="s">
        <v>325</v>
      </c>
      <c r="JO1" s="470" t="s">
        <v>888</v>
      </c>
      <c r="JP1" s="470" t="s">
        <v>890</v>
      </c>
      <c r="JQ1" s="470" t="s">
        <v>892</v>
      </c>
      <c r="JR1" s="470" t="s">
        <v>894</v>
      </c>
      <c r="JS1" s="470" t="s">
        <v>895</v>
      </c>
      <c r="JT1" s="470" t="s">
        <v>897</v>
      </c>
      <c r="JU1" s="470" t="s">
        <v>899</v>
      </c>
      <c r="JV1" s="470" t="s">
        <v>901</v>
      </c>
      <c r="JW1" s="470" t="s">
        <v>903</v>
      </c>
      <c r="JX1" s="470" t="s">
        <v>905</v>
      </c>
      <c r="JY1" s="470" t="s">
        <v>907</v>
      </c>
      <c r="JZ1" s="470" t="s">
        <v>909</v>
      </c>
      <c r="KA1" s="470" t="s">
        <v>911</v>
      </c>
      <c r="KB1" s="470" t="s">
        <v>913</v>
      </c>
      <c r="KC1" s="470" t="s">
        <v>915</v>
      </c>
      <c r="KD1" s="470" t="s">
        <v>917</v>
      </c>
      <c r="KE1" s="470" t="s">
        <v>919</v>
      </c>
      <c r="KF1" s="470" t="s">
        <v>921</v>
      </c>
      <c r="KG1" s="470" t="s">
        <v>923</v>
      </c>
      <c r="KH1" s="470" t="s">
        <v>925</v>
      </c>
      <c r="KI1" s="470" t="s">
        <v>927</v>
      </c>
      <c r="KJ1" s="470" t="s">
        <v>929</v>
      </c>
      <c r="KK1" s="470" t="s">
        <v>931</v>
      </c>
      <c r="KL1" s="470" t="s">
        <v>933</v>
      </c>
      <c r="KM1" s="470" t="s">
        <v>935</v>
      </c>
      <c r="KN1" s="470" t="s">
        <v>937</v>
      </c>
      <c r="KO1" s="473" t="s">
        <v>326</v>
      </c>
      <c r="KP1" s="470" t="s">
        <v>939</v>
      </c>
      <c r="KQ1" s="470" t="s">
        <v>327</v>
      </c>
      <c r="KR1" s="470" t="s">
        <v>942</v>
      </c>
      <c r="KS1" s="470" t="s">
        <v>944</v>
      </c>
      <c r="KT1" s="470" t="s">
        <v>946</v>
      </c>
      <c r="KU1" s="470" t="s">
        <v>948</v>
      </c>
      <c r="KV1" s="470" t="s">
        <v>328</v>
      </c>
      <c r="KW1" s="470" t="s">
        <v>951</v>
      </c>
      <c r="KX1" s="470" t="s">
        <v>953</v>
      </c>
      <c r="KY1" s="470" t="s">
        <v>955</v>
      </c>
      <c r="KZ1" s="470" t="s">
        <v>957</v>
      </c>
      <c r="LA1" s="470" t="s">
        <v>959</v>
      </c>
      <c r="LB1" s="470" t="s">
        <v>961</v>
      </c>
      <c r="LC1" s="470" t="s">
        <v>963</v>
      </c>
      <c r="LD1" s="469" t="s">
        <v>330</v>
      </c>
      <c r="LE1" s="473" t="s">
        <v>331</v>
      </c>
      <c r="LF1" s="470" t="s">
        <v>332</v>
      </c>
      <c r="LG1" s="470" t="s">
        <v>346</v>
      </c>
      <c r="LH1" s="470" t="s">
        <v>965</v>
      </c>
      <c r="LI1" s="470" t="s">
        <v>967</v>
      </c>
      <c r="LJ1" s="470" t="s">
        <v>969</v>
      </c>
      <c r="LK1" s="470" t="s">
        <v>971</v>
      </c>
      <c r="LL1" s="470" t="s">
        <v>347</v>
      </c>
      <c r="LM1" s="470" t="s">
        <v>973</v>
      </c>
      <c r="LN1" s="470" t="s">
        <v>348</v>
      </c>
      <c r="LO1" s="470" t="s">
        <v>975</v>
      </c>
      <c r="LP1" s="470" t="s">
        <v>333</v>
      </c>
      <c r="LQ1" s="470" t="s">
        <v>977</v>
      </c>
      <c r="LR1" s="470" t="s">
        <v>349</v>
      </c>
      <c r="LS1" s="470" t="s">
        <v>979</v>
      </c>
      <c r="LT1" s="470" t="s">
        <v>981</v>
      </c>
      <c r="LU1" s="470" t="s">
        <v>350</v>
      </c>
      <c r="LV1" s="473" t="s">
        <v>334</v>
      </c>
      <c r="LW1" s="470" t="s">
        <v>335</v>
      </c>
      <c r="LX1" s="470" t="s">
        <v>983</v>
      </c>
      <c r="LY1" s="470" t="s">
        <v>985</v>
      </c>
      <c r="LZ1" s="470" t="s">
        <v>986</v>
      </c>
      <c r="MA1" s="470" t="s">
        <v>988</v>
      </c>
      <c r="MB1" s="470" t="s">
        <v>989</v>
      </c>
      <c r="MC1" s="470" t="s">
        <v>991</v>
      </c>
      <c r="MD1" s="470" t="s">
        <v>993</v>
      </c>
      <c r="ME1" s="470" t="s">
        <v>995</v>
      </c>
      <c r="MF1" s="470" t="s">
        <v>997</v>
      </c>
      <c r="MG1" s="470" t="s">
        <v>336</v>
      </c>
      <c r="MH1" s="470" t="s">
        <v>1000</v>
      </c>
      <c r="MI1" s="470" t="s">
        <v>1001</v>
      </c>
      <c r="MJ1" s="470" t="s">
        <v>1003</v>
      </c>
      <c r="MK1" s="470" t="s">
        <v>337</v>
      </c>
      <c r="ML1" s="470" t="s">
        <v>1006</v>
      </c>
      <c r="MM1" s="470" t="s">
        <v>1007</v>
      </c>
      <c r="MN1" s="470" t="s">
        <v>1009</v>
      </c>
      <c r="MO1" s="470" t="s">
        <v>1011</v>
      </c>
      <c r="MP1" s="470" t="s">
        <v>338</v>
      </c>
      <c r="MQ1" s="470" t="s">
        <v>1014</v>
      </c>
      <c r="MR1" s="470" t="s">
        <v>1016</v>
      </c>
      <c r="MS1" s="470" t="s">
        <v>1018</v>
      </c>
      <c r="MT1" s="470" t="s">
        <v>1020</v>
      </c>
      <c r="MU1" s="470" t="s">
        <v>339</v>
      </c>
      <c r="MV1" s="470" t="s">
        <v>1023</v>
      </c>
      <c r="MW1" s="470" t="s">
        <v>1025</v>
      </c>
      <c r="MX1" s="470" t="s">
        <v>1027</v>
      </c>
      <c r="MY1" s="470" t="s">
        <v>1029</v>
      </c>
      <c r="MZ1" s="470" t="s">
        <v>1031</v>
      </c>
      <c r="NA1" s="470" t="s">
        <v>1033</v>
      </c>
      <c r="NB1" s="470" t="s">
        <v>1035</v>
      </c>
      <c r="NC1" s="470" t="s">
        <v>1037</v>
      </c>
      <c r="ND1" s="470" t="s">
        <v>1039</v>
      </c>
      <c r="NE1" s="470" t="s">
        <v>1041</v>
      </c>
      <c r="NF1" s="470" t="s">
        <v>1043</v>
      </c>
      <c r="NG1" s="470" t="s">
        <v>1044</v>
      </c>
      <c r="NH1" s="473" t="s">
        <v>340</v>
      </c>
      <c r="NI1" s="470" t="s">
        <v>341</v>
      </c>
      <c r="NJ1" s="470" t="s">
        <v>1046</v>
      </c>
      <c r="NK1" s="470" t="s">
        <v>1048</v>
      </c>
      <c r="NL1" s="470" t="s">
        <v>1050</v>
      </c>
      <c r="NM1" s="470" t="s">
        <v>1052</v>
      </c>
      <c r="NN1" s="473" t="s">
        <v>342</v>
      </c>
      <c r="NO1" s="470" t="s">
        <v>343</v>
      </c>
      <c r="NP1" s="470" t="s">
        <v>1053</v>
      </c>
      <c r="NQ1" s="470" t="s">
        <v>344</v>
      </c>
      <c r="NR1" s="470" t="s">
        <v>1055</v>
      </c>
      <c r="NS1" s="470" t="s">
        <v>1057</v>
      </c>
      <c r="NT1" s="470" t="s">
        <v>345</v>
      </c>
      <c r="NU1" s="470" t="s">
        <v>1059</v>
      </c>
      <c r="NV1" s="469" t="s">
        <v>351</v>
      </c>
      <c r="NW1" s="473" t="s">
        <v>352</v>
      </c>
      <c r="NX1" s="470" t="s">
        <v>353</v>
      </c>
      <c r="NY1" s="470" t="s">
        <v>1062</v>
      </c>
      <c r="NZ1" s="470" t="s">
        <v>1064</v>
      </c>
      <c r="OA1" s="470" t="s">
        <v>354</v>
      </c>
      <c r="OB1" s="470" t="s">
        <v>364</v>
      </c>
      <c r="OC1" s="470" t="s">
        <v>1066</v>
      </c>
      <c r="OD1" s="470" t="s">
        <v>1068</v>
      </c>
      <c r="OE1" s="470" t="s">
        <v>1070</v>
      </c>
      <c r="OF1" s="470" t="s">
        <v>1072</v>
      </c>
      <c r="OG1" s="470" t="s">
        <v>1074</v>
      </c>
      <c r="OH1" s="470" t="s">
        <v>1076</v>
      </c>
      <c r="OI1" s="470" t="s">
        <v>1078</v>
      </c>
      <c r="OJ1" s="470" t="s">
        <v>1080</v>
      </c>
      <c r="OK1" s="470" t="s">
        <v>1082</v>
      </c>
      <c r="OL1" s="470" t="s">
        <v>1084</v>
      </c>
      <c r="OM1" s="470" t="s">
        <v>1086</v>
      </c>
      <c r="ON1" s="470" t="s">
        <v>1088</v>
      </c>
      <c r="OO1" s="470" t="s">
        <v>1090</v>
      </c>
      <c r="OP1" s="470" t="s">
        <v>1092</v>
      </c>
      <c r="OQ1" s="470" t="s">
        <v>1094</v>
      </c>
      <c r="OR1" s="470" t="s">
        <v>1096</v>
      </c>
      <c r="OS1" s="470" t="s">
        <v>1098</v>
      </c>
      <c r="OT1" s="470" t="s">
        <v>1100</v>
      </c>
      <c r="OU1" s="470" t="s">
        <v>1102</v>
      </c>
      <c r="OV1" s="470" t="s">
        <v>1104</v>
      </c>
      <c r="OW1" s="470" t="s">
        <v>1106</v>
      </c>
      <c r="OX1" s="470" t="s">
        <v>1108</v>
      </c>
      <c r="OY1" s="470" t="s">
        <v>365</v>
      </c>
      <c r="OZ1" s="470" t="s">
        <v>1111</v>
      </c>
      <c r="PA1" s="470" t="s">
        <v>1113</v>
      </c>
      <c r="PB1" s="470" t="s">
        <v>1114</v>
      </c>
      <c r="PC1" s="470" t="s">
        <v>1116</v>
      </c>
      <c r="PD1" s="470" t="s">
        <v>1118</v>
      </c>
      <c r="PE1" s="470" t="s">
        <v>1120</v>
      </c>
      <c r="PF1" s="470" t="s">
        <v>1122</v>
      </c>
      <c r="PG1" s="470" t="s">
        <v>1124</v>
      </c>
      <c r="PH1" s="470" t="s">
        <v>1126</v>
      </c>
      <c r="PI1" s="470" t="s">
        <v>1128</v>
      </c>
      <c r="PJ1" s="470" t="s">
        <v>1130</v>
      </c>
      <c r="PK1" s="470" t="s">
        <v>1132</v>
      </c>
      <c r="PL1" s="470" t="s">
        <v>1134</v>
      </c>
      <c r="PM1" s="470" t="s">
        <v>1136</v>
      </c>
      <c r="PN1" s="470" t="s">
        <v>1138</v>
      </c>
      <c r="PO1" s="470" t="s">
        <v>1140</v>
      </c>
      <c r="PP1" s="470" t="s">
        <v>1142</v>
      </c>
      <c r="PQ1" s="470" t="s">
        <v>1144</v>
      </c>
      <c r="PR1" s="470" t="s">
        <v>1146</v>
      </c>
      <c r="PS1" s="470" t="s">
        <v>1148</v>
      </c>
      <c r="PT1" s="470" t="s">
        <v>1150</v>
      </c>
      <c r="PU1" s="470" t="s">
        <v>1152</v>
      </c>
      <c r="PV1" s="470" t="s">
        <v>1154</v>
      </c>
      <c r="PW1" s="470" t="s">
        <v>1156</v>
      </c>
      <c r="PX1" s="470" t="s">
        <v>1158</v>
      </c>
      <c r="PY1" s="470" t="s">
        <v>1160</v>
      </c>
      <c r="PZ1" s="470" t="s">
        <v>355</v>
      </c>
      <c r="QA1" s="470" t="s">
        <v>1162</v>
      </c>
      <c r="QB1" s="470" t="s">
        <v>1164</v>
      </c>
      <c r="QC1" s="470" t="s">
        <v>1166</v>
      </c>
      <c r="QD1" s="470" t="s">
        <v>1168</v>
      </c>
      <c r="QE1" s="470" t="s">
        <v>1170</v>
      </c>
      <c r="QF1" s="473" t="s">
        <v>356</v>
      </c>
      <c r="QG1" s="470" t="s">
        <v>357</v>
      </c>
      <c r="QH1" s="470" t="s">
        <v>1172</v>
      </c>
      <c r="QI1" s="470" t="s">
        <v>1174</v>
      </c>
      <c r="QJ1" s="470" t="s">
        <v>1176</v>
      </c>
      <c r="QK1" s="470" t="s">
        <v>1178</v>
      </c>
      <c r="QL1" s="470" t="s">
        <v>1180</v>
      </c>
      <c r="QM1" s="470" t="s">
        <v>1182</v>
      </c>
      <c r="QN1" s="473" t="s">
        <v>358</v>
      </c>
      <c r="QO1" s="470" t="s">
        <v>1184</v>
      </c>
      <c r="QP1" s="470" t="s">
        <v>359</v>
      </c>
      <c r="QQ1" s="470" t="s">
        <v>366</v>
      </c>
      <c r="QR1" s="470" t="s">
        <v>1186</v>
      </c>
      <c r="QS1" s="470" t="s">
        <v>1188</v>
      </c>
      <c r="QT1" s="470" t="s">
        <v>1190</v>
      </c>
      <c r="QU1" s="470" t="s">
        <v>1192</v>
      </c>
      <c r="QV1" s="470" t="s">
        <v>1194</v>
      </c>
      <c r="QW1" s="470" t="s">
        <v>1196</v>
      </c>
      <c r="QX1" s="470" t="s">
        <v>1198</v>
      </c>
      <c r="QY1" s="470" t="s">
        <v>1200</v>
      </c>
      <c r="QZ1" s="470" t="s">
        <v>1202</v>
      </c>
      <c r="RA1" s="470" t="s">
        <v>1204</v>
      </c>
      <c r="RB1" s="470" t="s">
        <v>1206</v>
      </c>
      <c r="RC1" s="470" t="s">
        <v>1208</v>
      </c>
      <c r="RD1" s="470" t="s">
        <v>1210</v>
      </c>
      <c r="RE1" s="470" t="s">
        <v>1212</v>
      </c>
      <c r="RF1" s="473" t="s">
        <v>360</v>
      </c>
      <c r="RG1" s="470" t="s">
        <v>361</v>
      </c>
      <c r="RH1" s="470" t="s">
        <v>1214</v>
      </c>
      <c r="RI1" s="470" t="s">
        <v>1216</v>
      </c>
      <c r="RJ1" s="473" t="s">
        <v>362</v>
      </c>
      <c r="RK1" s="470" t="s">
        <v>363</v>
      </c>
      <c r="RL1" s="470" t="s">
        <v>1218</v>
      </c>
      <c r="RM1" s="470" t="s">
        <v>1219</v>
      </c>
      <c r="RN1" s="470" t="s">
        <v>1220</v>
      </c>
      <c r="RO1" s="470" t="s">
        <v>1221</v>
      </c>
      <c r="RP1" s="470" t="s">
        <v>1223</v>
      </c>
      <c r="RQ1" s="470" t="s">
        <v>1224</v>
      </c>
      <c r="RR1" s="470" t="s">
        <v>1226</v>
      </c>
      <c r="RS1" s="470" t="s">
        <v>1227</v>
      </c>
      <c r="RT1" s="469" t="s">
        <v>367</v>
      </c>
      <c r="RU1" s="473" t="s">
        <v>368</v>
      </c>
      <c r="RV1" s="470" t="s">
        <v>369</v>
      </c>
      <c r="RW1" s="470" t="s">
        <v>1229</v>
      </c>
      <c r="RX1" s="470" t="s">
        <v>1231</v>
      </c>
      <c r="RY1" s="470" t="s">
        <v>370</v>
      </c>
      <c r="RZ1" s="470" t="s">
        <v>1233</v>
      </c>
      <c r="SA1" s="470" t="s">
        <v>1235</v>
      </c>
      <c r="SB1" s="470" t="s">
        <v>1237</v>
      </c>
      <c r="SC1" s="470" t="s">
        <v>1239</v>
      </c>
      <c r="SD1" s="473" t="s">
        <v>371</v>
      </c>
      <c r="SE1" s="470" t="s">
        <v>372</v>
      </c>
      <c r="SF1" s="470" t="s">
        <v>1241</v>
      </c>
      <c r="SG1" s="470" t="s">
        <v>1243</v>
      </c>
      <c r="SH1" s="470" t="s">
        <v>1245</v>
      </c>
      <c r="SI1" s="470" t="s">
        <v>1247</v>
      </c>
      <c r="SJ1" s="470" t="s">
        <v>1249</v>
      </c>
      <c r="SK1" s="470" t="s">
        <v>1251</v>
      </c>
      <c r="SL1" s="470" t="s">
        <v>1253</v>
      </c>
      <c r="SM1" s="470" t="s">
        <v>1255</v>
      </c>
      <c r="SN1" s="470" t="s">
        <v>1257</v>
      </c>
      <c r="SO1" s="470" t="s">
        <v>1259</v>
      </c>
      <c r="SP1" s="470" t="s">
        <v>1261</v>
      </c>
      <c r="SQ1" s="470" t="s">
        <v>1263</v>
      </c>
      <c r="SR1" s="470" t="s">
        <v>1265</v>
      </c>
      <c r="SS1" s="470" t="s">
        <v>1267</v>
      </c>
      <c r="ST1" s="470" t="s">
        <v>1269</v>
      </c>
      <c r="SU1" s="469" t="s">
        <v>373</v>
      </c>
      <c r="SV1" s="473" t="s">
        <v>374</v>
      </c>
      <c r="SW1" s="470" t="s">
        <v>375</v>
      </c>
      <c r="SX1" s="470" t="s">
        <v>1271</v>
      </c>
      <c r="SY1" s="470" t="s">
        <v>1273</v>
      </c>
      <c r="SZ1" s="470" t="s">
        <v>1275</v>
      </c>
      <c r="TA1" s="470" t="s">
        <v>1277</v>
      </c>
      <c r="TB1" s="470" t="s">
        <v>1279</v>
      </c>
      <c r="TC1" s="470" t="s">
        <v>376</v>
      </c>
      <c r="TD1" s="470" t="s">
        <v>1281</v>
      </c>
      <c r="TE1" s="470" t="s">
        <v>1283</v>
      </c>
      <c r="TF1" s="470" t="s">
        <v>1285</v>
      </c>
      <c r="TG1" s="470" t="s">
        <v>1287</v>
      </c>
      <c r="TH1" s="470" t="s">
        <v>1289</v>
      </c>
      <c r="TI1" s="470" t="s">
        <v>1291</v>
      </c>
      <c r="TJ1" s="473" t="s">
        <v>377</v>
      </c>
      <c r="TK1" s="470" t="s">
        <v>378</v>
      </c>
      <c r="TL1" s="470" t="s">
        <v>379</v>
      </c>
      <c r="TM1" s="470" t="s">
        <v>1293</v>
      </c>
      <c r="TN1" s="470" t="s">
        <v>1295</v>
      </c>
      <c r="TO1" s="470" t="s">
        <v>1296</v>
      </c>
      <c r="TP1" s="470" t="s">
        <v>1298</v>
      </c>
      <c r="TQ1" s="470" t="s">
        <v>1300</v>
      </c>
      <c r="TR1" s="470" t="s">
        <v>1302</v>
      </c>
      <c r="TS1" s="470" t="s">
        <v>1304</v>
      </c>
      <c r="TT1" s="470" t="s">
        <v>1306</v>
      </c>
      <c r="TU1" s="470" t="s">
        <v>1308</v>
      </c>
      <c r="TV1" s="470" t="s">
        <v>1310</v>
      </c>
      <c r="TW1" s="470" t="s">
        <v>1312</v>
      </c>
      <c r="TX1" s="470" t="s">
        <v>1314</v>
      </c>
      <c r="TY1" s="470" t="s">
        <v>1316</v>
      </c>
      <c r="TZ1" s="470" t="s">
        <v>1318</v>
      </c>
      <c r="UA1" s="470" t="s">
        <v>1320</v>
      </c>
      <c r="UB1" s="470" t="s">
        <v>1322</v>
      </c>
      <c r="UC1" s="469" t="s">
        <v>1324</v>
      </c>
      <c r="UD1" s="470" t="s">
        <v>1326</v>
      </c>
      <c r="UE1" s="470" t="s">
        <v>1328</v>
      </c>
      <c r="UF1" s="470" t="s">
        <v>1330</v>
      </c>
      <c r="UG1" s="470" t="s">
        <v>1332</v>
      </c>
      <c r="UH1" s="470" t="s">
        <v>1334</v>
      </c>
      <c r="UI1" s="471"/>
    </row>
    <row r="2" spans="1:555" s="122" customFormat="1" hidden="1" x14ac:dyDescent="0.25">
      <c r="A2" s="467" t="s">
        <v>1357</v>
      </c>
      <c r="B2" s="467" t="s">
        <v>1359</v>
      </c>
      <c r="C2" s="467" t="s">
        <v>471</v>
      </c>
      <c r="D2" s="467" t="s">
        <v>1358</v>
      </c>
      <c r="E2" s="467" t="s">
        <v>1360</v>
      </c>
      <c r="F2" s="467" t="s">
        <v>472</v>
      </c>
      <c r="G2" s="468" t="s">
        <v>1361</v>
      </c>
      <c r="H2" s="467" t="s">
        <v>1362</v>
      </c>
      <c r="I2" s="467" t="s">
        <v>1363</v>
      </c>
      <c r="J2" s="467" t="s">
        <v>1454</v>
      </c>
      <c r="K2" s="467" t="s">
        <v>1364</v>
      </c>
      <c r="L2" s="467" t="s">
        <v>1365</v>
      </c>
      <c r="M2" s="467" t="s">
        <v>1366</v>
      </c>
      <c r="N2" s="467" t="s">
        <v>1367</v>
      </c>
      <c r="O2" s="467" t="s">
        <v>1368</v>
      </c>
      <c r="P2" s="467" t="s">
        <v>1479</v>
      </c>
      <c r="Q2" s="467" t="s">
        <v>1517</v>
      </c>
      <c r="R2" s="462" t="str">
        <f>+Presupuesto!D11</f>
        <v>Recurrente</v>
      </c>
      <c r="S2" s="462" t="str">
        <f>+Presupuesto!E11</f>
        <v>Programa / Proyecto 2016</v>
      </c>
      <c r="T2" s="467"/>
      <c r="U2" s="467" t="s">
        <v>394</v>
      </c>
      <c r="V2" s="467" t="s">
        <v>412</v>
      </c>
      <c r="W2" s="467" t="s">
        <v>395</v>
      </c>
      <c r="X2" s="467" t="s">
        <v>396</v>
      </c>
      <c r="Y2" s="467" t="s">
        <v>397</v>
      </c>
      <c r="Z2" s="467" t="s">
        <v>398</v>
      </c>
      <c r="AA2" s="467" t="s">
        <v>399</v>
      </c>
      <c r="AB2" s="467" t="s">
        <v>400</v>
      </c>
      <c r="AC2" s="467" t="s">
        <v>401</v>
      </c>
      <c r="AD2" s="467" t="s">
        <v>402</v>
      </c>
      <c r="AE2" s="467" t="s">
        <v>403</v>
      </c>
      <c r="AF2" s="467" t="s">
        <v>404</v>
      </c>
      <c r="AG2" s="467"/>
      <c r="AH2" s="467" t="s">
        <v>420</v>
      </c>
      <c r="AI2" s="467" t="s">
        <v>421</v>
      </c>
      <c r="AJ2" s="467" t="s">
        <v>422</v>
      </c>
      <c r="AK2" s="467" t="s">
        <v>423</v>
      </c>
      <c r="AL2" s="467" t="s">
        <v>424</v>
      </c>
      <c r="AM2" s="467" t="s">
        <v>427</v>
      </c>
      <c r="AN2" s="467" t="s">
        <v>425</v>
      </c>
      <c r="AO2" s="467" t="s">
        <v>426</v>
      </c>
      <c r="AP2" s="467" t="s">
        <v>428</v>
      </c>
      <c r="AQ2" s="467" t="s">
        <v>429</v>
      </c>
      <c r="AR2" s="467" t="s">
        <v>430</v>
      </c>
      <c r="AS2" s="467" t="s">
        <v>431</v>
      </c>
      <c r="AT2" s="467" t="s">
        <v>432</v>
      </c>
      <c r="AU2" s="467" t="s">
        <v>433</v>
      </c>
      <c r="AV2" s="467" t="s">
        <v>434</v>
      </c>
      <c r="AW2" s="467" t="s">
        <v>435</v>
      </c>
      <c r="AX2" s="467" t="s">
        <v>436</v>
      </c>
      <c r="AY2" s="467" t="s">
        <v>437</v>
      </c>
      <c r="AZ2" s="467" t="s">
        <v>438</v>
      </c>
      <c r="BA2" s="467" t="s">
        <v>439</v>
      </c>
      <c r="BB2" s="467" t="s">
        <v>440</v>
      </c>
      <c r="BC2" s="467" t="s">
        <v>441</v>
      </c>
      <c r="BD2" s="467" t="s">
        <v>442</v>
      </c>
      <c r="BE2" s="467" t="s">
        <v>443</v>
      </c>
      <c r="BF2" s="467" t="s">
        <v>444</v>
      </c>
      <c r="BG2" s="467" t="s">
        <v>445</v>
      </c>
      <c r="BH2" s="467" t="s">
        <v>446</v>
      </c>
      <c r="BI2" s="467" t="s">
        <v>447</v>
      </c>
      <c r="BJ2" s="467" t="s">
        <v>448</v>
      </c>
      <c r="BK2" s="467" t="s">
        <v>449</v>
      </c>
      <c r="BL2" s="467" t="s">
        <v>450</v>
      </c>
      <c r="BM2" s="467" t="s">
        <v>451</v>
      </c>
      <c r="BN2" s="467" t="s">
        <v>452</v>
      </c>
      <c r="BO2" s="467" t="s">
        <v>453</v>
      </c>
      <c r="BP2" s="467" t="s">
        <v>454</v>
      </c>
      <c r="BQ2" s="467" t="s">
        <v>455</v>
      </c>
      <c r="BR2" s="467" t="s">
        <v>456</v>
      </c>
      <c r="BS2" s="467" t="s">
        <v>457</v>
      </c>
      <c r="BT2" s="467" t="s">
        <v>458</v>
      </c>
      <c r="BU2" s="467" t="s">
        <v>459</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5605.2314999999999</v>
      </c>
      <c r="BC3" s="464">
        <f>+'Cuadro Resumen'!D213</f>
        <v>5165.6055000000006</v>
      </c>
      <c r="BD3" s="464">
        <f>+'Cuadro Resumen'!E213</f>
        <v>6594.39</v>
      </c>
      <c r="BE3" s="464">
        <f>+'Cuadro Resumen'!F213</f>
        <v>6154.7640000000001</v>
      </c>
      <c r="BF3" s="464">
        <f>+'Cuadro Resumen'!C214</f>
        <v>4945.7925000000005</v>
      </c>
      <c r="BG3" s="464">
        <f>+'Cuadro Resumen'!D214</f>
        <v>4506.1665000000003</v>
      </c>
      <c r="BH3" s="464">
        <f>+'Cuadro Resumen'!E214</f>
        <v>5934.951</v>
      </c>
      <c r="BI3" s="464">
        <f>+'Cuadro Resumen'!F214</f>
        <v>5495.3249999999998</v>
      </c>
      <c r="BJ3" s="464">
        <f>+'Cuadro Resumen'!C215</f>
        <v>4286.3535000000002</v>
      </c>
      <c r="BK3" s="464">
        <f>+'Cuadro Resumen'!D215</f>
        <v>3956.634</v>
      </c>
      <c r="BL3" s="464">
        <f>+'Cuadro Resumen'!E215</f>
        <v>5275.5120000000006</v>
      </c>
      <c r="BM3" s="464">
        <f>+'Cuadro Resumen'!F215</f>
        <v>4835.8860000000004</v>
      </c>
      <c r="BN3" s="464">
        <f>+'Cuadro Resumen'!C216</f>
        <v>3626.9145000000003</v>
      </c>
      <c r="BO3" s="464">
        <f>+'Cuadro Resumen'!D216</f>
        <v>3297.1950000000002</v>
      </c>
      <c r="BP3" s="464">
        <f>+'Cuadro Resumen'!E216</f>
        <v>4616.0730000000003</v>
      </c>
      <c r="BQ3" s="464">
        <f>+'Cuadro Resumen'!F216</f>
        <v>4286.3535000000002</v>
      </c>
      <c r="BR3" s="464">
        <f>+'Cuadro Resumen'!C217</f>
        <v>3187.2885000000001</v>
      </c>
      <c r="BS3" s="464">
        <f>+'Cuadro Resumen'!D217</f>
        <v>2967.4755</v>
      </c>
      <c r="BT3" s="464">
        <f>+'Cuadro Resumen'!E217</f>
        <v>4066.5405000000001</v>
      </c>
      <c r="BU3" s="464">
        <f>+'Cuadro Resumen'!F217</f>
        <v>3736.8210000000004</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385</v>
      </c>
      <c r="D5" s="198">
        <f>SUMIF(C:C,$C$10,D:D)</f>
        <v>3291283.8729999997</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SUM(F17:F114)</f>
        <v>2980033.8729999997</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1616</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Gastos de operación de la SEAPI</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ht="15.75" thickBot="1" x14ac:dyDescent="0.3">
      <c r="C17" s="554" t="s">
        <v>424</v>
      </c>
      <c r="D17" s="222">
        <v>45</v>
      </c>
      <c r="E17" s="220">
        <f>HLOOKUP(C17,$AH$2:$BU$3,2,0)</f>
        <v>2250</v>
      </c>
      <c r="F17" s="97">
        <f t="shared" ref="F17:F80" si="0">D17*E17</f>
        <v>101250</v>
      </c>
      <c r="G17" s="161" t="s">
        <v>129</v>
      </c>
      <c r="H17" s="142" t="s">
        <v>307</v>
      </c>
      <c r="I17" s="130" t="str">
        <f>VLOOKUP(H17,[1]Presupuesto!$B$11:$C$565,2,0)</f>
        <v>VIATICOS NACIONALES Y OTROS GASTOS DE VIAJE PROYECTO FORTALECIMIENTO ORG. ESTUDI (26200-72)</v>
      </c>
      <c r="J17" s="219" t="s">
        <v>1364</v>
      </c>
      <c r="K17" s="98" t="s">
        <v>394</v>
      </c>
    </row>
    <row r="18" spans="3:11" x14ac:dyDescent="0.25">
      <c r="C18" s="554" t="s">
        <v>432</v>
      </c>
      <c r="D18" s="222">
        <f>228</f>
        <v>228</v>
      </c>
      <c r="E18" s="220">
        <f>HLOOKUP(C18,$AH$2:$BU$3,2,0)</f>
        <v>1750</v>
      </c>
      <c r="F18" s="97">
        <f t="shared" si="0"/>
        <v>399000</v>
      </c>
      <c r="G18" s="161" t="s">
        <v>129</v>
      </c>
      <c r="H18" s="142" t="s">
        <v>307</v>
      </c>
      <c r="I18" s="130" t="str">
        <f>VLOOKUP(H18,[1]Presupuesto!$B$11:$C$565,2,0)</f>
        <v>VIATICOS NACIONALES Y OTROS GASTOS DE VIAJE PROYECTO FORTALECIMIENTO ORG. ESTUDI (26200-72)</v>
      </c>
      <c r="J18" s="219" t="s">
        <v>1364</v>
      </c>
      <c r="K18" s="98" t="s">
        <v>394</v>
      </c>
    </row>
    <row r="19" spans="3:11" x14ac:dyDescent="0.25">
      <c r="C19" s="502" t="s">
        <v>1626</v>
      </c>
      <c r="D19" s="158">
        <v>1</v>
      </c>
      <c r="E19" s="123">
        <v>150000</v>
      </c>
      <c r="F19" s="97">
        <f t="shared" si="0"/>
        <v>150000</v>
      </c>
      <c r="G19" s="161" t="s">
        <v>1509</v>
      </c>
      <c r="H19" s="142" t="s">
        <v>663</v>
      </c>
      <c r="I19" s="130" t="str">
        <f>VLOOKUP(H19,[1]Presupuesto!$B$11:$C$565,2,0)</f>
        <v>MANTENIMIENTO Y REPARACION DE EDIFIC.Y LOCALES.</v>
      </c>
      <c r="J19" s="98" t="str">
        <f t="shared" ref="J19:J114" si="1">$J$17</f>
        <v>Gestión Administrativa y  financiera en apoyo al Desarrollo Académico</v>
      </c>
      <c r="K19" s="98" t="s">
        <v>412</v>
      </c>
    </row>
    <row r="20" spans="3:11" ht="30" x14ac:dyDescent="0.25">
      <c r="C20" s="502" t="s">
        <v>1627</v>
      </c>
      <c r="D20" s="158">
        <v>6</v>
      </c>
      <c r="E20" s="123">
        <v>5000</v>
      </c>
      <c r="F20" s="97">
        <f t="shared" si="0"/>
        <v>30000</v>
      </c>
      <c r="G20" s="161" t="s">
        <v>129</v>
      </c>
      <c r="H20" s="142" t="s">
        <v>285</v>
      </c>
      <c r="I20" s="130" t="str">
        <f>VLOOKUP(H20,[1]Presupuesto!$B$11:$C$565,2,0)</f>
        <v>MANTENIMIENTO Y REPARAC DE EQUIPO Y MEDIO DE TRANSPORTE (23200-01)</v>
      </c>
      <c r="J20" s="98" t="str">
        <f t="shared" si="1"/>
        <v>Gestión Administrativa y  financiera en apoyo al Desarrollo Académico</v>
      </c>
      <c r="K20" s="98" t="s">
        <v>412</v>
      </c>
    </row>
    <row r="21" spans="3:11" s="466" customFormat="1" x14ac:dyDescent="0.25">
      <c r="C21" s="502" t="s">
        <v>1628</v>
      </c>
      <c r="D21" s="158">
        <v>4</v>
      </c>
      <c r="E21" s="123">
        <v>5000</v>
      </c>
      <c r="F21" s="97">
        <f t="shared" si="0"/>
        <v>20000</v>
      </c>
      <c r="G21" s="161" t="s">
        <v>129</v>
      </c>
      <c r="H21" s="142" t="s">
        <v>675</v>
      </c>
      <c r="I21" s="130" t="str">
        <f>VLOOKUP(H21,[1]Presupuesto!$B$11:$C$565,2,0)</f>
        <v>MANTEN. Y REPARACION EQUIPO DE COMPUTACION</v>
      </c>
      <c r="J21" s="98" t="str">
        <f t="shared" si="1"/>
        <v>Gestión Administrativa y  financiera en apoyo al Desarrollo Académico</v>
      </c>
      <c r="K21" s="98" t="s">
        <v>412</v>
      </c>
    </row>
    <row r="22" spans="3:11" s="466" customFormat="1" ht="30" x14ac:dyDescent="0.25">
      <c r="C22" s="502" t="s">
        <v>1629</v>
      </c>
      <c r="D22" s="158">
        <v>6</v>
      </c>
      <c r="E22" s="123">
        <v>5000</v>
      </c>
      <c r="F22" s="97">
        <f t="shared" si="0"/>
        <v>30000</v>
      </c>
      <c r="G22" s="161" t="s">
        <v>129</v>
      </c>
      <c r="H22" s="142" t="s">
        <v>677</v>
      </c>
      <c r="I22" s="130" t="str">
        <f>VLOOKUP(H22,[1]Presupuesto!$B$11:$C$565,2,0)</f>
        <v>MANTENIMIENTO Y REPARACION DE EQUIPO DE OFICINA Y MUEBLES</v>
      </c>
      <c r="J22" s="98" t="str">
        <f t="shared" si="1"/>
        <v>Gestión Administrativa y  financiera en apoyo al Desarrollo Académico</v>
      </c>
      <c r="K22" s="98" t="s">
        <v>412</v>
      </c>
    </row>
    <row r="23" spans="3:11" s="466" customFormat="1" x14ac:dyDescent="0.25">
      <c r="C23" s="502" t="s">
        <v>1630</v>
      </c>
      <c r="D23" s="158">
        <v>10</v>
      </c>
      <c r="E23" s="123">
        <v>2000</v>
      </c>
      <c r="F23" s="97">
        <f t="shared" si="0"/>
        <v>20000</v>
      </c>
      <c r="G23" s="161" t="s">
        <v>129</v>
      </c>
      <c r="H23" s="142" t="s">
        <v>681</v>
      </c>
      <c r="I23" s="130" t="str">
        <f>VLOOKUP(H23,[1]Presupuesto!$B$11:$C$565,2,0)</f>
        <v>MANTENIMIENTO Y REPARACION DE OTROS EQUIPOS</v>
      </c>
      <c r="J23" s="98" t="str">
        <f t="shared" si="1"/>
        <v>Gestión Administrativa y  financiera en apoyo al Desarrollo Académico</v>
      </c>
      <c r="K23" s="98" t="s">
        <v>395</v>
      </c>
    </row>
    <row r="24" spans="3:11" s="466" customFormat="1" x14ac:dyDescent="0.25">
      <c r="C24" s="502" t="s">
        <v>1631</v>
      </c>
      <c r="D24" s="158">
        <v>1</v>
      </c>
      <c r="E24" s="123">
        <v>500000</v>
      </c>
      <c r="F24" s="97">
        <f t="shared" si="0"/>
        <v>500000</v>
      </c>
      <c r="G24" s="161" t="s">
        <v>1509</v>
      </c>
      <c r="H24" s="142" t="s">
        <v>691</v>
      </c>
      <c r="I24" s="130" t="str">
        <f>VLOOKUP(H24,[1]Presupuesto!$B$11:$C$565,2,0)</f>
        <v>ESTUDIOS INVESTISTACIàN Y ANALISIS DE FACTIBILIDAD</v>
      </c>
      <c r="J24" s="98" t="str">
        <f t="shared" si="1"/>
        <v>Gestión Administrativa y  financiera en apoyo al Desarrollo Académico</v>
      </c>
      <c r="K24" s="98" t="s">
        <v>412</v>
      </c>
    </row>
    <row r="25" spans="3:11" s="466" customFormat="1" x14ac:dyDescent="0.25">
      <c r="C25" s="502" t="s">
        <v>1632</v>
      </c>
      <c r="D25" s="158">
        <v>10</v>
      </c>
      <c r="E25" s="123">
        <v>11000</v>
      </c>
      <c r="F25" s="97">
        <f t="shared" si="0"/>
        <v>110000</v>
      </c>
      <c r="G25" s="161" t="s">
        <v>129</v>
      </c>
      <c r="H25" s="142" t="s">
        <v>290</v>
      </c>
      <c r="I25" s="130" t="str">
        <f>VLOOKUP(H25,[1]Presupuesto!$B$11:$C$565,2,0)</f>
        <v>SERVICIOS TECNICOS Y PROFESIONALES DE CAPAC. (24500-00)</v>
      </c>
      <c r="J25" s="98" t="str">
        <f t="shared" si="1"/>
        <v>Gestión Administrativa y  financiera en apoyo al Desarrollo Académico</v>
      </c>
      <c r="K25" s="98" t="s">
        <v>412</v>
      </c>
    </row>
    <row r="26" spans="3:11" s="466" customFormat="1" x14ac:dyDescent="0.25">
      <c r="C26" s="502" t="s">
        <v>1633</v>
      </c>
      <c r="D26" s="158">
        <v>1</v>
      </c>
      <c r="E26" s="123">
        <v>125000</v>
      </c>
      <c r="F26" s="97">
        <f t="shared" si="0"/>
        <v>125000</v>
      </c>
      <c r="G26" s="161" t="s">
        <v>1509</v>
      </c>
      <c r="H26" s="142" t="s">
        <v>291</v>
      </c>
      <c r="I26" s="130" t="str">
        <f>VLOOKUP(H26,[1]Presupuesto!$B$11:$C$565,2,0)</f>
        <v>OTROS SERVICIOS TECNICOS Y PROFESIONALES N.C. (24900-00)</v>
      </c>
      <c r="J26" s="98" t="str">
        <f t="shared" si="1"/>
        <v>Gestión Administrativa y  financiera en apoyo al Desarrollo Académico</v>
      </c>
      <c r="K26" s="98" t="s">
        <v>412</v>
      </c>
    </row>
    <row r="27" spans="3:11" s="466" customFormat="1" x14ac:dyDescent="0.25">
      <c r="C27" s="502" t="s">
        <v>1634</v>
      </c>
      <c r="D27" s="158">
        <v>1</v>
      </c>
      <c r="E27" s="123">
        <v>10000</v>
      </c>
      <c r="F27" s="97">
        <f t="shared" si="0"/>
        <v>10000</v>
      </c>
      <c r="G27" s="161" t="s">
        <v>129</v>
      </c>
      <c r="H27" s="142" t="s">
        <v>293</v>
      </c>
      <c r="I27" s="130" t="str">
        <f>VLOOKUP(H27,[1]Presupuesto!$B$11:$C$565,2,0)</f>
        <v>SERVICIOS DE TRANSPORTE (25100-00)</v>
      </c>
      <c r="J27" s="98" t="str">
        <f t="shared" si="1"/>
        <v>Gestión Administrativa y  financiera en apoyo al Desarrollo Académico</v>
      </c>
      <c r="K27" s="98" t="s">
        <v>412</v>
      </c>
    </row>
    <row r="28" spans="3:11" s="466" customFormat="1" x14ac:dyDescent="0.25">
      <c r="C28" s="502" t="s">
        <v>1635</v>
      </c>
      <c r="D28" s="158">
        <v>250</v>
      </c>
      <c r="E28" s="123">
        <v>1000</v>
      </c>
      <c r="F28" s="97">
        <f t="shared" si="0"/>
        <v>250000</v>
      </c>
      <c r="G28" s="161" t="s">
        <v>129</v>
      </c>
      <c r="H28" s="142" t="s">
        <v>294</v>
      </c>
      <c r="I28" s="130" t="str">
        <f>VLOOKUP(H28,[1]Presupuesto!$B$11:$C$565,2,0)</f>
        <v>IMPRENTA, PUBLIC. Y REPRODUC. (25300-00)</v>
      </c>
      <c r="J28" s="98" t="str">
        <f t="shared" si="1"/>
        <v>Gestión Administrativa y  financiera en apoyo al Desarrollo Académico</v>
      </c>
      <c r="K28" s="98" t="s">
        <v>412</v>
      </c>
    </row>
    <row r="29" spans="3:11" s="466" customFormat="1" x14ac:dyDescent="0.25">
      <c r="C29" s="502" t="s">
        <v>1636</v>
      </c>
      <c r="D29" s="158">
        <v>2</v>
      </c>
      <c r="E29" s="123">
        <v>5000</v>
      </c>
      <c r="F29" s="97">
        <f t="shared" si="0"/>
        <v>10000</v>
      </c>
      <c r="G29" s="161" t="s">
        <v>129</v>
      </c>
      <c r="H29" s="142" t="s">
        <v>296</v>
      </c>
      <c r="I29" s="130" t="str">
        <f>VLOOKUP(H29,[1]Presupuesto!$B$11:$C$565,2,0)</f>
        <v>PUBLICIDAD Y PROPAGANDA</v>
      </c>
      <c r="J29" s="98" t="str">
        <f t="shared" si="1"/>
        <v>Gestión Administrativa y  financiera en apoyo al Desarrollo Académico</v>
      </c>
      <c r="K29" s="98" t="s">
        <v>412</v>
      </c>
    </row>
    <row r="30" spans="3:11" s="466" customFormat="1" x14ac:dyDescent="0.25">
      <c r="C30" s="502" t="s">
        <v>1637</v>
      </c>
      <c r="D30" s="158">
        <v>8</v>
      </c>
      <c r="E30" s="123">
        <v>600</v>
      </c>
      <c r="F30" s="97">
        <f t="shared" si="0"/>
        <v>4800</v>
      </c>
      <c r="G30" s="161" t="s">
        <v>129</v>
      </c>
      <c r="H30" s="142" t="s">
        <v>298</v>
      </c>
      <c r="I30" s="130" t="str">
        <f>VLOOKUP(H30,[1]Presupuesto!$B$11:$C$565,2,0)</f>
        <v>OTROS SERVICIOS COMERCIALES Y FINANCIEROS N.C.</v>
      </c>
      <c r="J30" s="98" t="str">
        <f t="shared" si="1"/>
        <v>Gestión Administrativa y  financiera en apoyo al Desarrollo Académico</v>
      </c>
      <c r="K30" s="98" t="s">
        <v>412</v>
      </c>
    </row>
    <row r="31" spans="3:11" s="466" customFormat="1" x14ac:dyDescent="0.25">
      <c r="C31" s="502" t="s">
        <v>1638</v>
      </c>
      <c r="D31" s="158">
        <v>5</v>
      </c>
      <c r="E31" s="123">
        <v>10000</v>
      </c>
      <c r="F31" s="97">
        <f t="shared" si="0"/>
        <v>50000</v>
      </c>
      <c r="G31" s="161" t="s">
        <v>129</v>
      </c>
      <c r="H31" s="142" t="s">
        <v>306</v>
      </c>
      <c r="I31" s="130" t="str">
        <f>VLOOKUP(H31,[1]Presupuesto!$B$11:$C$565,2,0)</f>
        <v>PASAJES NACIONALES (26110-00)</v>
      </c>
      <c r="J31" s="98" t="str">
        <f t="shared" si="1"/>
        <v>Gestión Administrativa y  financiera en apoyo al Desarrollo Académico</v>
      </c>
      <c r="K31" s="98" t="s">
        <v>412</v>
      </c>
    </row>
    <row r="32" spans="3:11" s="466" customFormat="1" ht="15.75" thickBot="1" x14ac:dyDescent="0.3">
      <c r="C32" s="502" t="s">
        <v>1639</v>
      </c>
      <c r="D32" s="158">
        <v>10</v>
      </c>
      <c r="E32" s="123">
        <v>10000</v>
      </c>
      <c r="F32" s="97">
        <f t="shared" si="0"/>
        <v>100000</v>
      </c>
      <c r="G32" s="161" t="s">
        <v>129</v>
      </c>
      <c r="H32" s="142" t="s">
        <v>755</v>
      </c>
      <c r="I32" s="130" t="str">
        <f>VLOOKUP(H32,[1]Presupuesto!$B$11:$C$565,2,0)</f>
        <v>PASAJES AL EXTERIOR</v>
      </c>
      <c r="J32" s="98" t="str">
        <f t="shared" si="1"/>
        <v>Gestión Administrativa y  financiera en apoyo al Desarrollo Académico</v>
      </c>
      <c r="K32" s="98" t="s">
        <v>412</v>
      </c>
    </row>
    <row r="33" spans="3:11" s="466" customFormat="1" x14ac:dyDescent="0.25">
      <c r="C33" s="554" t="s">
        <v>446</v>
      </c>
      <c r="D33" s="222">
        <v>23</v>
      </c>
      <c r="E33" s="220">
        <f>HLOOKUP(C33,$AH$2:$BU$3,2,0)</f>
        <v>5934.951</v>
      </c>
      <c r="F33" s="97">
        <f t="shared" si="0"/>
        <v>136503.87299999999</v>
      </c>
      <c r="G33" s="161" t="s">
        <v>129</v>
      </c>
      <c r="H33" s="142" t="s">
        <v>307</v>
      </c>
      <c r="I33" s="130" t="str">
        <f>VLOOKUP(H33,[1]Presupuesto!$B$11:$C$565,2,0)</f>
        <v>VIATICOS NACIONALES Y OTROS GASTOS DE VIAJE PROYECTO FORTALECIMIENTO ORG. ESTUDI (26200-72)</v>
      </c>
      <c r="J33" s="219" t="s">
        <v>1364</v>
      </c>
      <c r="K33" s="98" t="s">
        <v>394</v>
      </c>
    </row>
    <row r="34" spans="3:11" s="466" customFormat="1" x14ac:dyDescent="0.25">
      <c r="C34" s="502" t="s">
        <v>1640</v>
      </c>
      <c r="D34" s="158">
        <v>5</v>
      </c>
      <c r="E34" s="123">
        <v>5000</v>
      </c>
      <c r="F34" s="97">
        <f t="shared" si="0"/>
        <v>25000</v>
      </c>
      <c r="G34" s="161" t="s">
        <v>129</v>
      </c>
      <c r="H34" s="142" t="s">
        <v>311</v>
      </c>
      <c r="I34" s="130" t="str">
        <f>VLOOKUP(H34,[1]Presupuesto!$B$11:$C$565,2,0)</f>
        <v>ALIMENTOS Y BEBIDAS PARA PERSONAS (31100-00)</v>
      </c>
      <c r="J34" s="98" t="str">
        <f t="shared" si="1"/>
        <v>Gestión Administrativa y  financiera en apoyo al Desarrollo Académico</v>
      </c>
      <c r="K34" s="98" t="s">
        <v>412</v>
      </c>
    </row>
    <row r="35" spans="3:11" s="466" customFormat="1" x14ac:dyDescent="0.25">
      <c r="C35" s="502" t="s">
        <v>1641</v>
      </c>
      <c r="D35" s="158">
        <v>10</v>
      </c>
      <c r="E35" s="123">
        <v>7000</v>
      </c>
      <c r="F35" s="97">
        <f t="shared" si="0"/>
        <v>70000</v>
      </c>
      <c r="G35" s="161" t="s">
        <v>129</v>
      </c>
      <c r="H35" s="142" t="s">
        <v>815</v>
      </c>
      <c r="I35" s="130" t="str">
        <f>VLOOKUP(H35,[1]Presupuesto!$B$11:$C$565,2,0)</f>
        <v>PAPEL DE ESCRITORIO</v>
      </c>
      <c r="J35" s="98" t="str">
        <f t="shared" si="1"/>
        <v>Gestión Administrativa y  financiera en apoyo al Desarrollo Académico</v>
      </c>
      <c r="K35" s="98" t="s">
        <v>412</v>
      </c>
    </row>
    <row r="36" spans="3:11" s="466" customFormat="1" x14ac:dyDescent="0.25">
      <c r="C36" s="502" t="s">
        <v>1642</v>
      </c>
      <c r="D36" s="158">
        <v>10</v>
      </c>
      <c r="E36" s="123">
        <v>1000</v>
      </c>
      <c r="F36" s="97">
        <f t="shared" si="0"/>
        <v>10000</v>
      </c>
      <c r="G36" s="161" t="s">
        <v>129</v>
      </c>
      <c r="H36" s="142" t="s">
        <v>815</v>
      </c>
      <c r="I36" s="130" t="str">
        <f>VLOOKUP(H36,[1]Presupuesto!$B$11:$C$565,2,0)</f>
        <v>PAPEL DE ESCRITORIO</v>
      </c>
      <c r="J36" s="98" t="str">
        <f t="shared" si="1"/>
        <v>Gestión Administrativa y  financiera en apoyo al Desarrollo Académico</v>
      </c>
      <c r="K36" s="98" t="s">
        <v>412</v>
      </c>
    </row>
    <row r="37" spans="3:11" s="466" customFormat="1" x14ac:dyDescent="0.25">
      <c r="C37" s="502" t="s">
        <v>1643</v>
      </c>
      <c r="D37" s="158">
        <v>10</v>
      </c>
      <c r="E37" s="123">
        <v>1000</v>
      </c>
      <c r="F37" s="97">
        <f t="shared" si="0"/>
        <v>10000</v>
      </c>
      <c r="G37" s="161" t="s">
        <v>129</v>
      </c>
      <c r="H37" s="142" t="s">
        <v>815</v>
      </c>
      <c r="I37" s="130" t="str">
        <f>VLOOKUP(H37,[1]Presupuesto!$B$11:$C$565,2,0)</f>
        <v>PAPEL DE ESCRITORIO</v>
      </c>
      <c r="J37" s="98" t="str">
        <f t="shared" si="1"/>
        <v>Gestión Administrativa y  financiera en apoyo al Desarrollo Académico</v>
      </c>
      <c r="K37" s="98" t="s">
        <v>412</v>
      </c>
    </row>
    <row r="38" spans="3:11" s="466" customFormat="1" x14ac:dyDescent="0.25">
      <c r="C38" s="502" t="s">
        <v>1644</v>
      </c>
      <c r="D38" s="158">
        <v>10</v>
      </c>
      <c r="E38" s="123">
        <v>1000</v>
      </c>
      <c r="F38" s="97">
        <f t="shared" si="0"/>
        <v>10000</v>
      </c>
      <c r="G38" s="161" t="s">
        <v>129</v>
      </c>
      <c r="H38" s="142" t="s">
        <v>815</v>
      </c>
      <c r="I38" s="130" t="str">
        <f>VLOOKUP(H38,[1]Presupuesto!$B$11:$C$565,2,0)</f>
        <v>PAPEL DE ESCRITORIO</v>
      </c>
      <c r="J38" s="98" t="str">
        <f t="shared" si="1"/>
        <v>Gestión Administrativa y  financiera en apoyo al Desarrollo Académico</v>
      </c>
      <c r="K38" s="98" t="s">
        <v>412</v>
      </c>
    </row>
    <row r="39" spans="3:11" s="466" customFormat="1" x14ac:dyDescent="0.25">
      <c r="C39" s="502" t="s">
        <v>1645</v>
      </c>
      <c r="D39" s="158">
        <v>4</v>
      </c>
      <c r="E39" s="123">
        <v>1000</v>
      </c>
      <c r="F39" s="97">
        <f t="shared" si="0"/>
        <v>4000</v>
      </c>
      <c r="G39" s="161" t="s">
        <v>129</v>
      </c>
      <c r="H39" s="142" t="s">
        <v>819</v>
      </c>
      <c r="I39" s="130" t="str">
        <f>VLOOKUP(H39,[1]Presupuesto!$B$11:$C$565,2,0)</f>
        <v>PRODUCTOS DE ARTES GRAFICAS</v>
      </c>
      <c r="J39" s="98" t="str">
        <f t="shared" si="1"/>
        <v>Gestión Administrativa y  financiera en apoyo al Desarrollo Académico</v>
      </c>
      <c r="K39" s="98" t="s">
        <v>412</v>
      </c>
    </row>
    <row r="40" spans="3:11" s="466" customFormat="1" x14ac:dyDescent="0.25">
      <c r="C40" s="502" t="s">
        <v>1646</v>
      </c>
      <c r="D40" s="158">
        <v>26</v>
      </c>
      <c r="E40" s="123">
        <v>150</v>
      </c>
      <c r="F40" s="97">
        <f t="shared" si="0"/>
        <v>3900</v>
      </c>
      <c r="G40" s="161" t="s">
        <v>129</v>
      </c>
      <c r="H40" s="144" t="s">
        <v>316</v>
      </c>
      <c r="I40" s="130" t="str">
        <f>VLOOKUP(H40,[1]Presupuesto!$B$11:$C$565,2,0)</f>
        <v>PRODUCTOS DE PAPEL Y CARTON (33400-00)</v>
      </c>
      <c r="J40" s="98" t="str">
        <f t="shared" si="1"/>
        <v>Gestión Administrativa y  financiera en apoyo al Desarrollo Académico</v>
      </c>
      <c r="K40" s="98" t="s">
        <v>412</v>
      </c>
    </row>
    <row r="41" spans="3:11" s="466" customFormat="1" x14ac:dyDescent="0.25">
      <c r="C41" s="502" t="s">
        <v>1647</v>
      </c>
      <c r="D41" s="158">
        <v>26</v>
      </c>
      <c r="E41" s="123">
        <v>20</v>
      </c>
      <c r="F41" s="97">
        <f t="shared" si="0"/>
        <v>520</v>
      </c>
      <c r="G41" s="161" t="s">
        <v>129</v>
      </c>
      <c r="H41" s="144" t="s">
        <v>316</v>
      </c>
      <c r="I41" s="130" t="str">
        <f>VLOOKUP(H41,[1]Presupuesto!$B$11:$C$565,2,0)</f>
        <v>PRODUCTOS DE PAPEL Y CARTON (33400-00)</v>
      </c>
      <c r="J41" s="98" t="str">
        <f t="shared" si="1"/>
        <v>Gestión Administrativa y  financiera en apoyo al Desarrollo Académico</v>
      </c>
      <c r="K41" s="98" t="s">
        <v>412</v>
      </c>
    </row>
    <row r="42" spans="3:11" s="466" customFormat="1" x14ac:dyDescent="0.25">
      <c r="C42" s="502" t="s">
        <v>1648</v>
      </c>
      <c r="D42" s="158">
        <v>26</v>
      </c>
      <c r="E42" s="123">
        <v>30</v>
      </c>
      <c r="F42" s="97">
        <f t="shared" si="0"/>
        <v>780</v>
      </c>
      <c r="G42" s="161" t="s">
        <v>129</v>
      </c>
      <c r="H42" s="144" t="s">
        <v>316</v>
      </c>
      <c r="I42" s="130" t="str">
        <f>VLOOKUP(H42,[1]Presupuesto!$B$11:$C$565,2,0)</f>
        <v>PRODUCTOS DE PAPEL Y CARTON (33400-00)</v>
      </c>
      <c r="J42" s="98" t="str">
        <f t="shared" si="1"/>
        <v>Gestión Administrativa y  financiera en apoyo al Desarrollo Académico</v>
      </c>
      <c r="K42" s="98" t="s">
        <v>412</v>
      </c>
    </row>
    <row r="43" spans="3:11" s="466" customFormat="1" x14ac:dyDescent="0.25">
      <c r="C43" s="502" t="s">
        <v>1649</v>
      </c>
      <c r="D43" s="158">
        <v>26</v>
      </c>
      <c r="E43" s="123">
        <v>20</v>
      </c>
      <c r="F43" s="97">
        <f t="shared" si="0"/>
        <v>520</v>
      </c>
      <c r="G43" s="161" t="s">
        <v>129</v>
      </c>
      <c r="H43" s="144" t="s">
        <v>316</v>
      </c>
      <c r="I43" s="130" t="str">
        <f>VLOOKUP(H43,[1]Presupuesto!$B$11:$C$565,2,0)</f>
        <v>PRODUCTOS DE PAPEL Y CARTON (33400-00)</v>
      </c>
      <c r="J43" s="98" t="str">
        <f t="shared" si="1"/>
        <v>Gestión Administrativa y  financiera en apoyo al Desarrollo Académico</v>
      </c>
      <c r="K43" s="98" t="s">
        <v>412</v>
      </c>
    </row>
    <row r="44" spans="3:11" s="466" customFormat="1" x14ac:dyDescent="0.25">
      <c r="C44" s="502" t="s">
        <v>1650</v>
      </c>
      <c r="D44" s="158">
        <v>26</v>
      </c>
      <c r="E44" s="123">
        <v>120</v>
      </c>
      <c r="F44" s="97">
        <f t="shared" si="0"/>
        <v>3120</v>
      </c>
      <c r="G44" s="161" t="s">
        <v>129</v>
      </c>
      <c r="H44" s="144" t="s">
        <v>316</v>
      </c>
      <c r="I44" s="130" t="str">
        <f>VLOOKUP(H44,[1]Presupuesto!$B$11:$C$565,2,0)</f>
        <v>PRODUCTOS DE PAPEL Y CARTON (33400-00)</v>
      </c>
      <c r="J44" s="98" t="str">
        <f t="shared" si="1"/>
        <v>Gestión Administrativa y  financiera en apoyo al Desarrollo Académico</v>
      </c>
      <c r="K44" s="98" t="s">
        <v>412</v>
      </c>
    </row>
    <row r="45" spans="3:11" s="466" customFormat="1" x14ac:dyDescent="0.25">
      <c r="C45" s="502" t="s">
        <v>1651</v>
      </c>
      <c r="D45" s="158">
        <v>26</v>
      </c>
      <c r="E45" s="123">
        <v>150</v>
      </c>
      <c r="F45" s="97">
        <f t="shared" si="0"/>
        <v>3900</v>
      </c>
      <c r="G45" s="161" t="s">
        <v>129</v>
      </c>
      <c r="H45" s="144" t="s">
        <v>316</v>
      </c>
      <c r="I45" s="130" t="str">
        <f>VLOOKUP(H45,[1]Presupuesto!$B$11:$C$565,2,0)</f>
        <v>PRODUCTOS DE PAPEL Y CARTON (33400-00)</v>
      </c>
      <c r="J45" s="98" t="str">
        <f t="shared" si="1"/>
        <v>Gestión Administrativa y  financiera en apoyo al Desarrollo Académico</v>
      </c>
      <c r="K45" s="98" t="s">
        <v>412</v>
      </c>
    </row>
    <row r="46" spans="3:11" s="466" customFormat="1" x14ac:dyDescent="0.25">
      <c r="C46" s="502" t="s">
        <v>1652</v>
      </c>
      <c r="D46" s="158">
        <v>15</v>
      </c>
      <c r="E46" s="123">
        <v>550</v>
      </c>
      <c r="F46" s="97">
        <f t="shared" si="0"/>
        <v>8250</v>
      </c>
      <c r="G46" s="161" t="s">
        <v>129</v>
      </c>
      <c r="H46" s="144" t="s">
        <v>316</v>
      </c>
      <c r="I46" s="130" t="str">
        <f>VLOOKUP(H46,[1]Presupuesto!$B$11:$C$565,2,0)</f>
        <v>PRODUCTOS DE PAPEL Y CARTON (33400-00)</v>
      </c>
      <c r="J46" s="98" t="str">
        <f t="shared" si="1"/>
        <v>Gestión Administrativa y  financiera en apoyo al Desarrollo Académico</v>
      </c>
      <c r="K46" s="98" t="s">
        <v>412</v>
      </c>
    </row>
    <row r="47" spans="3:11" s="466" customFormat="1" x14ac:dyDescent="0.25">
      <c r="C47" s="502" t="s">
        <v>1653</v>
      </c>
      <c r="D47" s="158">
        <v>100</v>
      </c>
      <c r="E47" s="123">
        <v>10</v>
      </c>
      <c r="F47" s="97">
        <f t="shared" si="0"/>
        <v>1000</v>
      </c>
      <c r="G47" s="161" t="s">
        <v>129</v>
      </c>
      <c r="H47" s="144" t="s">
        <v>316</v>
      </c>
      <c r="I47" s="130" t="str">
        <f>VLOOKUP(H47,[1]Presupuesto!$B$11:$C$565,2,0)</f>
        <v>PRODUCTOS DE PAPEL Y CARTON (33400-00)</v>
      </c>
      <c r="J47" s="98" t="str">
        <f t="shared" si="1"/>
        <v>Gestión Administrativa y  financiera en apoyo al Desarrollo Académico</v>
      </c>
      <c r="K47" s="98" t="s">
        <v>395</v>
      </c>
    </row>
    <row r="48" spans="3:11" s="466" customFormat="1" x14ac:dyDescent="0.25">
      <c r="C48" s="502" t="s">
        <v>1654</v>
      </c>
      <c r="D48" s="158">
        <v>50</v>
      </c>
      <c r="E48" s="123">
        <v>51.9</v>
      </c>
      <c r="F48" s="97">
        <f t="shared" si="0"/>
        <v>2595</v>
      </c>
      <c r="G48" s="161" t="s">
        <v>129</v>
      </c>
      <c r="H48" s="144" t="s">
        <v>316</v>
      </c>
      <c r="I48" s="130" t="str">
        <f>VLOOKUP(H48,[1]Presupuesto!$B$11:$C$565,2,0)</f>
        <v>PRODUCTOS DE PAPEL Y CARTON (33400-00)</v>
      </c>
      <c r="J48" s="98" t="str">
        <f t="shared" si="1"/>
        <v>Gestión Administrativa y  financiera en apoyo al Desarrollo Académico</v>
      </c>
      <c r="K48" s="98" t="s">
        <v>396</v>
      </c>
    </row>
    <row r="49" spans="3:11" s="466" customFormat="1" x14ac:dyDescent="0.25">
      <c r="C49" s="502" t="s">
        <v>1655</v>
      </c>
      <c r="D49" s="158">
        <v>75</v>
      </c>
      <c r="E49" s="123">
        <v>45</v>
      </c>
      <c r="F49" s="97">
        <f t="shared" si="0"/>
        <v>3375</v>
      </c>
      <c r="G49" s="161" t="s">
        <v>129</v>
      </c>
      <c r="H49" s="144" t="s">
        <v>316</v>
      </c>
      <c r="I49" s="130" t="str">
        <f>VLOOKUP(H49,[1]Presupuesto!$B$11:$C$565,2,0)</f>
        <v>PRODUCTOS DE PAPEL Y CARTON (33400-00)</v>
      </c>
      <c r="J49" s="98" t="str">
        <f t="shared" si="1"/>
        <v>Gestión Administrativa y  financiera en apoyo al Desarrollo Académico</v>
      </c>
      <c r="K49" s="98" t="s">
        <v>397</v>
      </c>
    </row>
    <row r="50" spans="3:11" s="466" customFormat="1" x14ac:dyDescent="0.25">
      <c r="C50" s="502" t="s">
        <v>1656</v>
      </c>
      <c r="D50" s="158">
        <v>98</v>
      </c>
      <c r="E50" s="123">
        <v>250</v>
      </c>
      <c r="F50" s="97">
        <f t="shared" si="0"/>
        <v>24500</v>
      </c>
      <c r="G50" s="161" t="s">
        <v>129</v>
      </c>
      <c r="H50" s="144" t="s">
        <v>316</v>
      </c>
      <c r="I50" s="130" t="str">
        <f>VLOOKUP(H50,[1]Presupuesto!$B$11:$C$565,2,0)</f>
        <v>PRODUCTOS DE PAPEL Y CARTON (33400-00)</v>
      </c>
      <c r="J50" s="98" t="str">
        <f t="shared" si="1"/>
        <v>Gestión Administrativa y  financiera en apoyo al Desarrollo Académico</v>
      </c>
      <c r="K50" s="98" t="s">
        <v>398</v>
      </c>
    </row>
    <row r="51" spans="3:11" s="466" customFormat="1" x14ac:dyDescent="0.25">
      <c r="C51" s="502" t="s">
        <v>1657</v>
      </c>
      <c r="D51" s="158">
        <v>52</v>
      </c>
      <c r="E51" s="123">
        <v>70</v>
      </c>
      <c r="F51" s="97">
        <f t="shared" si="0"/>
        <v>3640</v>
      </c>
      <c r="G51" s="161" t="s">
        <v>129</v>
      </c>
      <c r="H51" s="144" t="s">
        <v>316</v>
      </c>
      <c r="I51" s="130" t="str">
        <f>VLOOKUP(H51,[1]Presupuesto!$B$11:$C$565,2,0)</f>
        <v>PRODUCTOS DE PAPEL Y CARTON (33400-00)</v>
      </c>
      <c r="J51" s="98" t="str">
        <f t="shared" si="1"/>
        <v>Gestión Administrativa y  financiera en apoyo al Desarrollo Académico</v>
      </c>
      <c r="K51" s="98" t="s">
        <v>399</v>
      </c>
    </row>
    <row r="52" spans="3:11" s="466" customFormat="1" x14ac:dyDescent="0.25">
      <c r="C52" s="502" t="s">
        <v>1658</v>
      </c>
      <c r="D52" s="158">
        <v>26</v>
      </c>
      <c r="E52" s="123">
        <v>150</v>
      </c>
      <c r="F52" s="97">
        <f t="shared" si="0"/>
        <v>3900</v>
      </c>
      <c r="G52" s="161" t="s">
        <v>129</v>
      </c>
      <c r="H52" s="144" t="s">
        <v>316</v>
      </c>
      <c r="I52" s="130" t="str">
        <f>VLOOKUP(H52,[1]Presupuesto!$B$11:$C$565,2,0)</f>
        <v>PRODUCTOS DE PAPEL Y CARTON (33400-00)</v>
      </c>
      <c r="J52" s="98" t="str">
        <f t="shared" si="1"/>
        <v>Gestión Administrativa y  financiera en apoyo al Desarrollo Académico</v>
      </c>
      <c r="K52" s="98" t="s">
        <v>400</v>
      </c>
    </row>
    <row r="53" spans="3:11" s="466" customFormat="1" x14ac:dyDescent="0.25">
      <c r="C53" s="502" t="s">
        <v>1659</v>
      </c>
      <c r="D53" s="158">
        <v>8</v>
      </c>
      <c r="E53" s="123">
        <v>2500</v>
      </c>
      <c r="F53" s="97">
        <f t="shared" si="0"/>
        <v>20000</v>
      </c>
      <c r="G53" s="161" t="s">
        <v>129</v>
      </c>
      <c r="H53" s="144" t="s">
        <v>317</v>
      </c>
      <c r="I53" s="130" t="str">
        <f>VLOOKUP(H53,[1]Presupuesto!$B$11:$C$565,2,0)</f>
        <v>LIBROS, REVISTAS Y PERIODICOS (33500-00)</v>
      </c>
      <c r="J53" s="98" t="str">
        <f t="shared" si="1"/>
        <v>Gestión Administrativa y  financiera en apoyo al Desarrollo Académico</v>
      </c>
      <c r="K53" s="98" t="s">
        <v>396</v>
      </c>
    </row>
    <row r="54" spans="3:11" s="466" customFormat="1" x14ac:dyDescent="0.25">
      <c r="C54" s="502" t="s">
        <v>1660</v>
      </c>
      <c r="D54" s="158"/>
      <c r="E54" s="123">
        <v>0</v>
      </c>
      <c r="F54" s="97">
        <f t="shared" si="0"/>
        <v>0</v>
      </c>
      <c r="G54" s="161" t="s">
        <v>129</v>
      </c>
      <c r="H54" s="144" t="s">
        <v>317</v>
      </c>
      <c r="I54" s="130" t="str">
        <f>VLOOKUP(H54,[1]Presupuesto!$B$11:$C$565,2,0)</f>
        <v>LIBROS, REVISTAS Y PERIODICOS (33500-00)</v>
      </c>
      <c r="J54" s="98" t="str">
        <f t="shared" si="1"/>
        <v>Gestión Administrativa y  financiera en apoyo al Desarrollo Académico</v>
      </c>
      <c r="K54" s="98" t="s">
        <v>402</v>
      </c>
    </row>
    <row r="55" spans="3:11" s="466" customFormat="1" x14ac:dyDescent="0.25">
      <c r="C55" s="502" t="s">
        <v>1661</v>
      </c>
      <c r="D55" s="158">
        <v>600</v>
      </c>
      <c r="E55" s="123">
        <v>25</v>
      </c>
      <c r="F55" s="97">
        <f t="shared" si="0"/>
        <v>15000</v>
      </c>
      <c r="G55" s="161" t="s">
        <v>129</v>
      </c>
      <c r="H55" s="144" t="s">
        <v>319</v>
      </c>
      <c r="I55" s="130" t="str">
        <f>VLOOKUP(H55,[1]Presupuesto!$B$11:$C$565,2,0)</f>
        <v>ESPECIES Y TIMBRADOS Y VALORES (33700-00)</v>
      </c>
      <c r="J55" s="98" t="str">
        <f t="shared" si="1"/>
        <v>Gestión Administrativa y  financiera en apoyo al Desarrollo Académico</v>
      </c>
      <c r="K55" s="98" t="s">
        <v>397</v>
      </c>
    </row>
    <row r="56" spans="3:11" s="466" customFormat="1" x14ac:dyDescent="0.25">
      <c r="C56" s="502" t="s">
        <v>1662</v>
      </c>
      <c r="D56" s="158">
        <v>4</v>
      </c>
      <c r="E56" s="123">
        <v>5000</v>
      </c>
      <c r="F56" s="97">
        <f t="shared" si="0"/>
        <v>20000</v>
      </c>
      <c r="G56" s="161" t="s">
        <v>129</v>
      </c>
      <c r="H56" s="144" t="s">
        <v>853</v>
      </c>
      <c r="I56" s="130" t="str">
        <f>VLOOKUP(H56,[1]Presupuesto!$B$11:$C$565,2,0)</f>
        <v>LLANTAS Y NEUMATICOS</v>
      </c>
      <c r="J56" s="98" t="str">
        <f t="shared" si="1"/>
        <v>Gestión Administrativa y  financiera en apoyo al Desarrollo Académico</v>
      </c>
      <c r="K56" s="98" t="s">
        <v>404</v>
      </c>
    </row>
    <row r="57" spans="3:11" s="466" customFormat="1" x14ac:dyDescent="0.25">
      <c r="C57" s="502" t="s">
        <v>1663</v>
      </c>
      <c r="D57" s="158">
        <v>12</v>
      </c>
      <c r="E57" s="123">
        <v>100</v>
      </c>
      <c r="F57" s="97">
        <f t="shared" si="0"/>
        <v>1200</v>
      </c>
      <c r="G57" s="161" t="s">
        <v>129</v>
      </c>
      <c r="H57" s="144" t="s">
        <v>855</v>
      </c>
      <c r="I57" s="130" t="str">
        <f>VLOOKUP(H57,[1]Presupuesto!$B$11:$C$565,2,0)</f>
        <v>ELEMENTOS Y COMPUESTOS QUIMICOS</v>
      </c>
      <c r="J57" s="98" t="str">
        <f t="shared" si="1"/>
        <v>Gestión Administrativa y  financiera en apoyo al Desarrollo Académico</v>
      </c>
      <c r="K57" s="98" t="s">
        <v>412</v>
      </c>
    </row>
    <row r="58" spans="3:11" s="466" customFormat="1" x14ac:dyDescent="0.25">
      <c r="C58" s="502" t="s">
        <v>1664</v>
      </c>
      <c r="D58" s="158">
        <v>2</v>
      </c>
      <c r="E58" s="123">
        <v>5000</v>
      </c>
      <c r="F58" s="97">
        <f t="shared" si="0"/>
        <v>10000</v>
      </c>
      <c r="G58" s="161" t="s">
        <v>129</v>
      </c>
      <c r="H58" s="144" t="s">
        <v>323</v>
      </c>
      <c r="I58" s="130" t="str">
        <f>VLOOKUP(H58,[1]Presupuesto!$B$11:$C$565,2,0)</f>
        <v>PRODUCTOS FARMACEUTICOS Y MEDICINALES</v>
      </c>
      <c r="J58" s="98" t="str">
        <f t="shared" si="1"/>
        <v>Gestión Administrativa y  financiera en apoyo al Desarrollo Académico</v>
      </c>
      <c r="K58" s="98" t="s">
        <v>412</v>
      </c>
    </row>
    <row r="59" spans="3:11" s="466" customFormat="1" x14ac:dyDescent="0.25">
      <c r="C59" s="502" t="s">
        <v>1665</v>
      </c>
      <c r="D59" s="158">
        <v>4</v>
      </c>
      <c r="E59" s="123">
        <v>500</v>
      </c>
      <c r="F59" s="97">
        <f t="shared" si="0"/>
        <v>2000</v>
      </c>
      <c r="G59" s="161" t="s">
        <v>129</v>
      </c>
      <c r="H59" s="144" t="s">
        <v>866</v>
      </c>
      <c r="I59" s="130" t="str">
        <f>VLOOKUP(H59,[1]Presupuesto!$B$11:$C$565,2,0)</f>
        <v>INSECTICIDAS, FUMIGANTES Y OTROS</v>
      </c>
      <c r="J59" s="98" t="str">
        <f t="shared" si="1"/>
        <v>Gestión Administrativa y  financiera en apoyo al Desarrollo Académico</v>
      </c>
      <c r="K59" s="98" t="s">
        <v>395</v>
      </c>
    </row>
    <row r="60" spans="3:11" s="466" customFormat="1" x14ac:dyDescent="0.25">
      <c r="C60" s="502" t="s">
        <v>1666</v>
      </c>
      <c r="D60" s="158">
        <v>1</v>
      </c>
      <c r="E60" s="123">
        <v>8400</v>
      </c>
      <c r="F60" s="97">
        <f t="shared" si="0"/>
        <v>8400</v>
      </c>
      <c r="G60" s="161" t="s">
        <v>129</v>
      </c>
      <c r="H60" s="144" t="s">
        <v>868</v>
      </c>
      <c r="I60" s="130" t="str">
        <f>VLOOKUP(H60,[1]Presupuesto!$B$11:$C$565,2,0)</f>
        <v>TINTES, PINTURAS Y COLORANTES</v>
      </c>
      <c r="J60" s="98" t="str">
        <f t="shared" si="1"/>
        <v>Gestión Administrativa y  financiera en apoyo al Desarrollo Académico</v>
      </c>
      <c r="K60" s="98" t="s">
        <v>396</v>
      </c>
    </row>
    <row r="61" spans="3:11" s="466" customFormat="1" x14ac:dyDescent="0.25">
      <c r="C61" s="502" t="s">
        <v>1667</v>
      </c>
      <c r="D61" s="158">
        <v>15</v>
      </c>
      <c r="E61" s="123">
        <v>1000</v>
      </c>
      <c r="F61" s="97">
        <f t="shared" si="0"/>
        <v>15000</v>
      </c>
      <c r="G61" s="161" t="s">
        <v>129</v>
      </c>
      <c r="H61" s="144" t="s">
        <v>871</v>
      </c>
      <c r="I61" s="130" t="str">
        <f>VLOOKUP(H61,[1]Presupuesto!$B$11:$C$565,2,0)</f>
        <v>GASOLINA</v>
      </c>
      <c r="J61" s="98" t="str">
        <f t="shared" si="1"/>
        <v>Gestión Administrativa y  financiera en apoyo al Desarrollo Académico</v>
      </c>
      <c r="K61" s="98" t="s">
        <v>397</v>
      </c>
    </row>
    <row r="62" spans="3:11" s="466" customFormat="1" x14ac:dyDescent="0.25">
      <c r="C62" s="502" t="s">
        <v>1668</v>
      </c>
      <c r="D62" s="158">
        <v>15</v>
      </c>
      <c r="E62" s="123">
        <v>1000</v>
      </c>
      <c r="F62" s="97">
        <f t="shared" si="0"/>
        <v>15000</v>
      </c>
      <c r="G62" s="161" t="s">
        <v>129</v>
      </c>
      <c r="H62" s="144" t="s">
        <v>873</v>
      </c>
      <c r="I62" s="130" t="str">
        <f>VLOOKUP(H62,[1]Presupuesto!$B$11:$C$565,2,0)</f>
        <v>DIESEL</v>
      </c>
      <c r="J62" s="98" t="str">
        <f t="shared" si="1"/>
        <v>Gestión Administrativa y  financiera en apoyo al Desarrollo Académico</v>
      </c>
      <c r="K62" s="98" t="s">
        <v>398</v>
      </c>
    </row>
    <row r="63" spans="3:11" s="466" customFormat="1" x14ac:dyDescent="0.25">
      <c r="C63" s="502" t="s">
        <v>1669</v>
      </c>
      <c r="D63" s="158">
        <v>4</v>
      </c>
      <c r="E63" s="123">
        <v>5000</v>
      </c>
      <c r="F63" s="97">
        <f t="shared" si="0"/>
        <v>20000</v>
      </c>
      <c r="G63" s="161" t="s">
        <v>129</v>
      </c>
      <c r="H63" s="144" t="s">
        <v>879</v>
      </c>
      <c r="I63" s="130" t="str">
        <f>VLOOKUP(H63,[1]Presupuesto!$B$11:$C$565,2,0)</f>
        <v>ACEITE Y GRASAS LUBRICANTES</v>
      </c>
      <c r="J63" s="98" t="str">
        <f t="shared" si="1"/>
        <v>Gestión Administrativa y  financiera en apoyo al Desarrollo Académico</v>
      </c>
      <c r="K63" s="98" t="s">
        <v>399</v>
      </c>
    </row>
    <row r="64" spans="3:11" s="466" customFormat="1" x14ac:dyDescent="0.25">
      <c r="C64" s="502" t="s">
        <v>1670</v>
      </c>
      <c r="D64" s="158">
        <v>50</v>
      </c>
      <c r="E64" s="123">
        <v>100</v>
      </c>
      <c r="F64" s="97">
        <f t="shared" si="0"/>
        <v>5000</v>
      </c>
      <c r="G64" s="161" t="s">
        <v>129</v>
      </c>
      <c r="H64" s="144" t="s">
        <v>885</v>
      </c>
      <c r="I64" s="130" t="str">
        <f>VLOOKUP(H64,[1]Presupuesto!$B$11:$C$565,2,0)</f>
        <v>PRODUCTOS DE MATERIAL PLASTICO.</v>
      </c>
      <c r="J64" s="98" t="str">
        <f t="shared" si="1"/>
        <v>Gestión Administrativa y  financiera en apoyo al Desarrollo Académico</v>
      </c>
      <c r="K64" s="98" t="s">
        <v>397</v>
      </c>
    </row>
    <row r="65" spans="3:11" s="466" customFormat="1" x14ac:dyDescent="0.25">
      <c r="C65" s="502" t="s">
        <v>1671</v>
      </c>
      <c r="D65" s="158">
        <v>3</v>
      </c>
      <c r="E65" s="123">
        <v>1000</v>
      </c>
      <c r="F65" s="97">
        <f t="shared" si="0"/>
        <v>3000</v>
      </c>
      <c r="G65" s="161" t="s">
        <v>129</v>
      </c>
      <c r="H65" s="144" t="s">
        <v>897</v>
      </c>
      <c r="I65" s="130" t="str">
        <f>VLOOKUP(H65,[1]Presupuesto!$B$11:$C$565,2,0)</f>
        <v>PRODUCTOS FERROSOS</v>
      </c>
      <c r="J65" s="98" t="str">
        <f t="shared" si="1"/>
        <v>Gestión Administrativa y  financiera en apoyo al Desarrollo Académico</v>
      </c>
      <c r="K65" s="98" t="s">
        <v>395</v>
      </c>
    </row>
    <row r="66" spans="3:11" s="466" customFormat="1" x14ac:dyDescent="0.25">
      <c r="C66" s="502" t="s">
        <v>1672</v>
      </c>
      <c r="D66" s="158">
        <v>16</v>
      </c>
      <c r="E66" s="123">
        <v>500</v>
      </c>
      <c r="F66" s="97">
        <f t="shared" si="0"/>
        <v>8000</v>
      </c>
      <c r="G66" s="161" t="s">
        <v>129</v>
      </c>
      <c r="H66" s="144" t="s">
        <v>903</v>
      </c>
      <c r="I66" s="130" t="str">
        <f>VLOOKUP(H66,[1]Presupuesto!$B$11:$C$565,2,0)</f>
        <v>HERRAMIENTAS MENORES</v>
      </c>
      <c r="J66" s="98" t="str">
        <f t="shared" si="1"/>
        <v>Gestión Administrativa y  financiera en apoyo al Desarrollo Académico</v>
      </c>
      <c r="K66" s="98" t="s">
        <v>399</v>
      </c>
    </row>
    <row r="67" spans="3:11" s="466" customFormat="1" x14ac:dyDescent="0.25">
      <c r="C67" s="502" t="s">
        <v>1673</v>
      </c>
      <c r="D67" s="158">
        <v>10</v>
      </c>
      <c r="E67" s="123">
        <v>1000</v>
      </c>
      <c r="F67" s="97">
        <f t="shared" si="0"/>
        <v>10000</v>
      </c>
      <c r="G67" s="161" t="s">
        <v>129</v>
      </c>
      <c r="H67" s="144" t="s">
        <v>907</v>
      </c>
      <c r="I67" s="130" t="str">
        <f>VLOOKUP(H67,[1]Presupuesto!$B$11:$C$565,2,0)</f>
        <v>OTROS PRODUCTOS METALICOS</v>
      </c>
      <c r="J67" s="98" t="str">
        <f t="shared" si="1"/>
        <v>Gestión Administrativa y  financiera en apoyo al Desarrollo Académico</v>
      </c>
      <c r="K67" s="98" t="s">
        <v>399</v>
      </c>
    </row>
    <row r="68" spans="3:11" s="466" customFormat="1" x14ac:dyDescent="0.25">
      <c r="C68" s="502" t="s">
        <v>1674</v>
      </c>
      <c r="D68" s="158">
        <v>2</v>
      </c>
      <c r="E68" s="123">
        <v>4000</v>
      </c>
      <c r="F68" s="97">
        <f t="shared" si="0"/>
        <v>8000</v>
      </c>
      <c r="G68" s="161" t="s">
        <v>129</v>
      </c>
      <c r="H68" s="144" t="s">
        <v>907</v>
      </c>
      <c r="I68" s="130" t="str">
        <f>VLOOKUP(H68,[1]Presupuesto!$B$11:$C$565,2,0)</f>
        <v>OTROS PRODUCTOS METALICOS</v>
      </c>
      <c r="J68" s="98" t="str">
        <f t="shared" si="1"/>
        <v>Gestión Administrativa y  financiera en apoyo al Desarrollo Académico</v>
      </c>
      <c r="K68" s="98" t="s">
        <v>399</v>
      </c>
    </row>
    <row r="69" spans="3:11" s="466" customFormat="1" x14ac:dyDescent="0.25">
      <c r="C69" s="502" t="s">
        <v>1675</v>
      </c>
      <c r="D69" s="158">
        <v>4</v>
      </c>
      <c r="E69" s="123">
        <v>500</v>
      </c>
      <c r="F69" s="97">
        <f>D69*E69</f>
        <v>2000</v>
      </c>
      <c r="G69" s="161" t="s">
        <v>129</v>
      </c>
      <c r="H69" s="144" t="s">
        <v>919</v>
      </c>
      <c r="I69" s="130" t="str">
        <f>VLOOKUP(H69,[1]Presupuesto!$B$11:$C$565,2,0)</f>
        <v>CEMENTO CAL Y YESO</v>
      </c>
      <c r="J69" s="98" t="str">
        <f t="shared" si="1"/>
        <v>Gestión Administrativa y  financiera en apoyo al Desarrollo Académico</v>
      </c>
      <c r="K69" s="98" t="s">
        <v>412</v>
      </c>
    </row>
    <row r="70" spans="3:11" s="466" customFormat="1" x14ac:dyDescent="0.25">
      <c r="C70" s="502" t="s">
        <v>1676</v>
      </c>
      <c r="D70" s="158">
        <v>10</v>
      </c>
      <c r="E70" s="123">
        <v>500</v>
      </c>
      <c r="F70" s="97">
        <f t="shared" si="0"/>
        <v>5000</v>
      </c>
      <c r="G70" s="161" t="s">
        <v>129</v>
      </c>
      <c r="H70" s="144" t="s">
        <v>933</v>
      </c>
      <c r="I70" s="130" t="str">
        <f>VLOOKUP(H70,[1]Presupuesto!$B$11:$C$565,2,0)</f>
        <v>PIEDRA ARCILLA Y ARENA</v>
      </c>
      <c r="J70" s="98" t="str">
        <f t="shared" si="1"/>
        <v>Gestión Administrativa y  financiera en apoyo al Desarrollo Académico</v>
      </c>
      <c r="K70" s="98" t="s">
        <v>412</v>
      </c>
    </row>
    <row r="71" spans="3:11" s="466" customFormat="1" x14ac:dyDescent="0.25">
      <c r="C71" s="502" t="s">
        <v>1677</v>
      </c>
      <c r="D71" s="158">
        <v>204</v>
      </c>
      <c r="E71" s="123">
        <v>15</v>
      </c>
      <c r="F71" s="97">
        <f t="shared" si="0"/>
        <v>3060</v>
      </c>
      <c r="G71" s="161" t="s">
        <v>129</v>
      </c>
      <c r="H71" s="144" t="s">
        <v>327</v>
      </c>
      <c r="I71" s="130" t="str">
        <f>VLOOKUP(H71,[1]Presupuesto!$B$11:$C$565,2,0)</f>
        <v>UTILES DE ESCRITORIO, OFICINA Y ENZE¥ANZA</v>
      </c>
      <c r="J71" s="98" t="str">
        <f t="shared" si="1"/>
        <v>Gestión Administrativa y  financiera en apoyo al Desarrollo Académico</v>
      </c>
      <c r="K71" s="98" t="s">
        <v>412</v>
      </c>
    </row>
    <row r="72" spans="3:11" s="466" customFormat="1" x14ac:dyDescent="0.25">
      <c r="C72" s="502" t="s">
        <v>1678</v>
      </c>
      <c r="D72" s="158">
        <v>204</v>
      </c>
      <c r="E72" s="123">
        <v>12</v>
      </c>
      <c r="F72" s="97">
        <f t="shared" si="0"/>
        <v>2448</v>
      </c>
      <c r="G72" s="161" t="s">
        <v>129</v>
      </c>
      <c r="H72" s="144" t="s">
        <v>327</v>
      </c>
      <c r="I72" s="130" t="str">
        <f>VLOOKUP(H72,[1]Presupuesto!$B$11:$C$565,2,0)</f>
        <v>UTILES DE ESCRITORIO, OFICINA Y ENZE¥ANZA</v>
      </c>
      <c r="J72" s="98" t="str">
        <f t="shared" si="1"/>
        <v>Gestión Administrativa y  financiera en apoyo al Desarrollo Académico</v>
      </c>
      <c r="K72" s="98" t="s">
        <v>396</v>
      </c>
    </row>
    <row r="73" spans="3:11" s="466" customFormat="1" x14ac:dyDescent="0.25">
      <c r="C73" s="502" t="s">
        <v>1679</v>
      </c>
      <c r="D73" s="158">
        <v>408</v>
      </c>
      <c r="E73" s="123">
        <v>20</v>
      </c>
      <c r="F73" s="97">
        <f t="shared" si="0"/>
        <v>8160</v>
      </c>
      <c r="G73" s="161" t="s">
        <v>129</v>
      </c>
      <c r="H73" s="144" t="s">
        <v>327</v>
      </c>
      <c r="I73" s="130" t="str">
        <f>VLOOKUP(H73,[1]Presupuesto!$B$11:$C$565,2,0)</f>
        <v>UTILES DE ESCRITORIO, OFICINA Y ENZE¥ANZA</v>
      </c>
      <c r="J73" s="98" t="str">
        <f t="shared" si="1"/>
        <v>Gestión Administrativa y  financiera en apoyo al Desarrollo Académico</v>
      </c>
      <c r="K73" s="98" t="s">
        <v>398</v>
      </c>
    </row>
    <row r="74" spans="3:11" s="466" customFormat="1" x14ac:dyDescent="0.25">
      <c r="C74" s="502" t="s">
        <v>1680</v>
      </c>
      <c r="D74" s="158">
        <v>24</v>
      </c>
      <c r="E74" s="123">
        <v>20</v>
      </c>
      <c r="F74" s="97">
        <f t="shared" si="0"/>
        <v>480</v>
      </c>
      <c r="G74" s="161" t="s">
        <v>129</v>
      </c>
      <c r="H74" s="144" t="s">
        <v>327</v>
      </c>
      <c r="I74" s="130" t="str">
        <f>VLOOKUP(H74,[1]Presupuesto!$B$11:$C$565,2,0)</f>
        <v>UTILES DE ESCRITORIO, OFICINA Y ENZE¥ANZA</v>
      </c>
      <c r="J74" s="98" t="str">
        <f t="shared" si="1"/>
        <v>Gestión Administrativa y  financiera en apoyo al Desarrollo Académico</v>
      </c>
      <c r="K74" s="98" t="s">
        <v>397</v>
      </c>
    </row>
    <row r="75" spans="3:11" s="466" customFormat="1" x14ac:dyDescent="0.25">
      <c r="C75" s="502" t="s">
        <v>1681</v>
      </c>
      <c r="D75" s="158">
        <v>6</v>
      </c>
      <c r="E75" s="123">
        <v>25</v>
      </c>
      <c r="F75" s="97">
        <f t="shared" si="0"/>
        <v>150</v>
      </c>
      <c r="G75" s="161" t="s">
        <v>129</v>
      </c>
      <c r="H75" s="144" t="s">
        <v>327</v>
      </c>
      <c r="I75" s="130" t="str">
        <f>VLOOKUP(H75,[1]Presupuesto!$B$11:$C$565,2,0)</f>
        <v>UTILES DE ESCRITORIO, OFICINA Y ENZE¥ANZA</v>
      </c>
      <c r="J75" s="98" t="str">
        <f t="shared" si="1"/>
        <v>Gestión Administrativa y  financiera en apoyo al Desarrollo Académico</v>
      </c>
      <c r="K75" s="98" t="s">
        <v>395</v>
      </c>
    </row>
    <row r="76" spans="3:11" s="466" customFormat="1" x14ac:dyDescent="0.25">
      <c r="C76" s="502" t="s">
        <v>1682</v>
      </c>
      <c r="D76" s="158">
        <v>6</v>
      </c>
      <c r="E76" s="123">
        <v>30</v>
      </c>
      <c r="F76" s="97">
        <f t="shared" si="0"/>
        <v>180</v>
      </c>
      <c r="G76" s="161" t="s">
        <v>129</v>
      </c>
      <c r="H76" s="144" t="s">
        <v>327</v>
      </c>
      <c r="I76" s="130" t="str">
        <f>VLOOKUP(H76,[1]Presupuesto!$B$11:$C$565,2,0)</f>
        <v>UTILES DE ESCRITORIO, OFICINA Y ENZE¥ANZA</v>
      </c>
      <c r="J76" s="98" t="str">
        <f t="shared" si="1"/>
        <v>Gestión Administrativa y  financiera en apoyo al Desarrollo Académico</v>
      </c>
      <c r="K76" s="98" t="s">
        <v>412</v>
      </c>
    </row>
    <row r="77" spans="3:11" s="466" customFormat="1" x14ac:dyDescent="0.25">
      <c r="C77" s="502" t="s">
        <v>1683</v>
      </c>
      <c r="D77" s="158">
        <v>204</v>
      </c>
      <c r="E77" s="123">
        <v>5</v>
      </c>
      <c r="F77" s="97">
        <f t="shared" si="0"/>
        <v>1020</v>
      </c>
      <c r="G77" s="161" t="s">
        <v>129</v>
      </c>
      <c r="H77" s="144" t="s">
        <v>327</v>
      </c>
      <c r="I77" s="130" t="str">
        <f>VLOOKUP(H77,[1]Presupuesto!$B$11:$C$565,2,0)</f>
        <v>UTILES DE ESCRITORIO, OFICINA Y ENZE¥ANZA</v>
      </c>
      <c r="J77" s="98" t="str">
        <f t="shared" si="1"/>
        <v>Gestión Administrativa y  financiera en apoyo al Desarrollo Académico</v>
      </c>
      <c r="K77" s="98" t="s">
        <v>395</v>
      </c>
    </row>
    <row r="78" spans="3:11" s="466" customFormat="1" x14ac:dyDescent="0.25">
      <c r="C78" s="502" t="s">
        <v>1684</v>
      </c>
      <c r="D78" s="158">
        <v>204</v>
      </c>
      <c r="E78" s="123">
        <v>35</v>
      </c>
      <c r="F78" s="97">
        <f t="shared" si="0"/>
        <v>7140</v>
      </c>
      <c r="G78" s="161" t="s">
        <v>129</v>
      </c>
      <c r="H78" s="144" t="s">
        <v>327</v>
      </c>
      <c r="I78" s="130" t="str">
        <f>VLOOKUP(H78,[1]Presupuesto!$B$11:$C$565,2,0)</f>
        <v>UTILES DE ESCRITORIO, OFICINA Y ENZE¥ANZA</v>
      </c>
      <c r="J78" s="98" t="str">
        <f t="shared" si="1"/>
        <v>Gestión Administrativa y  financiera en apoyo al Desarrollo Académico</v>
      </c>
      <c r="K78" s="98" t="s">
        <v>395</v>
      </c>
    </row>
    <row r="79" spans="3:11" s="466" customFormat="1" x14ac:dyDescent="0.25">
      <c r="C79" s="502" t="s">
        <v>1685</v>
      </c>
      <c r="D79" s="158">
        <v>50</v>
      </c>
      <c r="E79" s="123">
        <v>20</v>
      </c>
      <c r="F79" s="97">
        <f t="shared" si="0"/>
        <v>1000</v>
      </c>
      <c r="G79" s="161" t="s">
        <v>129</v>
      </c>
      <c r="H79" s="144" t="s">
        <v>327</v>
      </c>
      <c r="I79" s="130" t="str">
        <f>VLOOKUP(H79,[1]Presupuesto!$B$11:$C$565,2,0)</f>
        <v>UTILES DE ESCRITORIO, OFICINA Y ENZE¥ANZA</v>
      </c>
      <c r="J79" s="98" t="str">
        <f t="shared" si="1"/>
        <v>Gestión Administrativa y  financiera en apoyo al Desarrollo Académico</v>
      </c>
      <c r="K79" s="98" t="s">
        <v>395</v>
      </c>
    </row>
    <row r="80" spans="3:11" s="466" customFormat="1" x14ac:dyDescent="0.25">
      <c r="C80" s="502" t="s">
        <v>1686</v>
      </c>
      <c r="D80" s="158">
        <v>50</v>
      </c>
      <c r="E80" s="123">
        <v>20</v>
      </c>
      <c r="F80" s="97">
        <f t="shared" si="0"/>
        <v>1000</v>
      </c>
      <c r="G80" s="161" t="s">
        <v>129</v>
      </c>
      <c r="H80" s="144" t="s">
        <v>327</v>
      </c>
      <c r="I80" s="130" t="str">
        <f>VLOOKUP(H80,[1]Presupuesto!$B$11:$C$565,2,0)</f>
        <v>UTILES DE ESCRITORIO, OFICINA Y ENZE¥ANZA</v>
      </c>
      <c r="J80" s="98" t="str">
        <f t="shared" si="1"/>
        <v>Gestión Administrativa y  financiera en apoyo al Desarrollo Académico</v>
      </c>
      <c r="K80" s="98" t="s">
        <v>395</v>
      </c>
    </row>
    <row r="81" spans="3:11" s="466" customFormat="1" x14ac:dyDescent="0.25">
      <c r="C81" s="502" t="s">
        <v>1687</v>
      </c>
      <c r="D81" s="158">
        <v>50</v>
      </c>
      <c r="E81" s="123">
        <v>20</v>
      </c>
      <c r="F81" s="97">
        <f t="shared" ref="F81:F114" si="2">D81*E81</f>
        <v>1000</v>
      </c>
      <c r="G81" s="161" t="s">
        <v>129</v>
      </c>
      <c r="H81" s="144" t="s">
        <v>327</v>
      </c>
      <c r="I81" s="130" t="str">
        <f>VLOOKUP(H81,[1]Presupuesto!$B$11:$C$565,2,0)</f>
        <v>UTILES DE ESCRITORIO, OFICINA Y ENZE¥ANZA</v>
      </c>
      <c r="J81" s="98" t="str">
        <f t="shared" si="1"/>
        <v>Gestión Administrativa y  financiera en apoyo al Desarrollo Académico</v>
      </c>
      <c r="K81" s="98" t="s">
        <v>412</v>
      </c>
    </row>
    <row r="82" spans="3:11" s="466" customFormat="1" x14ac:dyDescent="0.25">
      <c r="C82" s="502" t="s">
        <v>1688</v>
      </c>
      <c r="D82" s="158">
        <v>36</v>
      </c>
      <c r="E82" s="123">
        <v>15</v>
      </c>
      <c r="F82" s="97">
        <f t="shared" si="2"/>
        <v>540</v>
      </c>
      <c r="G82" s="161" t="s">
        <v>129</v>
      </c>
      <c r="H82" s="144" t="s">
        <v>327</v>
      </c>
      <c r="I82" s="130" t="str">
        <f>VLOOKUP(H82,[1]Presupuesto!$B$11:$C$565,2,0)</f>
        <v>UTILES DE ESCRITORIO, OFICINA Y ENZE¥ANZA</v>
      </c>
      <c r="J82" s="98" t="str">
        <f t="shared" si="1"/>
        <v>Gestión Administrativa y  financiera en apoyo al Desarrollo Académico</v>
      </c>
      <c r="K82" s="98" t="s">
        <v>395</v>
      </c>
    </row>
    <row r="83" spans="3:11" s="466" customFormat="1" x14ac:dyDescent="0.25">
      <c r="C83" s="502" t="s">
        <v>1689</v>
      </c>
      <c r="D83" s="158">
        <v>408</v>
      </c>
      <c r="E83" s="123">
        <v>6</v>
      </c>
      <c r="F83" s="97">
        <f t="shared" si="2"/>
        <v>2448</v>
      </c>
      <c r="G83" s="161" t="s">
        <v>129</v>
      </c>
      <c r="H83" s="144" t="s">
        <v>327</v>
      </c>
      <c r="I83" s="130" t="str">
        <f>VLOOKUP(H83,[1]Presupuesto!$B$11:$C$565,2,0)</f>
        <v>UTILES DE ESCRITORIO, OFICINA Y ENZE¥ANZA</v>
      </c>
      <c r="J83" s="98" t="str">
        <f t="shared" si="1"/>
        <v>Gestión Administrativa y  financiera en apoyo al Desarrollo Académico</v>
      </c>
      <c r="K83" s="98" t="s">
        <v>396</v>
      </c>
    </row>
    <row r="84" spans="3:11" s="466" customFormat="1" x14ac:dyDescent="0.25">
      <c r="C84" s="502" t="s">
        <v>1690</v>
      </c>
      <c r="D84" s="158">
        <v>408</v>
      </c>
      <c r="E84" s="123">
        <v>12</v>
      </c>
      <c r="F84" s="97">
        <f t="shared" si="2"/>
        <v>4896</v>
      </c>
      <c r="G84" s="161" t="s">
        <v>129</v>
      </c>
      <c r="H84" s="144" t="s">
        <v>327</v>
      </c>
      <c r="I84" s="130" t="str">
        <f>VLOOKUP(H84,[1]Presupuesto!$B$11:$C$565,2,0)</f>
        <v>UTILES DE ESCRITORIO, OFICINA Y ENZE¥ANZA</v>
      </c>
      <c r="J84" s="98" t="str">
        <f t="shared" si="1"/>
        <v>Gestión Administrativa y  financiera en apoyo al Desarrollo Académico</v>
      </c>
      <c r="K84" s="98" t="s">
        <v>397</v>
      </c>
    </row>
    <row r="85" spans="3:11" s="466" customFormat="1" x14ac:dyDescent="0.25">
      <c r="C85" s="502" t="s">
        <v>1691</v>
      </c>
      <c r="D85" s="158">
        <v>408</v>
      </c>
      <c r="E85" s="123">
        <v>15</v>
      </c>
      <c r="F85" s="97">
        <f t="shared" si="2"/>
        <v>6120</v>
      </c>
      <c r="G85" s="161" t="s">
        <v>129</v>
      </c>
      <c r="H85" s="144" t="s">
        <v>327</v>
      </c>
      <c r="I85" s="130" t="str">
        <f>VLOOKUP(H85,[1]Presupuesto!$B$11:$C$565,2,0)</f>
        <v>UTILES DE ESCRITORIO, OFICINA Y ENZE¥ANZA</v>
      </c>
      <c r="J85" s="98" t="str">
        <f t="shared" si="1"/>
        <v>Gestión Administrativa y  financiera en apoyo al Desarrollo Académico</v>
      </c>
      <c r="K85" s="98" t="s">
        <v>398</v>
      </c>
    </row>
    <row r="86" spans="3:11" s="466" customFormat="1" x14ac:dyDescent="0.25">
      <c r="C86" s="502" t="s">
        <v>1692</v>
      </c>
      <c r="D86" s="158">
        <v>100</v>
      </c>
      <c r="E86" s="123">
        <v>35</v>
      </c>
      <c r="F86" s="97">
        <f t="shared" si="2"/>
        <v>3500</v>
      </c>
      <c r="G86" s="161" t="s">
        <v>129</v>
      </c>
      <c r="H86" s="144" t="s">
        <v>327</v>
      </c>
      <c r="I86" s="130" t="str">
        <f>VLOOKUP(H86,[1]Presupuesto!$B$11:$C$565,2,0)</f>
        <v>UTILES DE ESCRITORIO, OFICINA Y ENZE¥ANZA</v>
      </c>
      <c r="J86" s="98" t="str">
        <f t="shared" si="1"/>
        <v>Gestión Administrativa y  financiera en apoyo al Desarrollo Académico</v>
      </c>
      <c r="K86" s="98" t="s">
        <v>397</v>
      </c>
    </row>
    <row r="87" spans="3:11" x14ac:dyDescent="0.25">
      <c r="C87" s="502" t="s">
        <v>1693</v>
      </c>
      <c r="D87" s="158">
        <v>100</v>
      </c>
      <c r="E87" s="123">
        <v>35</v>
      </c>
      <c r="F87" s="97">
        <f t="shared" si="2"/>
        <v>3500</v>
      </c>
      <c r="G87" s="161" t="s">
        <v>129</v>
      </c>
      <c r="H87" s="144" t="s">
        <v>327</v>
      </c>
      <c r="I87" s="130" t="str">
        <f>VLOOKUP(H87,[1]Presupuesto!$B$11:$C$565,2,0)</f>
        <v>UTILES DE ESCRITORIO, OFICINA Y ENZE¥ANZA</v>
      </c>
      <c r="J87" s="98" t="str">
        <f t="shared" si="1"/>
        <v>Gestión Administrativa y  financiera en apoyo al Desarrollo Académico</v>
      </c>
      <c r="K87" s="98" t="s">
        <v>398</v>
      </c>
    </row>
    <row r="88" spans="3:11" x14ac:dyDescent="0.25">
      <c r="C88" s="502" t="s">
        <v>1694</v>
      </c>
      <c r="D88" s="158">
        <v>100</v>
      </c>
      <c r="E88" s="123">
        <v>35</v>
      </c>
      <c r="F88" s="97">
        <f t="shared" si="2"/>
        <v>3500</v>
      </c>
      <c r="G88" s="161" t="s">
        <v>129</v>
      </c>
      <c r="H88" s="144" t="s">
        <v>327</v>
      </c>
      <c r="I88" s="130" t="str">
        <f>VLOOKUP(H88,[1]Presupuesto!$B$11:$C$565,2,0)</f>
        <v>UTILES DE ESCRITORIO, OFICINA Y ENZE¥ANZA</v>
      </c>
      <c r="J88" s="98" t="str">
        <f t="shared" si="1"/>
        <v>Gestión Administrativa y  financiera en apoyo al Desarrollo Académico</v>
      </c>
      <c r="K88" s="98" t="s">
        <v>399</v>
      </c>
    </row>
    <row r="89" spans="3:11" x14ac:dyDescent="0.25">
      <c r="C89" s="502" t="s">
        <v>1695</v>
      </c>
      <c r="D89" s="158">
        <v>29</v>
      </c>
      <c r="E89" s="123">
        <v>60</v>
      </c>
      <c r="F89" s="97">
        <f t="shared" si="2"/>
        <v>1740</v>
      </c>
      <c r="G89" s="161" t="s">
        <v>129</v>
      </c>
      <c r="H89" s="144" t="s">
        <v>327</v>
      </c>
      <c r="I89" s="130" t="str">
        <f>VLOOKUP(H89,[1]Presupuesto!$B$11:$C$565,2,0)</f>
        <v>UTILES DE ESCRITORIO, OFICINA Y ENZE¥ANZA</v>
      </c>
      <c r="J89" s="98" t="str">
        <f t="shared" si="1"/>
        <v>Gestión Administrativa y  financiera en apoyo al Desarrollo Académico</v>
      </c>
      <c r="K89" s="98" t="s">
        <v>397</v>
      </c>
    </row>
    <row r="90" spans="3:11" x14ac:dyDescent="0.25">
      <c r="C90" s="502" t="s">
        <v>1696</v>
      </c>
      <c r="D90" s="158">
        <v>34</v>
      </c>
      <c r="E90" s="123">
        <v>30</v>
      </c>
      <c r="F90" s="97">
        <f t="shared" si="2"/>
        <v>1020</v>
      </c>
      <c r="G90" s="161" t="s">
        <v>129</v>
      </c>
      <c r="H90" s="144" t="s">
        <v>327</v>
      </c>
      <c r="I90" s="130" t="str">
        <f>VLOOKUP(H90,[1]Presupuesto!$B$11:$C$565,2,0)</f>
        <v>UTILES DE ESCRITORIO, OFICINA Y ENZE¥ANZA</v>
      </c>
      <c r="J90" s="98" t="str">
        <f t="shared" si="1"/>
        <v>Gestión Administrativa y  financiera en apoyo al Desarrollo Académico</v>
      </c>
      <c r="K90" s="98" t="s">
        <v>395</v>
      </c>
    </row>
    <row r="91" spans="3:11" x14ac:dyDescent="0.25">
      <c r="C91" s="502" t="s">
        <v>1697</v>
      </c>
      <c r="D91" s="158">
        <v>12</v>
      </c>
      <c r="E91" s="123">
        <v>20</v>
      </c>
      <c r="F91" s="97">
        <f t="shared" si="2"/>
        <v>240</v>
      </c>
      <c r="G91" s="161" t="s">
        <v>129</v>
      </c>
      <c r="H91" s="144" t="s">
        <v>327</v>
      </c>
      <c r="I91" s="130" t="str">
        <f>VLOOKUP(H91,[1]Presupuesto!$B$11:$C$565,2,0)</f>
        <v>UTILES DE ESCRITORIO, OFICINA Y ENZE¥ANZA</v>
      </c>
      <c r="J91" s="98" t="str">
        <f t="shared" si="1"/>
        <v>Gestión Administrativa y  financiera en apoyo al Desarrollo Académico</v>
      </c>
      <c r="K91" s="98" t="s">
        <v>395</v>
      </c>
    </row>
    <row r="92" spans="3:11" x14ac:dyDescent="0.25">
      <c r="C92" s="502" t="s">
        <v>1698</v>
      </c>
      <c r="D92" s="158">
        <v>408</v>
      </c>
      <c r="E92" s="123">
        <v>15</v>
      </c>
      <c r="F92" s="97">
        <f t="shared" si="2"/>
        <v>6120</v>
      </c>
      <c r="G92" s="161" t="s">
        <v>129</v>
      </c>
      <c r="H92" s="144" t="s">
        <v>327</v>
      </c>
      <c r="I92" s="130" t="str">
        <f>VLOOKUP(H92,[1]Presupuesto!$B$11:$C$565,2,0)</f>
        <v>UTILES DE ESCRITORIO, OFICINA Y ENZE¥ANZA</v>
      </c>
      <c r="J92" s="98" t="str">
        <f t="shared" si="1"/>
        <v>Gestión Administrativa y  financiera en apoyo al Desarrollo Académico</v>
      </c>
      <c r="K92" s="98" t="s">
        <v>395</v>
      </c>
    </row>
    <row r="93" spans="3:11" x14ac:dyDescent="0.25">
      <c r="C93" s="502" t="s">
        <v>1699</v>
      </c>
      <c r="D93" s="158">
        <v>408</v>
      </c>
      <c r="E93" s="123">
        <v>15</v>
      </c>
      <c r="F93" s="97">
        <f t="shared" si="2"/>
        <v>6120</v>
      </c>
      <c r="G93" s="161" t="s">
        <v>129</v>
      </c>
      <c r="H93" s="144" t="s">
        <v>327</v>
      </c>
      <c r="I93" s="130" t="str">
        <f>VLOOKUP(H93,[1]Presupuesto!$B$11:$C$565,2,0)</f>
        <v>UTILES DE ESCRITORIO, OFICINA Y ENZE¥ANZA</v>
      </c>
      <c r="J93" s="98" t="str">
        <f t="shared" si="1"/>
        <v>Gestión Administrativa y  financiera en apoyo al Desarrollo Académico</v>
      </c>
      <c r="K93" s="98" t="s">
        <v>412</v>
      </c>
    </row>
    <row r="94" spans="3:11" x14ac:dyDescent="0.25">
      <c r="C94" s="502" t="s">
        <v>1700</v>
      </c>
      <c r="D94" s="158">
        <v>100</v>
      </c>
      <c r="E94" s="123">
        <v>35</v>
      </c>
      <c r="F94" s="97">
        <f t="shared" si="2"/>
        <v>3500</v>
      </c>
      <c r="G94" s="161" t="s">
        <v>129</v>
      </c>
      <c r="H94" s="144" t="s">
        <v>327</v>
      </c>
      <c r="I94" s="130" t="str">
        <f>VLOOKUP(H94,[1]Presupuesto!$B$11:$C$565,2,0)</f>
        <v>UTILES DE ESCRITORIO, OFICINA Y ENZE¥ANZA</v>
      </c>
      <c r="J94" s="98" t="str">
        <f t="shared" si="1"/>
        <v>Gestión Administrativa y  financiera en apoyo al Desarrollo Académico</v>
      </c>
      <c r="K94" s="98" t="s">
        <v>395</v>
      </c>
    </row>
    <row r="95" spans="3:11" x14ac:dyDescent="0.25">
      <c r="C95" s="502" t="s">
        <v>1701</v>
      </c>
      <c r="D95" s="158">
        <v>68</v>
      </c>
      <c r="E95" s="123">
        <v>30</v>
      </c>
      <c r="F95" s="97">
        <f t="shared" si="2"/>
        <v>2040</v>
      </c>
      <c r="G95" s="161" t="s">
        <v>129</v>
      </c>
      <c r="H95" s="144" t="s">
        <v>327</v>
      </c>
      <c r="I95" s="130" t="str">
        <f>VLOOKUP(H95,[1]Presupuesto!$B$11:$C$565,2,0)</f>
        <v>UTILES DE ESCRITORIO, OFICINA Y ENZE¥ANZA</v>
      </c>
      <c r="J95" s="98" t="str">
        <f t="shared" si="1"/>
        <v>Gestión Administrativa y  financiera en apoyo al Desarrollo Académico</v>
      </c>
      <c r="K95" s="98" t="s">
        <v>412</v>
      </c>
    </row>
    <row r="96" spans="3:11" x14ac:dyDescent="0.25">
      <c r="C96" s="502" t="s">
        <v>1702</v>
      </c>
      <c r="D96" s="158">
        <v>40</v>
      </c>
      <c r="E96" s="123">
        <v>51.2</v>
      </c>
      <c r="F96" s="97">
        <f t="shared" si="2"/>
        <v>2048</v>
      </c>
      <c r="G96" s="161" t="s">
        <v>129</v>
      </c>
      <c r="H96" s="144" t="s">
        <v>327</v>
      </c>
      <c r="I96" s="130" t="str">
        <f>VLOOKUP(H96,[1]Presupuesto!$B$11:$C$565,2,0)</f>
        <v>UTILES DE ESCRITORIO, OFICINA Y ENZE¥ANZA</v>
      </c>
      <c r="J96" s="98" t="str">
        <f t="shared" si="1"/>
        <v>Gestión Administrativa y  financiera en apoyo al Desarrollo Académico</v>
      </c>
      <c r="K96" s="98" t="s">
        <v>395</v>
      </c>
    </row>
    <row r="97" spans="3:11" x14ac:dyDescent="0.25">
      <c r="C97" s="502" t="s">
        <v>1703</v>
      </c>
      <c r="D97" s="158">
        <v>34</v>
      </c>
      <c r="E97" s="123">
        <v>100</v>
      </c>
      <c r="F97" s="97">
        <f t="shared" si="2"/>
        <v>3400</v>
      </c>
      <c r="G97" s="161" t="s">
        <v>129</v>
      </c>
      <c r="H97" s="144" t="s">
        <v>327</v>
      </c>
      <c r="I97" s="130" t="str">
        <f>VLOOKUP(H97,[1]Presupuesto!$B$11:$C$565,2,0)</f>
        <v>UTILES DE ESCRITORIO, OFICINA Y ENZE¥ANZA</v>
      </c>
      <c r="J97" s="98" t="str">
        <f t="shared" si="1"/>
        <v>Gestión Administrativa y  financiera en apoyo al Desarrollo Académico</v>
      </c>
      <c r="K97" s="98" t="s">
        <v>398</v>
      </c>
    </row>
    <row r="98" spans="3:11" x14ac:dyDescent="0.25">
      <c r="C98" s="502" t="s">
        <v>1704</v>
      </c>
      <c r="D98" s="158">
        <v>34</v>
      </c>
      <c r="E98" s="123">
        <v>15</v>
      </c>
      <c r="F98" s="97">
        <f t="shared" si="2"/>
        <v>510</v>
      </c>
      <c r="G98" s="161" t="s">
        <v>129</v>
      </c>
      <c r="H98" s="144" t="s">
        <v>327</v>
      </c>
      <c r="I98" s="130" t="str">
        <f>VLOOKUP(H98,[1]Presupuesto!$B$11:$C$565,2,0)</f>
        <v>UTILES DE ESCRITORIO, OFICINA Y ENZE¥ANZA</v>
      </c>
      <c r="J98" s="98" t="str">
        <f t="shared" si="1"/>
        <v>Gestión Administrativa y  financiera en apoyo al Desarrollo Académico</v>
      </c>
      <c r="K98" s="98" t="s">
        <v>397</v>
      </c>
    </row>
    <row r="99" spans="3:11" x14ac:dyDescent="0.25">
      <c r="C99" s="502" t="s">
        <v>1705</v>
      </c>
      <c r="D99" s="158">
        <v>200</v>
      </c>
      <c r="E99" s="123">
        <v>12</v>
      </c>
      <c r="F99" s="97">
        <f t="shared" si="2"/>
        <v>2400</v>
      </c>
      <c r="G99" s="161" t="s">
        <v>129</v>
      </c>
      <c r="H99" s="144" t="s">
        <v>955</v>
      </c>
      <c r="I99" s="130" t="str">
        <f>VLOOKUP(H99,[1]Presupuesto!$B$11:$C$565,2,0)</f>
        <v>OTROS RESPUESTOS Y ACCESORIOS MENORES</v>
      </c>
      <c r="J99" s="98" t="str">
        <f t="shared" si="1"/>
        <v>Gestión Administrativa y  financiera en apoyo al Desarrollo Académico</v>
      </c>
      <c r="K99" s="98" t="s">
        <v>398</v>
      </c>
    </row>
    <row r="100" spans="3:11" x14ac:dyDescent="0.25">
      <c r="C100" s="502" t="s">
        <v>1706</v>
      </c>
      <c r="D100" s="158">
        <v>300</v>
      </c>
      <c r="E100" s="123">
        <v>10</v>
      </c>
      <c r="F100" s="97">
        <f t="shared" si="2"/>
        <v>3000</v>
      </c>
      <c r="G100" s="161" t="s">
        <v>129</v>
      </c>
      <c r="H100" s="144" t="s">
        <v>955</v>
      </c>
      <c r="I100" s="130" t="str">
        <f>VLOOKUP(H100,[1]Presupuesto!$B$11:$C$565,2,0)</f>
        <v>OTROS RESPUESTOS Y ACCESORIOS MENORES</v>
      </c>
      <c r="J100" s="98" t="str">
        <f t="shared" si="1"/>
        <v>Gestión Administrativa y  financiera en apoyo al Desarrollo Académico</v>
      </c>
      <c r="K100" s="98" t="s">
        <v>400</v>
      </c>
    </row>
    <row r="101" spans="3:11" x14ac:dyDescent="0.25">
      <c r="C101" s="502" t="s">
        <v>1707</v>
      </c>
      <c r="D101" s="158">
        <v>200</v>
      </c>
      <c r="E101" s="123">
        <v>15</v>
      </c>
      <c r="F101" s="97">
        <f t="shared" si="2"/>
        <v>3000</v>
      </c>
      <c r="G101" s="161" t="s">
        <v>129</v>
      </c>
      <c r="H101" s="144" t="s">
        <v>955</v>
      </c>
      <c r="I101" s="130" t="str">
        <f>VLOOKUP(H101,[1]Presupuesto!$B$11:$C$565,2,0)</f>
        <v>OTROS RESPUESTOS Y ACCESORIOS MENORES</v>
      </c>
      <c r="J101" s="98" t="str">
        <f t="shared" si="1"/>
        <v>Gestión Administrativa y  financiera en apoyo al Desarrollo Académico</v>
      </c>
      <c r="K101" s="98" t="s">
        <v>396</v>
      </c>
    </row>
    <row r="102" spans="3:11" x14ac:dyDescent="0.25">
      <c r="C102" s="502" t="s">
        <v>1708</v>
      </c>
      <c r="D102" s="158">
        <v>120</v>
      </c>
      <c r="E102" s="123">
        <v>600</v>
      </c>
      <c r="F102" s="97">
        <f t="shared" si="2"/>
        <v>72000</v>
      </c>
      <c r="G102" s="161" t="s">
        <v>1509</v>
      </c>
      <c r="H102" s="144" t="s">
        <v>955</v>
      </c>
      <c r="I102" s="130" t="str">
        <f>VLOOKUP(H102,[1]Presupuesto!$B$11:$C$565,2,0)</f>
        <v>OTROS RESPUESTOS Y ACCESORIOS MENORES</v>
      </c>
      <c r="J102" s="98" t="str">
        <f t="shared" si="1"/>
        <v>Gestión Administrativa y  financiera en apoyo al Desarrollo Académico</v>
      </c>
      <c r="K102" s="98" t="s">
        <v>412</v>
      </c>
    </row>
    <row r="103" spans="3:11" x14ac:dyDescent="0.25">
      <c r="C103" s="502" t="s">
        <v>1709</v>
      </c>
      <c r="D103" s="158">
        <v>120</v>
      </c>
      <c r="E103" s="123">
        <v>400</v>
      </c>
      <c r="F103" s="97">
        <f t="shared" si="2"/>
        <v>48000</v>
      </c>
      <c r="G103" s="161" t="s">
        <v>1509</v>
      </c>
      <c r="H103" s="144" t="s">
        <v>955</v>
      </c>
      <c r="I103" s="130" t="str">
        <f>VLOOKUP(H103,[1]Presupuesto!$B$11:$C$565,2,0)</f>
        <v>OTROS RESPUESTOS Y ACCESORIOS MENORES</v>
      </c>
      <c r="J103" s="98" t="str">
        <f t="shared" si="1"/>
        <v>Gestión Administrativa y  financiera en apoyo al Desarrollo Académico</v>
      </c>
      <c r="K103" s="98" t="s">
        <v>396</v>
      </c>
    </row>
    <row r="104" spans="3:11" x14ac:dyDescent="0.25">
      <c r="C104" s="502" t="s">
        <v>1710</v>
      </c>
      <c r="D104" s="158">
        <v>120</v>
      </c>
      <c r="E104" s="123">
        <v>400</v>
      </c>
      <c r="F104" s="97">
        <f t="shared" si="2"/>
        <v>48000</v>
      </c>
      <c r="G104" s="161" t="s">
        <v>1509</v>
      </c>
      <c r="H104" s="144" t="s">
        <v>955</v>
      </c>
      <c r="I104" s="130" t="str">
        <f>VLOOKUP(H104,[1]Presupuesto!$B$11:$C$565,2,0)</f>
        <v>OTROS RESPUESTOS Y ACCESORIOS MENORES</v>
      </c>
      <c r="J104" s="98" t="str">
        <f t="shared" si="1"/>
        <v>Gestión Administrativa y  financiera en apoyo al Desarrollo Académico</v>
      </c>
      <c r="K104" s="98" t="s">
        <v>396</v>
      </c>
    </row>
    <row r="105" spans="3:11" x14ac:dyDescent="0.25">
      <c r="C105" s="502" t="s">
        <v>1711</v>
      </c>
      <c r="D105" s="158">
        <v>120</v>
      </c>
      <c r="E105" s="123">
        <v>400</v>
      </c>
      <c r="F105" s="97">
        <f t="shared" si="2"/>
        <v>48000</v>
      </c>
      <c r="G105" s="161" t="s">
        <v>1509</v>
      </c>
      <c r="H105" s="144" t="s">
        <v>955</v>
      </c>
      <c r="I105" s="130" t="str">
        <f>VLOOKUP(H105,[1]Presupuesto!$B$11:$C$565,2,0)</f>
        <v>OTROS RESPUESTOS Y ACCESORIOS MENORES</v>
      </c>
      <c r="J105" s="98" t="str">
        <f t="shared" si="1"/>
        <v>Gestión Administrativa y  financiera en apoyo al Desarrollo Académico</v>
      </c>
      <c r="K105" s="98" t="s">
        <v>412</v>
      </c>
    </row>
    <row r="106" spans="3:11" ht="30" x14ac:dyDescent="0.25">
      <c r="C106" s="502" t="s">
        <v>1712</v>
      </c>
      <c r="D106" s="158">
        <v>11</v>
      </c>
      <c r="E106" s="123">
        <v>900</v>
      </c>
      <c r="F106" s="97">
        <f t="shared" si="2"/>
        <v>9900</v>
      </c>
      <c r="G106" s="161" t="s">
        <v>1509</v>
      </c>
      <c r="H106" s="144" t="s">
        <v>955</v>
      </c>
      <c r="I106" s="130" t="str">
        <f>VLOOKUP(H106,[1]Presupuesto!$B$11:$C$565,2,0)</f>
        <v>OTROS RESPUESTOS Y ACCESORIOS MENORES</v>
      </c>
      <c r="J106" s="98" t="str">
        <f t="shared" si="1"/>
        <v>Gestión Administrativa y  financiera en apoyo al Desarrollo Académico</v>
      </c>
      <c r="K106" s="98" t="s">
        <v>395</v>
      </c>
    </row>
    <row r="107" spans="3:11" ht="30" x14ac:dyDescent="0.25">
      <c r="C107" s="502" t="s">
        <v>1713</v>
      </c>
      <c r="D107" s="158">
        <v>11</v>
      </c>
      <c r="E107" s="123">
        <v>900</v>
      </c>
      <c r="F107" s="97">
        <f t="shared" si="2"/>
        <v>9900</v>
      </c>
      <c r="G107" s="161" t="s">
        <v>1509</v>
      </c>
      <c r="H107" s="144" t="s">
        <v>955</v>
      </c>
      <c r="I107" s="130" t="str">
        <f>VLOOKUP(H107,[1]Presupuesto!$B$11:$C$565,2,0)</f>
        <v>OTROS RESPUESTOS Y ACCESORIOS MENORES</v>
      </c>
      <c r="J107" s="98" t="str">
        <f t="shared" si="1"/>
        <v>Gestión Administrativa y  financiera en apoyo al Desarrollo Académico</v>
      </c>
      <c r="K107" s="98" t="s">
        <v>396</v>
      </c>
    </row>
    <row r="108" spans="3:11" x14ac:dyDescent="0.25">
      <c r="C108" s="502" t="s">
        <v>1714</v>
      </c>
      <c r="D108" s="158">
        <v>12</v>
      </c>
      <c r="E108" s="123">
        <v>900</v>
      </c>
      <c r="F108" s="97">
        <f t="shared" si="2"/>
        <v>10800</v>
      </c>
      <c r="G108" s="161" t="s">
        <v>1509</v>
      </c>
      <c r="H108" s="144" t="s">
        <v>955</v>
      </c>
      <c r="I108" s="130" t="str">
        <f>VLOOKUP(H108,[1]Presupuesto!$B$11:$C$565,2,0)</f>
        <v>OTROS RESPUESTOS Y ACCESORIOS MENORES</v>
      </c>
      <c r="J108" s="98" t="str">
        <f t="shared" si="1"/>
        <v>Gestión Administrativa y  financiera en apoyo al Desarrollo Académico</v>
      </c>
      <c r="K108" s="98" t="s">
        <v>397</v>
      </c>
    </row>
    <row r="109" spans="3:11" x14ac:dyDescent="0.25">
      <c r="C109" s="502" t="s">
        <v>1715</v>
      </c>
      <c r="D109" s="158">
        <v>6</v>
      </c>
      <c r="E109" s="123">
        <v>3500</v>
      </c>
      <c r="F109" s="97">
        <f t="shared" si="2"/>
        <v>21000</v>
      </c>
      <c r="G109" s="161" t="s">
        <v>1509</v>
      </c>
      <c r="H109" s="144" t="s">
        <v>955</v>
      </c>
      <c r="I109" s="130" t="str">
        <f>VLOOKUP(H109,[1]Presupuesto!$B$11:$C$565,2,0)</f>
        <v>OTROS RESPUESTOS Y ACCESORIOS MENORES</v>
      </c>
      <c r="J109" s="98" t="str">
        <f t="shared" si="1"/>
        <v>Gestión Administrativa y  financiera en apoyo al Desarrollo Académico</v>
      </c>
      <c r="K109" s="98" t="s">
        <v>398</v>
      </c>
    </row>
    <row r="110" spans="3:11" x14ac:dyDescent="0.25">
      <c r="C110" s="502" t="s">
        <v>1716</v>
      </c>
      <c r="D110" s="158">
        <v>30</v>
      </c>
      <c r="E110" s="123">
        <v>2300</v>
      </c>
      <c r="F110" s="97">
        <f t="shared" si="2"/>
        <v>69000</v>
      </c>
      <c r="G110" s="161" t="s">
        <v>1509</v>
      </c>
      <c r="H110" s="144" t="s">
        <v>955</v>
      </c>
      <c r="I110" s="130" t="str">
        <f>VLOOKUP(H110,[1]Presupuesto!$B$11:$C$565,2,0)</f>
        <v>OTROS RESPUESTOS Y ACCESORIOS MENORES</v>
      </c>
      <c r="J110" s="98" t="str">
        <f t="shared" si="1"/>
        <v>Gestión Administrativa y  financiera en apoyo al Desarrollo Académico</v>
      </c>
      <c r="K110" s="98" t="s">
        <v>397</v>
      </c>
    </row>
    <row r="111" spans="3:11" x14ac:dyDescent="0.25">
      <c r="C111" s="502" t="s">
        <v>1717</v>
      </c>
      <c r="D111" s="158">
        <v>33</v>
      </c>
      <c r="E111" s="123">
        <v>2300</v>
      </c>
      <c r="F111" s="97">
        <f t="shared" si="2"/>
        <v>75900</v>
      </c>
      <c r="G111" s="161" t="s">
        <v>1509</v>
      </c>
      <c r="H111" s="144" t="s">
        <v>955</v>
      </c>
      <c r="I111" s="130" t="str">
        <f>VLOOKUP(H111,[1]Presupuesto!$B$11:$C$565,2,0)</f>
        <v>OTROS RESPUESTOS Y ACCESORIOS MENORES</v>
      </c>
      <c r="J111" s="98" t="str">
        <f t="shared" si="1"/>
        <v>Gestión Administrativa y  financiera en apoyo al Desarrollo Académico</v>
      </c>
      <c r="K111" s="98" t="s">
        <v>398</v>
      </c>
    </row>
    <row r="112" spans="3:11" x14ac:dyDescent="0.25">
      <c r="C112" s="502" t="s">
        <v>1718</v>
      </c>
      <c r="D112" s="158">
        <v>100</v>
      </c>
      <c r="E112" s="123">
        <v>350</v>
      </c>
      <c r="F112" s="97">
        <f t="shared" si="2"/>
        <v>35000</v>
      </c>
      <c r="G112" s="161" t="s">
        <v>1509</v>
      </c>
      <c r="H112" s="144" t="s">
        <v>955</v>
      </c>
      <c r="I112" s="130" t="str">
        <f>VLOOKUP(H112,[1]Presupuesto!$B$11:$C$565,2,0)</f>
        <v>OTROS RESPUESTOS Y ACCESORIOS MENORES</v>
      </c>
      <c r="J112" s="98" t="str">
        <f t="shared" si="1"/>
        <v>Gestión Administrativa y  financiera en apoyo al Desarrollo Académico</v>
      </c>
      <c r="K112" s="98" t="s">
        <v>397</v>
      </c>
    </row>
    <row r="113" spans="3:11" x14ac:dyDescent="0.25">
      <c r="C113" s="502" t="s">
        <v>1719</v>
      </c>
      <c r="D113" s="158">
        <v>50</v>
      </c>
      <c r="E113" s="123">
        <v>450</v>
      </c>
      <c r="F113" s="97">
        <f t="shared" si="2"/>
        <v>22500</v>
      </c>
      <c r="G113" s="161" t="s">
        <v>1509</v>
      </c>
      <c r="H113" s="144" t="s">
        <v>955</v>
      </c>
      <c r="I113" s="130" t="str">
        <f>VLOOKUP(H113,[1]Presupuesto!$B$11:$C$565,2,0)</f>
        <v>OTROS RESPUESTOS Y ACCESORIOS MENORES</v>
      </c>
      <c r="J113" s="98" t="str">
        <f t="shared" si="1"/>
        <v>Gestión Administrativa y  financiera en apoyo al Desarrollo Académico</v>
      </c>
      <c r="K113" s="98" t="s">
        <v>398</v>
      </c>
    </row>
    <row r="114" spans="3:11" ht="30.75" thickBot="1" x14ac:dyDescent="0.3">
      <c r="C114" s="509" t="s">
        <v>1720</v>
      </c>
      <c r="D114" s="541">
        <v>24</v>
      </c>
      <c r="E114" s="103">
        <v>900</v>
      </c>
      <c r="F114" s="105">
        <f t="shared" si="2"/>
        <v>21600</v>
      </c>
      <c r="G114" s="553" t="s">
        <v>1509</v>
      </c>
      <c r="H114" s="543" t="s">
        <v>955</v>
      </c>
      <c r="I114" s="132" t="str">
        <f>VLOOKUP(H114,[1]Presupuesto!$B$11:$C$565,2,0)</f>
        <v>OTROS RESPUESTOS Y ACCESORIOS MENORES</v>
      </c>
      <c r="J114" s="124" t="str">
        <f t="shared" si="1"/>
        <v>Gestión Administrativa y  financiera en apoyo al Desarrollo Académico</v>
      </c>
      <c r="K114" s="124" t="s">
        <v>396</v>
      </c>
    </row>
    <row r="116" spans="3:11" ht="15.75" thickBot="1" x14ac:dyDescent="0.3">
      <c r="F116" s="90"/>
      <c r="G116" s="89"/>
      <c r="H116" s="90"/>
      <c r="I116" s="90"/>
    </row>
    <row r="117" spans="3:11" ht="15.75" thickBot="1" x14ac:dyDescent="0.3">
      <c r="C117" s="157" t="s">
        <v>53</v>
      </c>
      <c r="D117" s="374">
        <f>SUM(F124:F158)</f>
        <v>311250</v>
      </c>
      <c r="F117" s="70"/>
      <c r="G117" s="79"/>
      <c r="H117" s="70"/>
      <c r="I117" s="70"/>
    </row>
    <row r="118" spans="3:11" x14ac:dyDescent="0.25">
      <c r="C118" s="70"/>
      <c r="D118" s="31"/>
      <c r="E118" s="93"/>
      <c r="F118" s="93"/>
      <c r="G118" s="93"/>
      <c r="H118" s="76"/>
      <c r="I118" s="76"/>
      <c r="J118" s="76"/>
      <c r="K118" s="112"/>
    </row>
    <row r="119" spans="3:11" x14ac:dyDescent="0.25">
      <c r="C119" s="70"/>
      <c r="D119" s="31"/>
      <c r="E119" s="93"/>
      <c r="F119" s="93"/>
      <c r="G119" s="93"/>
      <c r="H119" s="76"/>
      <c r="I119" s="76"/>
      <c r="J119" s="76"/>
      <c r="K119" s="112"/>
    </row>
    <row r="120" spans="3:11" ht="15.75" x14ac:dyDescent="0.25">
      <c r="C120" s="202" t="s">
        <v>392</v>
      </c>
      <c r="D120" s="370" t="s">
        <v>1616</v>
      </c>
      <c r="E120" s="93"/>
      <c r="F120" s="93"/>
      <c r="G120" s="93"/>
      <c r="H120" s="76"/>
      <c r="I120" s="76"/>
      <c r="J120" s="76"/>
      <c r="K120" s="112"/>
    </row>
    <row r="121" spans="3:11" ht="18.75" x14ac:dyDescent="0.25">
      <c r="C121" s="211" t="str">
        <f>IFERROR(VLOOKUP(D120,'1. Desarrollo e Innov. Curricu.'!$E:$F,2,FALSE),IFERROR(VLOOKUP(D120,'2. Investigación Científica'!$E:$F,2,FALSE),IFERROR(VLOOKUP(D120,'3. Vinculación Univ. Sociedad'!$E:$F,2,FALSE),IFERROR(VLOOKUP(D120,'4. Docencia y Profesorado Univ.'!$E:$F,2,FALSE),IFERROR(VLOOKUP(D120,'5. Estudiantes y Graduados'!$E:$F,2,FALSE),IFERROR(VLOOKUP(D120,'11. Gestion Administrativa'!$E:$F,2,FALSE),IFERROR(VLOOKUP(D120,'13. Gestión Académica'!$E:$F,2,FALSE),IFERROR(VLOOKUP(D120,'8. Asegura. de la Calid. y M'!$E:$F,2,FALSE),IFERROR(VLOOKUP(D120,'6. Gestión del Conocimiento'!$E:$F,2,FALSE),IFERROR(VLOOKUP(D120,'15. Gobernabilidad y Proceso...'!$E:$F,2,FALSE),IFERROR(VLOOKUP(D120,'12. Gestión del Talento Humano'!$E:$F,2,FALSE),IFERROR(VLOOKUP(D120,'14. Internacional... de la E.S.'!$E:$F,2,FALSE),IFERROR(VLOOKUP(D120,'10. Posgrado'!$E:$F,2,FALSE),IFERROR(VLOOKUP(D120,'17. Gestión TIC'!$E:$F,2,FALSE),IFERROR(VLOOKUP(D120,'16. Desa. del Sistema Educ.Sup.'!$E:$F,2,FALSE),IFERROR(VLOOKUP(D120,'9. Cultura de Inno. Insti...'!$E:$F,2,FALSE),VLOOKUP(D120,'7. Lo Esencial de la Reforma U.'!$E:$F,2,0)))))))))))))))))</f>
        <v>Gastos de operación de la SEAPI</v>
      </c>
      <c r="D121" s="31"/>
      <c r="E121" s="93"/>
      <c r="F121" s="93"/>
      <c r="G121" s="93"/>
      <c r="H121" s="76"/>
      <c r="I121" s="76"/>
      <c r="J121" s="76"/>
      <c r="K121" s="112"/>
    </row>
    <row r="122" spans="3:11" ht="15.75" thickBot="1" x14ac:dyDescent="0.3">
      <c r="F122" s="93"/>
      <c r="G122" s="76"/>
      <c r="H122" s="76"/>
      <c r="I122" s="76"/>
    </row>
    <row r="123" spans="3:11" ht="30.75" thickBot="1" x14ac:dyDescent="0.3">
      <c r="C123" s="129" t="s">
        <v>44</v>
      </c>
      <c r="D123" s="129" t="s">
        <v>55</v>
      </c>
      <c r="E123" s="136" t="s">
        <v>57</v>
      </c>
      <c r="F123" s="135" t="s">
        <v>27</v>
      </c>
      <c r="G123" s="133" t="s">
        <v>131</v>
      </c>
      <c r="H123" s="136" t="s">
        <v>46</v>
      </c>
      <c r="I123" s="133" t="s">
        <v>132</v>
      </c>
      <c r="J123" s="133" t="s">
        <v>410</v>
      </c>
      <c r="K123" s="133" t="s">
        <v>411</v>
      </c>
    </row>
    <row r="124" spans="3:11" ht="15.75" thickBot="1" x14ac:dyDescent="0.3">
      <c r="C124" s="221" t="s">
        <v>424</v>
      </c>
      <c r="D124" s="222">
        <v>45</v>
      </c>
      <c r="E124" s="220">
        <f>HLOOKUP(C124,$AH$2:$BU$3,2,0)</f>
        <v>2250</v>
      </c>
      <c r="F124" s="97">
        <f t="shared" ref="F124:F125" si="3">D124*E124</f>
        <v>101250</v>
      </c>
      <c r="G124" s="161" t="s">
        <v>1509</v>
      </c>
      <c r="H124" s="142" t="s">
        <v>307</v>
      </c>
      <c r="I124" s="130" t="str">
        <f>VLOOKUP(H124,[1]Presupuesto!$B$11:$C$565,2,0)</f>
        <v>VIATICOS NACIONALES Y OTROS GASTOS DE VIAJE PROYECTO FORTALECIMIENTO ORG. ESTUDI (26200-72)</v>
      </c>
      <c r="J124" s="219" t="s">
        <v>1364</v>
      </c>
      <c r="K124" s="98" t="s">
        <v>394</v>
      </c>
    </row>
    <row r="125" spans="3:11" ht="15.75" thickBot="1" x14ac:dyDescent="0.3">
      <c r="C125" s="555" t="s">
        <v>432</v>
      </c>
      <c r="D125" s="556">
        <v>120</v>
      </c>
      <c r="E125" s="557">
        <f>HLOOKUP(C125,$AH$2:$BU$3,2,0)</f>
        <v>1750</v>
      </c>
      <c r="F125" s="558">
        <f t="shared" si="3"/>
        <v>210000</v>
      </c>
      <c r="G125" s="334" t="s">
        <v>1509</v>
      </c>
      <c r="H125" s="559" t="s">
        <v>307</v>
      </c>
      <c r="I125" s="560" t="str">
        <f>VLOOKUP(H125,[1]Presupuesto!$B$11:$C$565,2,0)</f>
        <v>VIATICOS NACIONALES Y OTROS GASTOS DE VIAJE PROYECTO FORTALECIMIENTO ORG. ESTUDI (26200-72)</v>
      </c>
      <c r="J125" s="561" t="s">
        <v>1364</v>
      </c>
      <c r="K125" s="336" t="s">
        <v>394</v>
      </c>
    </row>
    <row r="126" spans="3:11" hidden="1" x14ac:dyDescent="0.25">
      <c r="C126" s="141"/>
      <c r="D126" s="158"/>
      <c r="E126" s="123"/>
      <c r="F126" s="97">
        <f t="shared" ref="F126:F158" si="4">D126*E126</f>
        <v>0</v>
      </c>
      <c r="G126" s="161"/>
      <c r="H126" s="142"/>
      <c r="I126" s="130" t="e">
        <f>VLOOKUP(H126,Presupuesto!$B$11:$C$565,2,0)</f>
        <v>#N/A</v>
      </c>
      <c r="J126" s="98" t="str">
        <f t="shared" ref="J126:J158" si="5">$J$124</f>
        <v>Gestión Administrativa y  financiera en apoyo al Desarrollo Académico</v>
      </c>
      <c r="K126" s="98" t="s">
        <v>412</v>
      </c>
    </row>
    <row r="127" spans="3:11" hidden="1" x14ac:dyDescent="0.25">
      <c r="C127" s="141"/>
      <c r="D127" s="158"/>
      <c r="E127" s="123"/>
      <c r="F127" s="97">
        <f t="shared" si="4"/>
        <v>0</v>
      </c>
      <c r="G127" s="161"/>
      <c r="H127" s="142"/>
      <c r="I127" s="130" t="e">
        <f>VLOOKUP(H127,Presupuesto!$B$11:$C$565,2,0)</f>
        <v>#N/A</v>
      </c>
      <c r="J127" s="98" t="str">
        <f t="shared" si="5"/>
        <v>Gestión Administrativa y  financiera en apoyo al Desarrollo Académico</v>
      </c>
      <c r="K127" s="98" t="s">
        <v>412</v>
      </c>
    </row>
    <row r="128" spans="3:11" hidden="1" x14ac:dyDescent="0.25">
      <c r="C128" s="141"/>
      <c r="D128" s="158"/>
      <c r="E128" s="123"/>
      <c r="F128" s="97">
        <f t="shared" si="4"/>
        <v>0</v>
      </c>
      <c r="G128" s="161"/>
      <c r="H128" s="142"/>
      <c r="I128" s="130" t="e">
        <f>VLOOKUP(H128,Presupuesto!$B$11:$C$565,2,0)</f>
        <v>#N/A</v>
      </c>
      <c r="J128" s="98" t="str">
        <f t="shared" si="5"/>
        <v>Gestión Administrativa y  financiera en apoyo al Desarrollo Académico</v>
      </c>
      <c r="K128" s="98" t="s">
        <v>412</v>
      </c>
    </row>
    <row r="129" spans="3:11" hidden="1" x14ac:dyDescent="0.25">
      <c r="C129" s="141"/>
      <c r="D129" s="158"/>
      <c r="E129" s="123"/>
      <c r="F129" s="97">
        <f t="shared" si="4"/>
        <v>0</v>
      </c>
      <c r="G129" s="161"/>
      <c r="H129" s="142"/>
      <c r="I129" s="130" t="e">
        <f>VLOOKUP(H129,Presupuesto!$B$11:$C$565,2,0)</f>
        <v>#N/A</v>
      </c>
      <c r="J129" s="98" t="str">
        <f t="shared" si="5"/>
        <v>Gestión Administrativa y  financiera en apoyo al Desarrollo Académico</v>
      </c>
      <c r="K129" s="98" t="s">
        <v>401</v>
      </c>
    </row>
    <row r="130" spans="3:11" hidden="1" x14ac:dyDescent="0.25">
      <c r="C130" s="141"/>
      <c r="D130" s="158"/>
      <c r="E130" s="123"/>
      <c r="F130" s="97">
        <f t="shared" si="4"/>
        <v>0</v>
      </c>
      <c r="G130" s="161"/>
      <c r="H130" s="142"/>
      <c r="I130" s="130" t="e">
        <f>VLOOKUP(H130,Presupuesto!$B$11:$C$565,2,0)</f>
        <v>#N/A</v>
      </c>
      <c r="J130" s="98" t="str">
        <f t="shared" si="5"/>
        <v>Gestión Administrativa y  financiera en apoyo al Desarrollo Académico</v>
      </c>
      <c r="K130" s="98" t="s">
        <v>412</v>
      </c>
    </row>
    <row r="131" spans="3:11" hidden="1" x14ac:dyDescent="0.25">
      <c r="C131" s="141"/>
      <c r="D131" s="158"/>
      <c r="E131" s="123"/>
      <c r="F131" s="97">
        <f t="shared" si="4"/>
        <v>0</v>
      </c>
      <c r="G131" s="161"/>
      <c r="H131" s="142"/>
      <c r="I131" s="130" t="e">
        <f>VLOOKUP(H131,Presupuesto!$B$11:$C$565,2,0)</f>
        <v>#N/A</v>
      </c>
      <c r="J131" s="98" t="str">
        <f t="shared" si="5"/>
        <v>Gestión Administrativa y  financiera en apoyo al Desarrollo Académico</v>
      </c>
      <c r="K131" s="98" t="s">
        <v>412</v>
      </c>
    </row>
    <row r="132" spans="3:11" hidden="1" x14ac:dyDescent="0.25">
      <c r="C132" s="141"/>
      <c r="D132" s="158"/>
      <c r="E132" s="123"/>
      <c r="F132" s="97">
        <f t="shared" si="4"/>
        <v>0</v>
      </c>
      <c r="G132" s="161"/>
      <c r="H132" s="142"/>
      <c r="I132" s="130" t="e">
        <f>VLOOKUP(H132,Presupuesto!$B$11:$C$565,2,0)</f>
        <v>#N/A</v>
      </c>
      <c r="J132" s="98" t="str">
        <f t="shared" si="5"/>
        <v>Gestión Administrativa y  financiera en apoyo al Desarrollo Académico</v>
      </c>
      <c r="K132" s="98" t="s">
        <v>412</v>
      </c>
    </row>
    <row r="133" spans="3:11" hidden="1" x14ac:dyDescent="0.25">
      <c r="C133" s="141"/>
      <c r="D133" s="158"/>
      <c r="E133" s="123"/>
      <c r="F133" s="97">
        <f t="shared" si="4"/>
        <v>0</v>
      </c>
      <c r="G133" s="161"/>
      <c r="H133" s="142"/>
      <c r="I133" s="130" t="e">
        <f>VLOOKUP(H133,Presupuesto!$B$11:$C$565,2,0)</f>
        <v>#N/A</v>
      </c>
      <c r="J133" s="98" t="str">
        <f t="shared" si="5"/>
        <v>Gestión Administrativa y  financiera en apoyo al Desarrollo Académico</v>
      </c>
      <c r="K133" s="98" t="s">
        <v>412</v>
      </c>
    </row>
    <row r="134" spans="3:11" hidden="1" x14ac:dyDescent="0.25">
      <c r="C134" s="141"/>
      <c r="D134" s="158"/>
      <c r="E134" s="123"/>
      <c r="F134" s="97">
        <f t="shared" si="4"/>
        <v>0</v>
      </c>
      <c r="G134" s="161"/>
      <c r="H134" s="142"/>
      <c r="I134" s="130" t="e">
        <f>VLOOKUP(H134,Presupuesto!$B$11:$C$565,2,0)</f>
        <v>#N/A</v>
      </c>
      <c r="J134" s="98" t="str">
        <f t="shared" si="5"/>
        <v>Gestión Administrativa y  financiera en apoyo al Desarrollo Académico</v>
      </c>
      <c r="K134" s="98" t="s">
        <v>412</v>
      </c>
    </row>
    <row r="135" spans="3:11" hidden="1" x14ac:dyDescent="0.25">
      <c r="C135" s="141"/>
      <c r="D135" s="158"/>
      <c r="E135" s="123"/>
      <c r="F135" s="97">
        <f t="shared" si="4"/>
        <v>0</v>
      </c>
      <c r="G135" s="161"/>
      <c r="H135" s="142"/>
      <c r="I135" s="130" t="e">
        <f>VLOOKUP(H135,Presupuesto!$B$11:$C$565,2,0)</f>
        <v>#N/A</v>
      </c>
      <c r="J135" s="98" t="str">
        <f t="shared" si="5"/>
        <v>Gestión Administrativa y  financiera en apoyo al Desarrollo Académico</v>
      </c>
      <c r="K135" s="98" t="s">
        <v>412</v>
      </c>
    </row>
    <row r="136" spans="3:11" hidden="1" x14ac:dyDescent="0.25">
      <c r="C136" s="141"/>
      <c r="D136" s="158"/>
      <c r="E136" s="123"/>
      <c r="F136" s="97">
        <f t="shared" si="4"/>
        <v>0</v>
      </c>
      <c r="G136" s="161"/>
      <c r="H136" s="142"/>
      <c r="I136" s="130" t="e">
        <f>VLOOKUP(H136,Presupuesto!$B$11:$C$565,2,0)</f>
        <v>#N/A</v>
      </c>
      <c r="J136" s="98" t="str">
        <f t="shared" si="5"/>
        <v>Gestión Administrativa y  financiera en apoyo al Desarrollo Académico</v>
      </c>
      <c r="K136" s="98" t="s">
        <v>412</v>
      </c>
    </row>
    <row r="137" spans="3:11" hidden="1" x14ac:dyDescent="0.25">
      <c r="C137" s="141"/>
      <c r="D137" s="158"/>
      <c r="E137" s="123"/>
      <c r="F137" s="97">
        <f t="shared" si="4"/>
        <v>0</v>
      </c>
      <c r="G137" s="161"/>
      <c r="H137" s="142"/>
      <c r="I137" s="130" t="e">
        <f>VLOOKUP(H137,Presupuesto!$B$11:$C$565,2,0)</f>
        <v>#N/A</v>
      </c>
      <c r="J137" s="98" t="str">
        <f t="shared" si="5"/>
        <v>Gestión Administrativa y  financiera en apoyo al Desarrollo Académico</v>
      </c>
      <c r="K137" s="98" t="s">
        <v>412</v>
      </c>
    </row>
    <row r="138" spans="3:11" hidden="1" x14ac:dyDescent="0.25">
      <c r="C138" s="141"/>
      <c r="D138" s="158"/>
      <c r="E138" s="123"/>
      <c r="F138" s="97">
        <f t="shared" si="4"/>
        <v>0</v>
      </c>
      <c r="G138" s="161"/>
      <c r="H138" s="142"/>
      <c r="I138" s="130" t="e">
        <f>VLOOKUP(H138,Presupuesto!$B$11:$C$565,2,0)</f>
        <v>#N/A</v>
      </c>
      <c r="J138" s="98" t="str">
        <f t="shared" si="5"/>
        <v>Gestión Administrativa y  financiera en apoyo al Desarrollo Académico</v>
      </c>
      <c r="K138" s="98" t="s">
        <v>412</v>
      </c>
    </row>
    <row r="139" spans="3:11" hidden="1" x14ac:dyDescent="0.25">
      <c r="C139" s="141"/>
      <c r="D139" s="158"/>
      <c r="E139" s="123"/>
      <c r="F139" s="97">
        <f t="shared" si="4"/>
        <v>0</v>
      </c>
      <c r="G139" s="161"/>
      <c r="H139" s="142"/>
      <c r="I139" s="130" t="e">
        <f>VLOOKUP(H139,Presupuesto!$B$11:$C$565,2,0)</f>
        <v>#N/A</v>
      </c>
      <c r="J139" s="98" t="str">
        <f t="shared" si="5"/>
        <v>Gestión Administrativa y  financiera en apoyo al Desarrollo Académico</v>
      </c>
      <c r="K139" s="98" t="s">
        <v>412</v>
      </c>
    </row>
    <row r="140" spans="3:11" hidden="1" x14ac:dyDescent="0.25">
      <c r="C140" s="141"/>
      <c r="D140" s="158"/>
      <c r="E140" s="123"/>
      <c r="F140" s="97">
        <f t="shared" si="4"/>
        <v>0</v>
      </c>
      <c r="G140" s="161"/>
      <c r="H140" s="142"/>
      <c r="I140" s="130" t="e">
        <f>VLOOKUP(H140,Presupuesto!$B$11:$C$565,2,0)</f>
        <v>#N/A</v>
      </c>
      <c r="J140" s="98" t="str">
        <f t="shared" si="5"/>
        <v>Gestión Administrativa y  financiera en apoyo al Desarrollo Académico</v>
      </c>
      <c r="K140" s="98" t="s">
        <v>412</v>
      </c>
    </row>
    <row r="141" spans="3:11" hidden="1" x14ac:dyDescent="0.25">
      <c r="C141" s="141"/>
      <c r="D141" s="158"/>
      <c r="E141" s="123"/>
      <c r="F141" s="97">
        <f t="shared" si="4"/>
        <v>0</v>
      </c>
      <c r="G141" s="161"/>
      <c r="H141" s="142"/>
      <c r="I141" s="130" t="e">
        <f>VLOOKUP(H141,Presupuesto!$B$11:$C$565,2,0)</f>
        <v>#N/A</v>
      </c>
      <c r="J141" s="98" t="str">
        <f t="shared" si="5"/>
        <v>Gestión Administrativa y  financiera en apoyo al Desarrollo Académico</v>
      </c>
      <c r="K141" s="98" t="s">
        <v>412</v>
      </c>
    </row>
    <row r="142" spans="3:11" hidden="1" x14ac:dyDescent="0.25">
      <c r="C142" s="141"/>
      <c r="D142" s="158"/>
      <c r="E142" s="123"/>
      <c r="F142" s="97">
        <f t="shared" si="4"/>
        <v>0</v>
      </c>
      <c r="G142" s="161"/>
      <c r="H142" s="142"/>
      <c r="I142" s="130" t="e">
        <f>VLOOKUP(H142,Presupuesto!$B$11:$C$565,2,0)</f>
        <v>#N/A</v>
      </c>
      <c r="J142" s="98" t="str">
        <f t="shared" si="5"/>
        <v>Gestión Administrativa y  financiera en apoyo al Desarrollo Académico</v>
      </c>
      <c r="K142" s="98" t="s">
        <v>412</v>
      </c>
    </row>
    <row r="143" spans="3:11" hidden="1" x14ac:dyDescent="0.25">
      <c r="C143" s="141"/>
      <c r="D143" s="158"/>
      <c r="E143" s="123"/>
      <c r="F143" s="97">
        <f t="shared" si="4"/>
        <v>0</v>
      </c>
      <c r="G143" s="161"/>
      <c r="H143" s="142"/>
      <c r="I143" s="130" t="e">
        <f>VLOOKUP(H143,Presupuesto!$B$11:$C$565,2,0)</f>
        <v>#N/A</v>
      </c>
      <c r="J143" s="98" t="str">
        <f t="shared" si="5"/>
        <v>Gestión Administrativa y  financiera en apoyo al Desarrollo Académico</v>
      </c>
      <c r="K143" s="98" t="s">
        <v>412</v>
      </c>
    </row>
    <row r="144" spans="3:11" hidden="1" x14ac:dyDescent="0.25">
      <c r="C144" s="141"/>
      <c r="D144" s="158"/>
      <c r="E144" s="123"/>
      <c r="F144" s="97">
        <f t="shared" si="4"/>
        <v>0</v>
      </c>
      <c r="G144" s="161"/>
      <c r="H144" s="142"/>
      <c r="I144" s="130" t="e">
        <f>VLOOKUP(H144,Presupuesto!$B$11:$C$565,2,0)</f>
        <v>#N/A</v>
      </c>
      <c r="J144" s="98" t="str">
        <f t="shared" si="5"/>
        <v>Gestión Administrativa y  financiera en apoyo al Desarrollo Académico</v>
      </c>
      <c r="K144" s="98" t="s">
        <v>412</v>
      </c>
    </row>
    <row r="145" spans="3:11" hidden="1" x14ac:dyDescent="0.25">
      <c r="C145" s="141"/>
      <c r="D145" s="158"/>
      <c r="E145" s="123"/>
      <c r="F145" s="97">
        <f t="shared" si="4"/>
        <v>0</v>
      </c>
      <c r="G145" s="161"/>
      <c r="H145" s="142"/>
      <c r="I145" s="130" t="e">
        <f>VLOOKUP(H145,Presupuesto!$B$11:$C$565,2,0)</f>
        <v>#N/A</v>
      </c>
      <c r="J145" s="98" t="str">
        <f t="shared" si="5"/>
        <v>Gestión Administrativa y  financiera en apoyo al Desarrollo Académico</v>
      </c>
      <c r="K145" s="98" t="s">
        <v>412</v>
      </c>
    </row>
    <row r="146" spans="3:11" hidden="1" x14ac:dyDescent="0.25">
      <c r="C146" s="143"/>
      <c r="D146" s="151"/>
      <c r="E146" s="118"/>
      <c r="F146" s="97">
        <f t="shared" si="4"/>
        <v>0</v>
      </c>
      <c r="G146" s="161"/>
      <c r="H146" s="144"/>
      <c r="I146" s="130" t="e">
        <f>VLOOKUP(H146,Presupuesto!$B$11:$C$565,2,0)</f>
        <v>#N/A</v>
      </c>
      <c r="J146" s="98" t="str">
        <f t="shared" si="5"/>
        <v>Gestión Administrativa y  financiera en apoyo al Desarrollo Académico</v>
      </c>
      <c r="K146" s="98" t="s">
        <v>412</v>
      </c>
    </row>
    <row r="147" spans="3:11" hidden="1" x14ac:dyDescent="0.25">
      <c r="C147" s="143"/>
      <c r="D147" s="151"/>
      <c r="E147" s="118"/>
      <c r="F147" s="97">
        <f t="shared" si="4"/>
        <v>0</v>
      </c>
      <c r="G147" s="161"/>
      <c r="H147" s="144"/>
      <c r="I147" s="130" t="e">
        <f>VLOOKUP(H147,Presupuesto!$B$11:$C$565,2,0)</f>
        <v>#N/A</v>
      </c>
      <c r="J147" s="98" t="str">
        <f t="shared" si="5"/>
        <v>Gestión Administrativa y  financiera en apoyo al Desarrollo Académico</v>
      </c>
      <c r="K147" s="98" t="s">
        <v>412</v>
      </c>
    </row>
    <row r="148" spans="3:11" hidden="1" x14ac:dyDescent="0.25">
      <c r="C148" s="143"/>
      <c r="D148" s="151"/>
      <c r="E148" s="118"/>
      <c r="F148" s="97">
        <f t="shared" si="4"/>
        <v>0</v>
      </c>
      <c r="G148" s="161"/>
      <c r="H148" s="144"/>
      <c r="I148" s="130" t="e">
        <f>VLOOKUP(H148,Presupuesto!$B$11:$C$565,2,0)</f>
        <v>#N/A</v>
      </c>
      <c r="J148" s="98" t="str">
        <f t="shared" si="5"/>
        <v>Gestión Administrativa y  financiera en apoyo al Desarrollo Académico</v>
      </c>
      <c r="K148" s="98" t="s">
        <v>412</v>
      </c>
    </row>
    <row r="149" spans="3:11" hidden="1" x14ac:dyDescent="0.25">
      <c r="C149" s="143"/>
      <c r="D149" s="151"/>
      <c r="E149" s="118"/>
      <c r="F149" s="97">
        <f t="shared" si="4"/>
        <v>0</v>
      </c>
      <c r="G149" s="161"/>
      <c r="H149" s="144"/>
      <c r="I149" s="130" t="e">
        <f>VLOOKUP(H149,Presupuesto!$B$11:$C$565,2,0)</f>
        <v>#N/A</v>
      </c>
      <c r="J149" s="98" t="str">
        <f t="shared" si="5"/>
        <v>Gestión Administrativa y  financiera en apoyo al Desarrollo Académico</v>
      </c>
      <c r="K149" s="98" t="s">
        <v>412</v>
      </c>
    </row>
    <row r="150" spans="3:11" hidden="1" x14ac:dyDescent="0.25">
      <c r="C150" s="143"/>
      <c r="D150" s="151"/>
      <c r="E150" s="118"/>
      <c r="F150" s="97">
        <f t="shared" si="4"/>
        <v>0</v>
      </c>
      <c r="G150" s="161"/>
      <c r="H150" s="144"/>
      <c r="I150" s="130" t="e">
        <f>VLOOKUP(H150,Presupuesto!$B$11:$C$565,2,0)</f>
        <v>#N/A</v>
      </c>
      <c r="J150" s="98" t="str">
        <f t="shared" si="5"/>
        <v>Gestión Administrativa y  financiera en apoyo al Desarrollo Académico</v>
      </c>
      <c r="K150" s="98" t="s">
        <v>412</v>
      </c>
    </row>
    <row r="151" spans="3:11" hidden="1" x14ac:dyDescent="0.25">
      <c r="C151" s="143"/>
      <c r="D151" s="151"/>
      <c r="E151" s="118"/>
      <c r="F151" s="97">
        <f t="shared" si="4"/>
        <v>0</v>
      </c>
      <c r="G151" s="161"/>
      <c r="H151" s="144"/>
      <c r="I151" s="130" t="e">
        <f>VLOOKUP(H151,Presupuesto!$B$11:$C$565,2,0)</f>
        <v>#N/A</v>
      </c>
      <c r="J151" s="98" t="str">
        <f t="shared" si="5"/>
        <v>Gestión Administrativa y  financiera en apoyo al Desarrollo Académico</v>
      </c>
      <c r="K151" s="98" t="s">
        <v>412</v>
      </c>
    </row>
    <row r="152" spans="3:11" hidden="1" x14ac:dyDescent="0.25">
      <c r="C152" s="143"/>
      <c r="D152" s="151"/>
      <c r="E152" s="118"/>
      <c r="F152" s="97">
        <f t="shared" si="4"/>
        <v>0</v>
      </c>
      <c r="G152" s="161"/>
      <c r="H152" s="144"/>
      <c r="I152" s="130" t="e">
        <f>VLOOKUP(H152,Presupuesto!$B$11:$C$565,2,0)</f>
        <v>#N/A</v>
      </c>
      <c r="J152" s="98" t="str">
        <f t="shared" si="5"/>
        <v>Gestión Administrativa y  financiera en apoyo al Desarrollo Académico</v>
      </c>
      <c r="K152" s="98" t="s">
        <v>412</v>
      </c>
    </row>
    <row r="153" spans="3:11" hidden="1" x14ac:dyDescent="0.25">
      <c r="C153" s="143"/>
      <c r="D153" s="151"/>
      <c r="E153" s="118"/>
      <c r="F153" s="97">
        <f t="shared" si="4"/>
        <v>0</v>
      </c>
      <c r="G153" s="161"/>
      <c r="H153" s="144"/>
      <c r="I153" s="130" t="e">
        <f>VLOOKUP(H153,Presupuesto!$B$11:$C$565,2,0)</f>
        <v>#N/A</v>
      </c>
      <c r="J153" s="98" t="str">
        <f t="shared" si="5"/>
        <v>Gestión Administrativa y  financiera en apoyo al Desarrollo Académico</v>
      </c>
      <c r="K153" s="98" t="s">
        <v>412</v>
      </c>
    </row>
    <row r="154" spans="3:11" hidden="1" x14ac:dyDescent="0.25">
      <c r="C154" s="145"/>
      <c r="D154" s="151"/>
      <c r="E154" s="118"/>
      <c r="F154" s="97">
        <f t="shared" si="4"/>
        <v>0</v>
      </c>
      <c r="G154" s="161"/>
      <c r="H154" s="146"/>
      <c r="I154" s="130" t="e">
        <f>VLOOKUP(H154,Presupuesto!$B$11:$C$565,2,0)</f>
        <v>#N/A</v>
      </c>
      <c r="J154" s="98" t="str">
        <f t="shared" si="5"/>
        <v>Gestión Administrativa y  financiera en apoyo al Desarrollo Académico</v>
      </c>
      <c r="K154" s="98" t="s">
        <v>403</v>
      </c>
    </row>
    <row r="155" spans="3:11" hidden="1" x14ac:dyDescent="0.25">
      <c r="C155" s="145"/>
      <c r="D155" s="151"/>
      <c r="E155" s="118"/>
      <c r="F155" s="97">
        <f t="shared" si="4"/>
        <v>0</v>
      </c>
      <c r="G155" s="161"/>
      <c r="H155" s="146"/>
      <c r="I155" s="130" t="e">
        <f>VLOOKUP(H155,Presupuesto!$B$11:$C$565,2,0)</f>
        <v>#N/A</v>
      </c>
      <c r="J155" s="98" t="str">
        <f t="shared" si="5"/>
        <v>Gestión Administrativa y  financiera en apoyo al Desarrollo Académico</v>
      </c>
      <c r="K155" s="98" t="s">
        <v>412</v>
      </c>
    </row>
    <row r="156" spans="3:11" hidden="1" x14ac:dyDescent="0.25">
      <c r="C156" s="145"/>
      <c r="D156" s="151"/>
      <c r="E156" s="118"/>
      <c r="F156" s="97">
        <f t="shared" si="4"/>
        <v>0</v>
      </c>
      <c r="G156" s="161"/>
      <c r="H156" s="146"/>
      <c r="I156" s="130" t="e">
        <f>VLOOKUP(H156,Presupuesto!$B$11:$C$565,2,0)</f>
        <v>#N/A</v>
      </c>
      <c r="J156" s="98" t="str">
        <f t="shared" si="5"/>
        <v>Gestión Administrativa y  financiera en apoyo al Desarrollo Académico</v>
      </c>
      <c r="K156" s="98" t="s">
        <v>412</v>
      </c>
    </row>
    <row r="157" spans="3:11" hidden="1" x14ac:dyDescent="0.25">
      <c r="C157" s="145"/>
      <c r="D157" s="151"/>
      <c r="E157" s="118"/>
      <c r="F157" s="97">
        <f t="shared" si="4"/>
        <v>0</v>
      </c>
      <c r="G157" s="161"/>
      <c r="H157" s="146"/>
      <c r="I157" s="130" t="e">
        <f>VLOOKUP(H157,Presupuesto!$B$11:$C$565,2,0)</f>
        <v>#N/A</v>
      </c>
      <c r="J157" s="98" t="str">
        <f t="shared" si="5"/>
        <v>Gestión Administrativa y  financiera en apoyo al Desarrollo Académico</v>
      </c>
      <c r="K157" s="98" t="s">
        <v>412</v>
      </c>
    </row>
    <row r="158" spans="3:11" ht="15.75" hidden="1" thickBot="1" x14ac:dyDescent="0.3">
      <c r="C158" s="147"/>
      <c r="D158" s="159"/>
      <c r="E158" s="103"/>
      <c r="F158" s="105">
        <f t="shared" si="4"/>
        <v>0</v>
      </c>
      <c r="G158" s="162"/>
      <c r="H158" s="148"/>
      <c r="I158" s="132" t="e">
        <f>VLOOKUP(H158,Presupuesto!$B$11:$C$565,2,0)</f>
        <v>#N/A</v>
      </c>
      <c r="J158" s="106" t="str">
        <f t="shared" si="5"/>
        <v>Gestión Administrativa y  financiera en apoyo al Desarrollo Académico</v>
      </c>
      <c r="K158" s="124" t="s">
        <v>394</v>
      </c>
    </row>
    <row r="160" spans="3:11" ht="15.75" thickBot="1" x14ac:dyDescent="0.3"/>
    <row r="161" spans="3:11" ht="15.75" thickBot="1" x14ac:dyDescent="0.3">
      <c r="C161" s="157" t="s">
        <v>53</v>
      </c>
      <c r="D161" s="374">
        <f>SUM(F168:F202)</f>
        <v>0</v>
      </c>
      <c r="F161" s="70"/>
      <c r="G161" s="79"/>
      <c r="H161" s="70"/>
      <c r="I161" s="70"/>
    </row>
    <row r="162" spans="3:11" x14ac:dyDescent="0.25">
      <c r="C162" s="70"/>
      <c r="D162" s="31"/>
      <c r="E162" s="93"/>
      <c r="F162" s="93"/>
      <c r="G162" s="93"/>
      <c r="H162" s="76"/>
      <c r="I162" s="76"/>
      <c r="J162" s="76"/>
      <c r="K162" s="112"/>
    </row>
    <row r="163" spans="3:11" x14ac:dyDescent="0.25">
      <c r="C163" s="70"/>
      <c r="D163" s="31"/>
      <c r="E163" s="93"/>
      <c r="F163" s="93"/>
      <c r="G163" s="93"/>
      <c r="H163" s="76"/>
      <c r="I163" s="76"/>
      <c r="J163" s="76"/>
      <c r="K163" s="112"/>
    </row>
    <row r="164" spans="3:11" ht="15.75" x14ac:dyDescent="0.25">
      <c r="C164" s="202" t="s">
        <v>392</v>
      </c>
      <c r="D164" s="370"/>
      <c r="E164" s="93"/>
      <c r="F164" s="93"/>
      <c r="G164" s="93"/>
      <c r="H164" s="76"/>
      <c r="I164" s="76"/>
      <c r="J164" s="76"/>
      <c r="K164" s="112"/>
    </row>
    <row r="165" spans="3:11" ht="18.75" x14ac:dyDescent="0.25">
      <c r="C165" s="211" t="e">
        <f>IFERROR(VLOOKUP(D164,'1. Desarrollo e Innov. Curricu.'!$E:$F,2,FALSE),IFERROR(VLOOKUP(D164,'2. Investigación Científica'!$E:$F,2,FALSE),IFERROR(VLOOKUP(D164,'3. Vinculación Univ. Sociedad'!$E:$F,2,FALSE),IFERROR(VLOOKUP(D164,'4. Docencia y Profesorado Univ.'!$E:$F,2,FALSE),IFERROR(VLOOKUP(D164,'5. Estudiantes y Graduados'!$E:$F,2,FALSE),IFERROR(VLOOKUP(D164,'11. Gestion Administrativa'!$E:$F,2,FALSE),IFERROR(VLOOKUP(D164,'13. Gestión Académica'!$E:$F,2,FALSE),IFERROR(VLOOKUP(D164,'8. Asegura. de la Calid. y M'!$E:$F,2,FALSE),IFERROR(VLOOKUP(D164,'6. Gestión del Conocimiento'!$E:$F,2,FALSE),IFERROR(VLOOKUP(D164,'15. Gobernabilidad y Proceso...'!$E:$F,2,FALSE),IFERROR(VLOOKUP(D164,'12. Gestión del Talento Humano'!$E:$F,2,FALSE),IFERROR(VLOOKUP(D164,'14. Internacional... de la E.S.'!$E:$F,2,FALSE),IFERROR(VLOOKUP(D164,'10. Posgrado'!$E:$F,2,FALSE),IFERROR(VLOOKUP(D164,'17. Gestión TIC'!$E:$F,2,FALSE),IFERROR(VLOOKUP(D164,'16. Desa. del Sistema Educ.Sup.'!$E:$F,2,FALSE),IFERROR(VLOOKUP(D164,'9. Cultura de Inno. Insti...'!$E:$F,2,FALSE),VLOOKUP(D164,'7. Lo Esencial de la Reforma U.'!$E:$F,2,0)))))))))))))))))</f>
        <v>#N/A</v>
      </c>
      <c r="D165" s="409"/>
      <c r="E165" s="93"/>
      <c r="F165" s="93"/>
      <c r="G165" s="93"/>
      <c r="H165" s="76"/>
      <c r="I165" s="76"/>
      <c r="J165" s="76"/>
      <c r="K165" s="112"/>
    </row>
    <row r="166" spans="3:11" ht="15.75" thickBot="1" x14ac:dyDescent="0.3">
      <c r="F166" s="93"/>
      <c r="G166" s="76"/>
      <c r="H166" s="76"/>
      <c r="I166" s="76"/>
    </row>
    <row r="167" spans="3:11" ht="30.75" thickBot="1" x14ac:dyDescent="0.3">
      <c r="C167" s="129" t="s">
        <v>44</v>
      </c>
      <c r="D167" s="129" t="s">
        <v>55</v>
      </c>
      <c r="E167" s="136" t="s">
        <v>57</v>
      </c>
      <c r="F167" s="135" t="s">
        <v>27</v>
      </c>
      <c r="G167" s="133" t="s">
        <v>131</v>
      </c>
      <c r="H167" s="136" t="s">
        <v>46</v>
      </c>
      <c r="I167" s="133" t="s">
        <v>132</v>
      </c>
      <c r="J167" s="133" t="s">
        <v>410</v>
      </c>
      <c r="K167" s="133" t="s">
        <v>411</v>
      </c>
    </row>
    <row r="168" spans="3:11" x14ac:dyDescent="0.25">
      <c r="C168" s="221" t="s">
        <v>439</v>
      </c>
      <c r="D168" s="222"/>
      <c r="E168" s="220">
        <f>HLOOKUP(C168,$AH$2:$BU$3,2,0)</f>
        <v>620</v>
      </c>
      <c r="F168" s="97">
        <f t="shared" ref="F168:F202" si="6">D168*E168</f>
        <v>0</v>
      </c>
      <c r="G168" s="161"/>
      <c r="H168" s="142"/>
      <c r="I168" s="130" t="e">
        <f>VLOOKUP(H168,Presupuesto!$B$11:$C$565,2,0)</f>
        <v>#N/A</v>
      </c>
      <c r="J168" s="219" t="s">
        <v>1479</v>
      </c>
      <c r="K168" s="98" t="s">
        <v>394</v>
      </c>
    </row>
    <row r="169" spans="3:11" x14ac:dyDescent="0.25">
      <c r="C169" s="141"/>
      <c r="D169" s="158"/>
      <c r="E169" s="123"/>
      <c r="F169" s="97">
        <f t="shared" si="6"/>
        <v>0</v>
      </c>
      <c r="G169" s="161"/>
      <c r="H169" s="142"/>
      <c r="I169" s="130" t="e">
        <f>VLOOKUP(H169,Presupuesto!$B$11:$C$565,2,0)</f>
        <v>#N/A</v>
      </c>
      <c r="J169" s="98" t="str">
        <f>$J$168</f>
        <v>Desarrollo del Sistema de Educación Superior</v>
      </c>
      <c r="K169" s="98" t="s">
        <v>412</v>
      </c>
    </row>
    <row r="170" spans="3:11" x14ac:dyDescent="0.25">
      <c r="C170" s="141"/>
      <c r="D170" s="158"/>
      <c r="E170" s="123"/>
      <c r="F170" s="97">
        <f t="shared" si="6"/>
        <v>0</v>
      </c>
      <c r="G170" s="161"/>
      <c r="H170" s="142"/>
      <c r="I170" s="130" t="e">
        <f>VLOOKUP(H170,Presupuesto!$B$11:$C$565,2,0)</f>
        <v>#N/A</v>
      </c>
      <c r="J170" s="98" t="str">
        <f t="shared" ref="J170:J202" si="7">$J$168</f>
        <v>Desarrollo del Sistema de Educación Superior</v>
      </c>
      <c r="K170" s="98" t="s">
        <v>412</v>
      </c>
    </row>
    <row r="171" spans="3:11" x14ac:dyDescent="0.25">
      <c r="C171" s="141"/>
      <c r="D171" s="158"/>
      <c r="E171" s="123"/>
      <c r="F171" s="97">
        <f t="shared" si="6"/>
        <v>0</v>
      </c>
      <c r="G171" s="161"/>
      <c r="H171" s="142"/>
      <c r="I171" s="130" t="e">
        <f>VLOOKUP(H171,Presupuesto!$B$11:$C$565,2,0)</f>
        <v>#N/A</v>
      </c>
      <c r="J171" s="98" t="str">
        <f t="shared" si="7"/>
        <v>Desarrollo del Sistema de Educación Superior</v>
      </c>
      <c r="K171" s="98" t="s">
        <v>412</v>
      </c>
    </row>
    <row r="172" spans="3:11" x14ac:dyDescent="0.25">
      <c r="C172" s="141"/>
      <c r="D172" s="158"/>
      <c r="E172" s="123"/>
      <c r="F172" s="97">
        <f t="shared" si="6"/>
        <v>0</v>
      </c>
      <c r="G172" s="161"/>
      <c r="H172" s="142"/>
      <c r="I172" s="130" t="e">
        <f>VLOOKUP(H172,Presupuesto!$B$11:$C$565,2,0)</f>
        <v>#N/A</v>
      </c>
      <c r="J172" s="98" t="str">
        <f t="shared" si="7"/>
        <v>Desarrollo del Sistema de Educación Superior</v>
      </c>
      <c r="K172" s="98" t="s">
        <v>412</v>
      </c>
    </row>
    <row r="173" spans="3:11" x14ac:dyDescent="0.25">
      <c r="C173" s="141"/>
      <c r="D173" s="158"/>
      <c r="E173" s="123"/>
      <c r="F173" s="97">
        <f t="shared" si="6"/>
        <v>0</v>
      </c>
      <c r="G173" s="161"/>
      <c r="H173" s="142"/>
      <c r="I173" s="130" t="e">
        <f>VLOOKUP(H173,Presupuesto!$B$11:$C$565,2,0)</f>
        <v>#N/A</v>
      </c>
      <c r="J173" s="98" t="str">
        <f t="shared" si="7"/>
        <v>Desarrollo del Sistema de Educación Superior</v>
      </c>
      <c r="K173" s="98" t="s">
        <v>401</v>
      </c>
    </row>
    <row r="174" spans="3:11" x14ac:dyDescent="0.25">
      <c r="C174" s="141"/>
      <c r="D174" s="158"/>
      <c r="E174" s="123"/>
      <c r="F174" s="97">
        <f t="shared" si="6"/>
        <v>0</v>
      </c>
      <c r="G174" s="161"/>
      <c r="H174" s="142"/>
      <c r="I174" s="130" t="e">
        <f>VLOOKUP(H174,Presupuesto!$B$11:$C$565,2,0)</f>
        <v>#N/A</v>
      </c>
      <c r="J174" s="98" t="str">
        <f t="shared" si="7"/>
        <v>Desarrollo del Sistema de Educación Superior</v>
      </c>
      <c r="K174" s="98" t="s">
        <v>412</v>
      </c>
    </row>
    <row r="175" spans="3:11" x14ac:dyDescent="0.25">
      <c r="C175" s="141"/>
      <c r="D175" s="158"/>
      <c r="E175" s="123"/>
      <c r="F175" s="97">
        <f t="shared" si="6"/>
        <v>0</v>
      </c>
      <c r="G175" s="161"/>
      <c r="H175" s="142"/>
      <c r="I175" s="130" t="e">
        <f>VLOOKUP(H175,Presupuesto!$B$11:$C$565,2,0)</f>
        <v>#N/A</v>
      </c>
      <c r="J175" s="98" t="str">
        <f t="shared" si="7"/>
        <v>Desarrollo del Sistema de Educación Superior</v>
      </c>
      <c r="K175" s="98" t="s">
        <v>412</v>
      </c>
    </row>
    <row r="176" spans="3:11" x14ac:dyDescent="0.25">
      <c r="C176" s="141"/>
      <c r="D176" s="158"/>
      <c r="E176" s="123"/>
      <c r="F176" s="97">
        <f t="shared" si="6"/>
        <v>0</v>
      </c>
      <c r="G176" s="161"/>
      <c r="H176" s="142"/>
      <c r="I176" s="130" t="e">
        <f>VLOOKUP(H176,Presupuesto!$B$11:$C$565,2,0)</f>
        <v>#N/A</v>
      </c>
      <c r="J176" s="98" t="str">
        <f t="shared" si="7"/>
        <v>Desarrollo del Sistema de Educación Superior</v>
      </c>
      <c r="K176" s="98" t="s">
        <v>412</v>
      </c>
    </row>
    <row r="177" spans="3:11" x14ac:dyDescent="0.25">
      <c r="C177" s="141"/>
      <c r="D177" s="158"/>
      <c r="E177" s="123"/>
      <c r="F177" s="97">
        <f t="shared" si="6"/>
        <v>0</v>
      </c>
      <c r="G177" s="161"/>
      <c r="H177" s="142"/>
      <c r="I177" s="130" t="e">
        <f>VLOOKUP(H177,Presupuesto!$B$11:$C$565,2,0)</f>
        <v>#N/A</v>
      </c>
      <c r="J177" s="98" t="str">
        <f t="shared" si="7"/>
        <v>Desarrollo del Sistema de Educación Superior</v>
      </c>
      <c r="K177" s="98" t="s">
        <v>412</v>
      </c>
    </row>
    <row r="178" spans="3:11" x14ac:dyDescent="0.25">
      <c r="C178" s="141"/>
      <c r="D178" s="158"/>
      <c r="E178" s="123"/>
      <c r="F178" s="97">
        <f t="shared" si="6"/>
        <v>0</v>
      </c>
      <c r="G178" s="161"/>
      <c r="H178" s="142"/>
      <c r="I178" s="130" t="e">
        <f>VLOOKUP(H178,Presupuesto!$B$11:$C$565,2,0)</f>
        <v>#N/A</v>
      </c>
      <c r="J178" s="98" t="str">
        <f t="shared" si="7"/>
        <v>Desarrollo del Sistema de Educación Superior</v>
      </c>
      <c r="K178" s="98" t="s">
        <v>412</v>
      </c>
    </row>
    <row r="179" spans="3:11" x14ac:dyDescent="0.25">
      <c r="C179" s="141"/>
      <c r="D179" s="158"/>
      <c r="E179" s="123"/>
      <c r="F179" s="97">
        <f t="shared" si="6"/>
        <v>0</v>
      </c>
      <c r="G179" s="161"/>
      <c r="H179" s="142"/>
      <c r="I179" s="130" t="e">
        <f>VLOOKUP(H179,Presupuesto!$B$11:$C$565,2,0)</f>
        <v>#N/A</v>
      </c>
      <c r="J179" s="98" t="str">
        <f t="shared" si="7"/>
        <v>Desarrollo del Sistema de Educación Superior</v>
      </c>
      <c r="K179" s="98" t="s">
        <v>412</v>
      </c>
    </row>
    <row r="180" spans="3:11" x14ac:dyDescent="0.25">
      <c r="C180" s="141"/>
      <c r="D180" s="158"/>
      <c r="E180" s="123"/>
      <c r="F180" s="97">
        <f t="shared" si="6"/>
        <v>0</v>
      </c>
      <c r="G180" s="161"/>
      <c r="H180" s="142"/>
      <c r="I180" s="130" t="e">
        <f>VLOOKUP(H180,Presupuesto!$B$11:$C$565,2,0)</f>
        <v>#N/A</v>
      </c>
      <c r="J180" s="98" t="str">
        <f t="shared" si="7"/>
        <v>Desarrollo del Sistema de Educación Superior</v>
      </c>
      <c r="K180" s="98" t="s">
        <v>412</v>
      </c>
    </row>
    <row r="181" spans="3:11" x14ac:dyDescent="0.25">
      <c r="C181" s="141"/>
      <c r="D181" s="158"/>
      <c r="E181" s="123"/>
      <c r="F181" s="97">
        <f t="shared" si="6"/>
        <v>0</v>
      </c>
      <c r="G181" s="161"/>
      <c r="H181" s="142"/>
      <c r="I181" s="130" t="e">
        <f>VLOOKUP(H181,Presupuesto!$B$11:$C$565,2,0)</f>
        <v>#N/A</v>
      </c>
      <c r="J181" s="98" t="str">
        <f t="shared" si="7"/>
        <v>Desarrollo del Sistema de Educación Superior</v>
      </c>
      <c r="K181" s="98" t="s">
        <v>412</v>
      </c>
    </row>
    <row r="182" spans="3:11" x14ac:dyDescent="0.25">
      <c r="C182" s="141"/>
      <c r="D182" s="158"/>
      <c r="E182" s="123"/>
      <c r="F182" s="97">
        <f t="shared" si="6"/>
        <v>0</v>
      </c>
      <c r="G182" s="161"/>
      <c r="H182" s="142"/>
      <c r="I182" s="130" t="e">
        <f>VLOOKUP(H182,Presupuesto!$B$11:$C$565,2,0)</f>
        <v>#N/A</v>
      </c>
      <c r="J182" s="98" t="str">
        <f t="shared" si="7"/>
        <v>Desarrollo del Sistema de Educación Superior</v>
      </c>
      <c r="K182" s="98" t="s">
        <v>412</v>
      </c>
    </row>
    <row r="183" spans="3:11" x14ac:dyDescent="0.25">
      <c r="C183" s="141"/>
      <c r="D183" s="158"/>
      <c r="E183" s="123"/>
      <c r="F183" s="97">
        <f t="shared" si="6"/>
        <v>0</v>
      </c>
      <c r="G183" s="161"/>
      <c r="H183" s="142"/>
      <c r="I183" s="130" t="e">
        <f>VLOOKUP(H183,Presupuesto!$B$11:$C$565,2,0)</f>
        <v>#N/A</v>
      </c>
      <c r="J183" s="98" t="str">
        <f t="shared" si="7"/>
        <v>Desarrollo del Sistema de Educación Superior</v>
      </c>
      <c r="K183" s="98" t="s">
        <v>412</v>
      </c>
    </row>
    <row r="184" spans="3:11" x14ac:dyDescent="0.25">
      <c r="C184" s="141"/>
      <c r="D184" s="158"/>
      <c r="E184" s="123"/>
      <c r="F184" s="97">
        <f t="shared" si="6"/>
        <v>0</v>
      </c>
      <c r="G184" s="161"/>
      <c r="H184" s="142"/>
      <c r="I184" s="130" t="e">
        <f>VLOOKUP(H184,Presupuesto!$B$11:$C$565,2,0)</f>
        <v>#N/A</v>
      </c>
      <c r="J184" s="98" t="str">
        <f t="shared" si="7"/>
        <v>Desarrollo del Sistema de Educación Superior</v>
      </c>
      <c r="K184" s="98" t="s">
        <v>412</v>
      </c>
    </row>
    <row r="185" spans="3:11" x14ac:dyDescent="0.25">
      <c r="C185" s="141"/>
      <c r="D185" s="158"/>
      <c r="E185" s="123"/>
      <c r="F185" s="97">
        <f t="shared" si="6"/>
        <v>0</v>
      </c>
      <c r="G185" s="161"/>
      <c r="H185" s="142"/>
      <c r="I185" s="130" t="e">
        <f>VLOOKUP(H185,Presupuesto!$B$11:$C$565,2,0)</f>
        <v>#N/A</v>
      </c>
      <c r="J185" s="98" t="str">
        <f t="shared" si="7"/>
        <v>Desarrollo del Sistema de Educación Superior</v>
      </c>
      <c r="K185" s="98" t="s">
        <v>412</v>
      </c>
    </row>
    <row r="186" spans="3:11" x14ac:dyDescent="0.25">
      <c r="C186" s="141"/>
      <c r="D186" s="158"/>
      <c r="E186" s="123"/>
      <c r="F186" s="97">
        <f t="shared" si="6"/>
        <v>0</v>
      </c>
      <c r="G186" s="161"/>
      <c r="H186" s="142"/>
      <c r="I186" s="130" t="e">
        <f>VLOOKUP(H186,Presupuesto!$B$11:$C$565,2,0)</f>
        <v>#N/A</v>
      </c>
      <c r="J186" s="98" t="str">
        <f t="shared" si="7"/>
        <v>Desarrollo del Sistema de Educación Superior</v>
      </c>
      <c r="K186" s="98" t="s">
        <v>412</v>
      </c>
    </row>
    <row r="187" spans="3:11" x14ac:dyDescent="0.25">
      <c r="C187" s="141"/>
      <c r="D187" s="158"/>
      <c r="E187" s="123"/>
      <c r="F187" s="97">
        <f t="shared" si="6"/>
        <v>0</v>
      </c>
      <c r="G187" s="161"/>
      <c r="H187" s="142"/>
      <c r="I187" s="130" t="e">
        <f>VLOOKUP(H187,Presupuesto!$B$11:$C$565,2,0)</f>
        <v>#N/A</v>
      </c>
      <c r="J187" s="98" t="str">
        <f t="shared" si="7"/>
        <v>Desarrollo del Sistema de Educación Superior</v>
      </c>
      <c r="K187" s="98" t="s">
        <v>412</v>
      </c>
    </row>
    <row r="188" spans="3:11" x14ac:dyDescent="0.25">
      <c r="C188" s="141"/>
      <c r="D188" s="158"/>
      <c r="E188" s="123"/>
      <c r="F188" s="97">
        <f t="shared" si="6"/>
        <v>0</v>
      </c>
      <c r="G188" s="161"/>
      <c r="H188" s="142"/>
      <c r="I188" s="130" t="e">
        <f>VLOOKUP(H188,Presupuesto!$B$11:$C$565,2,0)</f>
        <v>#N/A</v>
      </c>
      <c r="J188" s="98" t="str">
        <f t="shared" si="7"/>
        <v>Desarrollo del Sistema de Educación Superior</v>
      </c>
      <c r="K188" s="98" t="s">
        <v>412</v>
      </c>
    </row>
    <row r="189" spans="3:11" x14ac:dyDescent="0.25">
      <c r="C189" s="141"/>
      <c r="D189" s="158"/>
      <c r="E189" s="123"/>
      <c r="F189" s="97">
        <f t="shared" si="6"/>
        <v>0</v>
      </c>
      <c r="G189" s="161"/>
      <c r="H189" s="142"/>
      <c r="I189" s="130" t="e">
        <f>VLOOKUP(H189,Presupuesto!$B$11:$C$565,2,0)</f>
        <v>#N/A</v>
      </c>
      <c r="J189" s="98" t="str">
        <f t="shared" si="7"/>
        <v>Desarrollo del Sistema de Educación Superior</v>
      </c>
      <c r="K189" s="98" t="s">
        <v>412</v>
      </c>
    </row>
    <row r="190" spans="3:11" x14ac:dyDescent="0.25">
      <c r="C190" s="143"/>
      <c r="D190" s="151"/>
      <c r="E190" s="118"/>
      <c r="F190" s="97">
        <f t="shared" si="6"/>
        <v>0</v>
      </c>
      <c r="G190" s="161"/>
      <c r="H190" s="144"/>
      <c r="I190" s="130" t="e">
        <f>VLOOKUP(H190,Presupuesto!$B$11:$C$565,2,0)</f>
        <v>#N/A</v>
      </c>
      <c r="J190" s="98" t="str">
        <f t="shared" si="7"/>
        <v>Desarrollo del Sistema de Educación Superior</v>
      </c>
      <c r="K190" s="98" t="s">
        <v>412</v>
      </c>
    </row>
    <row r="191" spans="3:11" x14ac:dyDescent="0.25">
      <c r="C191" s="143"/>
      <c r="D191" s="151"/>
      <c r="E191" s="118"/>
      <c r="F191" s="97">
        <f t="shared" si="6"/>
        <v>0</v>
      </c>
      <c r="G191" s="161"/>
      <c r="H191" s="144"/>
      <c r="I191" s="130" t="e">
        <f>VLOOKUP(H191,Presupuesto!$B$11:$C$565,2,0)</f>
        <v>#N/A</v>
      </c>
      <c r="J191" s="98" t="str">
        <f t="shared" si="7"/>
        <v>Desarrollo del Sistema de Educación Superior</v>
      </c>
      <c r="K191" s="98" t="s">
        <v>412</v>
      </c>
    </row>
    <row r="192" spans="3:11" x14ac:dyDescent="0.25">
      <c r="C192" s="143"/>
      <c r="D192" s="151"/>
      <c r="E192" s="118"/>
      <c r="F192" s="97">
        <f t="shared" si="6"/>
        <v>0</v>
      </c>
      <c r="G192" s="161"/>
      <c r="H192" s="144"/>
      <c r="I192" s="130" t="e">
        <f>VLOOKUP(H192,Presupuesto!$B$11:$C$565,2,0)</f>
        <v>#N/A</v>
      </c>
      <c r="J192" s="98" t="str">
        <f t="shared" si="7"/>
        <v>Desarrollo del Sistema de Educación Superior</v>
      </c>
      <c r="K192" s="98" t="s">
        <v>412</v>
      </c>
    </row>
    <row r="193" spans="3:11" x14ac:dyDescent="0.25">
      <c r="C193" s="143"/>
      <c r="D193" s="151"/>
      <c r="E193" s="118"/>
      <c r="F193" s="97">
        <f t="shared" si="6"/>
        <v>0</v>
      </c>
      <c r="G193" s="161"/>
      <c r="H193" s="144"/>
      <c r="I193" s="130" t="e">
        <f>VLOOKUP(H193,Presupuesto!$B$11:$C$565,2,0)</f>
        <v>#N/A</v>
      </c>
      <c r="J193" s="98" t="str">
        <f t="shared" si="7"/>
        <v>Desarrollo del Sistema de Educación Superior</v>
      </c>
      <c r="K193" s="98" t="s">
        <v>412</v>
      </c>
    </row>
    <row r="194" spans="3:11" x14ac:dyDescent="0.25">
      <c r="C194" s="143"/>
      <c r="D194" s="151"/>
      <c r="E194" s="118"/>
      <c r="F194" s="97">
        <f t="shared" si="6"/>
        <v>0</v>
      </c>
      <c r="G194" s="161"/>
      <c r="H194" s="144"/>
      <c r="I194" s="130" t="e">
        <f>VLOOKUP(H194,Presupuesto!$B$11:$C$565,2,0)</f>
        <v>#N/A</v>
      </c>
      <c r="J194" s="98" t="str">
        <f t="shared" si="7"/>
        <v>Desarrollo del Sistema de Educación Superior</v>
      </c>
      <c r="K194" s="98" t="s">
        <v>412</v>
      </c>
    </row>
    <row r="195" spans="3:11" x14ac:dyDescent="0.25">
      <c r="C195" s="143"/>
      <c r="D195" s="151"/>
      <c r="E195" s="118"/>
      <c r="F195" s="97">
        <f t="shared" si="6"/>
        <v>0</v>
      </c>
      <c r="G195" s="161"/>
      <c r="H195" s="144"/>
      <c r="I195" s="130" t="e">
        <f>VLOOKUP(H195,Presupuesto!$B$11:$C$565,2,0)</f>
        <v>#N/A</v>
      </c>
      <c r="J195" s="98" t="str">
        <f t="shared" si="7"/>
        <v>Desarrollo del Sistema de Educación Superior</v>
      </c>
      <c r="K195" s="98" t="s">
        <v>412</v>
      </c>
    </row>
    <row r="196" spans="3:11" x14ac:dyDescent="0.25">
      <c r="C196" s="143"/>
      <c r="D196" s="151"/>
      <c r="E196" s="118"/>
      <c r="F196" s="97">
        <f t="shared" si="6"/>
        <v>0</v>
      </c>
      <c r="G196" s="161"/>
      <c r="H196" s="144"/>
      <c r="I196" s="130" t="e">
        <f>VLOOKUP(H196,Presupuesto!$B$11:$C$565,2,0)</f>
        <v>#N/A</v>
      </c>
      <c r="J196" s="98" t="str">
        <f t="shared" si="7"/>
        <v>Desarrollo del Sistema de Educación Superior</v>
      </c>
      <c r="K196" s="98" t="s">
        <v>412</v>
      </c>
    </row>
    <row r="197" spans="3:11" x14ac:dyDescent="0.25">
      <c r="C197" s="143"/>
      <c r="D197" s="151"/>
      <c r="E197" s="118"/>
      <c r="F197" s="97">
        <f t="shared" si="6"/>
        <v>0</v>
      </c>
      <c r="G197" s="161"/>
      <c r="H197" s="144"/>
      <c r="I197" s="130" t="e">
        <f>VLOOKUP(H197,Presupuesto!$B$11:$C$565,2,0)</f>
        <v>#N/A</v>
      </c>
      <c r="J197" s="98" t="str">
        <f t="shared" si="7"/>
        <v>Desarrollo del Sistema de Educación Superior</v>
      </c>
      <c r="K197" s="98" t="s">
        <v>412</v>
      </c>
    </row>
    <row r="198" spans="3:11" x14ac:dyDescent="0.25">
      <c r="C198" s="145"/>
      <c r="D198" s="151"/>
      <c r="E198" s="118"/>
      <c r="F198" s="97">
        <f t="shared" si="6"/>
        <v>0</v>
      </c>
      <c r="G198" s="161"/>
      <c r="H198" s="146"/>
      <c r="I198" s="130" t="e">
        <f>VLOOKUP(H198,Presupuesto!$B$11:$C$565,2,0)</f>
        <v>#N/A</v>
      </c>
      <c r="J198" s="98" t="str">
        <f t="shared" si="7"/>
        <v>Desarrollo del Sistema de Educación Superior</v>
      </c>
      <c r="K198" s="98" t="s">
        <v>403</v>
      </c>
    </row>
    <row r="199" spans="3:11" x14ac:dyDescent="0.25">
      <c r="C199" s="145"/>
      <c r="D199" s="151"/>
      <c r="E199" s="118"/>
      <c r="F199" s="97">
        <f t="shared" si="6"/>
        <v>0</v>
      </c>
      <c r="G199" s="161"/>
      <c r="H199" s="146"/>
      <c r="I199" s="130" t="e">
        <f>VLOOKUP(H199,Presupuesto!$B$11:$C$565,2,0)</f>
        <v>#N/A</v>
      </c>
      <c r="J199" s="98" t="str">
        <f t="shared" si="7"/>
        <v>Desarrollo del Sistema de Educación Superior</v>
      </c>
      <c r="K199" s="98" t="s">
        <v>412</v>
      </c>
    </row>
    <row r="200" spans="3:11" x14ac:dyDescent="0.25">
      <c r="C200" s="145"/>
      <c r="D200" s="151"/>
      <c r="E200" s="118"/>
      <c r="F200" s="97">
        <f t="shared" si="6"/>
        <v>0</v>
      </c>
      <c r="G200" s="161"/>
      <c r="H200" s="146"/>
      <c r="I200" s="130" t="e">
        <f>VLOOKUP(H200,Presupuesto!$B$11:$C$565,2,0)</f>
        <v>#N/A</v>
      </c>
      <c r="J200" s="98" t="str">
        <f t="shared" si="7"/>
        <v>Desarrollo del Sistema de Educación Superior</v>
      </c>
      <c r="K200" s="98" t="s">
        <v>412</v>
      </c>
    </row>
    <row r="201" spans="3:11" x14ac:dyDescent="0.25">
      <c r="C201" s="145"/>
      <c r="D201" s="151"/>
      <c r="E201" s="118"/>
      <c r="F201" s="97">
        <f t="shared" si="6"/>
        <v>0</v>
      </c>
      <c r="G201" s="161"/>
      <c r="H201" s="146"/>
      <c r="I201" s="130" t="e">
        <f>VLOOKUP(H201,Presupuesto!$B$11:$C$565,2,0)</f>
        <v>#N/A</v>
      </c>
      <c r="J201" s="98" t="str">
        <f t="shared" si="7"/>
        <v>Desarrollo del Sistema de Educación Superior</v>
      </c>
      <c r="K201" s="98" t="s">
        <v>412</v>
      </c>
    </row>
    <row r="202" spans="3:11" ht="15.75" thickBot="1" x14ac:dyDescent="0.3">
      <c r="C202" s="147"/>
      <c r="D202" s="159"/>
      <c r="E202" s="103"/>
      <c r="F202" s="105">
        <f t="shared" si="6"/>
        <v>0</v>
      </c>
      <c r="G202" s="162"/>
      <c r="H202" s="148"/>
      <c r="I202" s="132" t="e">
        <f>VLOOKUP(H202,Presupuesto!$B$11:$C$565,2,0)</f>
        <v>#N/A</v>
      </c>
      <c r="J202" s="106" t="str">
        <f t="shared" si="7"/>
        <v>Desarrollo del Sistema de Educación Superior</v>
      </c>
      <c r="K202" s="124" t="s">
        <v>394</v>
      </c>
    </row>
    <row r="204" spans="3:11" ht="15.75" thickBot="1" x14ac:dyDescent="0.3">
      <c r="F204" s="90"/>
      <c r="G204" s="89"/>
      <c r="H204" s="90"/>
      <c r="I204" s="90"/>
    </row>
    <row r="205" spans="3:11" ht="15.75" thickBot="1" x14ac:dyDescent="0.3">
      <c r="C205" s="157" t="s">
        <v>53</v>
      </c>
      <c r="D205" s="374">
        <f>SUM(F212:F246)</f>
        <v>0</v>
      </c>
      <c r="F205" s="70"/>
      <c r="G205" s="79"/>
      <c r="H205" s="70"/>
      <c r="I205" s="70"/>
    </row>
    <row r="206" spans="3:11" x14ac:dyDescent="0.25">
      <c r="C206" s="70"/>
      <c r="D206" s="31"/>
      <c r="E206" s="93"/>
      <c r="F206" s="93"/>
      <c r="G206" s="93"/>
      <c r="H206" s="76"/>
      <c r="I206" s="76"/>
      <c r="J206" s="76"/>
      <c r="K206" s="112"/>
    </row>
    <row r="207" spans="3:11" x14ac:dyDescent="0.25">
      <c r="C207" s="70"/>
      <c r="D207" s="31"/>
      <c r="E207" s="93"/>
      <c r="F207" s="93"/>
      <c r="G207" s="93"/>
      <c r="H207" s="76"/>
      <c r="I207" s="76"/>
      <c r="J207" s="76"/>
      <c r="K207" s="112"/>
    </row>
    <row r="208" spans="3:11" ht="15.75" x14ac:dyDescent="0.25">
      <c r="C208" s="202" t="s">
        <v>392</v>
      </c>
      <c r="D208" s="370"/>
      <c r="E208" s="93"/>
      <c r="F208" s="93"/>
      <c r="G208" s="93"/>
      <c r="H208" s="76"/>
      <c r="I208" s="76"/>
      <c r="J208" s="76"/>
      <c r="K208" s="112"/>
    </row>
    <row r="209" spans="3:11" ht="18.75" x14ac:dyDescent="0.25">
      <c r="C209" s="211" t="e">
        <f>IFERROR(VLOOKUP(D208,'1. Desarrollo e Innov. Curricu.'!$E:$F,2,FALSE),IFERROR(VLOOKUP(D208,'2. Investigación Científica'!$E:$F,2,FALSE),IFERROR(VLOOKUP(D208,'3. Vinculación Univ. Sociedad'!$E:$F,2,FALSE),IFERROR(VLOOKUP(D208,'4. Docencia y Profesorado Univ.'!$E:$F,2,FALSE),IFERROR(VLOOKUP(D208,'5. Estudiantes y Graduados'!$E:$F,2,FALSE),IFERROR(VLOOKUP(D208,'11. Gestion Administrativa'!$E:$F,2,FALSE),IFERROR(VLOOKUP(D208,'13. Gestión Académica'!$E:$F,2,FALSE),IFERROR(VLOOKUP(D208,'8. Asegura. de la Calid. y M'!$E:$F,2,FALSE),IFERROR(VLOOKUP(D208,'6. Gestión del Conocimiento'!$E:$F,2,FALSE),IFERROR(VLOOKUP(D208,'15. Gobernabilidad y Proceso...'!$E:$F,2,FALSE),IFERROR(VLOOKUP(D208,'12. Gestión del Talento Humano'!$E:$F,2,FALSE),IFERROR(VLOOKUP(D208,'14. Internacional... de la E.S.'!$E:$F,2,FALSE),IFERROR(VLOOKUP(D208,'10. Posgrado'!$E:$F,2,FALSE),IFERROR(VLOOKUP(D208,'17. Gestión TIC'!$E:$F,2,FALSE),IFERROR(VLOOKUP(D208,'16. Desa. del Sistema Educ.Sup.'!$E:$F,2,FALSE),IFERROR(VLOOKUP(D208,'9. Cultura de Inno. Insti...'!$E:$F,2,FALSE),VLOOKUP(D208,'7. Lo Esencial de la Reforma U.'!$E:$F,2,0)))))))))))))))))</f>
        <v>#N/A</v>
      </c>
      <c r="D209" s="31"/>
      <c r="E209" s="93"/>
      <c r="F209" s="93"/>
      <c r="G209" s="93"/>
      <c r="H209" s="76"/>
      <c r="I209" s="76"/>
      <c r="J209" s="76"/>
      <c r="K209" s="112"/>
    </row>
    <row r="210" spans="3:11" ht="15.75" thickBot="1" x14ac:dyDescent="0.3">
      <c r="F210" s="93"/>
      <c r="G210" s="76"/>
      <c r="H210" s="76"/>
      <c r="I210" s="76"/>
    </row>
    <row r="211" spans="3:11" ht="30.75" thickBot="1" x14ac:dyDescent="0.3">
      <c r="C211" s="129" t="s">
        <v>44</v>
      </c>
      <c r="D211" s="129" t="s">
        <v>55</v>
      </c>
      <c r="E211" s="136" t="s">
        <v>57</v>
      </c>
      <c r="F211" s="135" t="s">
        <v>27</v>
      </c>
      <c r="G211" s="133" t="s">
        <v>131</v>
      </c>
      <c r="H211" s="136" t="s">
        <v>46</v>
      </c>
      <c r="I211" s="133" t="s">
        <v>132</v>
      </c>
      <c r="J211" s="133" t="s">
        <v>410</v>
      </c>
      <c r="K211" s="133" t="s">
        <v>411</v>
      </c>
    </row>
    <row r="212" spans="3:11" x14ac:dyDescent="0.25">
      <c r="C212" s="221" t="s">
        <v>439</v>
      </c>
      <c r="D212" s="222"/>
      <c r="E212" s="220">
        <f>HLOOKUP(C212,$AH$2:$BU$3,2,0)</f>
        <v>620</v>
      </c>
      <c r="F212" s="97">
        <f t="shared" ref="F212:F246" si="8">D212*E212</f>
        <v>0</v>
      </c>
      <c r="G212" s="161"/>
      <c r="H212" s="142"/>
      <c r="I212" s="130" t="e">
        <f>VLOOKUP(H212,Presupuesto!$B$11:$C$565,2,0)</f>
        <v>#N/A</v>
      </c>
      <c r="J212" s="219" t="s">
        <v>1479</v>
      </c>
      <c r="K212" s="98" t="s">
        <v>394</v>
      </c>
    </row>
    <row r="213" spans="3:11" x14ac:dyDescent="0.25">
      <c r="C213" s="141"/>
      <c r="D213" s="158"/>
      <c r="E213" s="123"/>
      <c r="F213" s="97">
        <f t="shared" si="8"/>
        <v>0</v>
      </c>
      <c r="G213" s="161"/>
      <c r="H213" s="142"/>
      <c r="I213" s="130" t="e">
        <f>VLOOKUP(H213,Presupuesto!$B$11:$C$565,2,0)</f>
        <v>#N/A</v>
      </c>
      <c r="J213" s="98" t="str">
        <f>$J$212</f>
        <v>Desarrollo del Sistema de Educación Superior</v>
      </c>
      <c r="K213" s="98" t="s">
        <v>412</v>
      </c>
    </row>
    <row r="214" spans="3:11" x14ac:dyDescent="0.25">
      <c r="C214" s="141"/>
      <c r="D214" s="158"/>
      <c r="E214" s="123"/>
      <c r="F214" s="97">
        <f t="shared" si="8"/>
        <v>0</v>
      </c>
      <c r="G214" s="161"/>
      <c r="H214" s="142"/>
      <c r="I214" s="130" t="e">
        <f>VLOOKUP(H214,Presupuesto!$B$11:$C$565,2,0)</f>
        <v>#N/A</v>
      </c>
      <c r="J214" s="98" t="str">
        <f t="shared" ref="J214:J246" si="9">$J$212</f>
        <v>Desarrollo del Sistema de Educación Superior</v>
      </c>
      <c r="K214" s="98" t="s">
        <v>412</v>
      </c>
    </row>
    <row r="215" spans="3:11" x14ac:dyDescent="0.25">
      <c r="C215" s="141"/>
      <c r="D215" s="158"/>
      <c r="E215" s="123"/>
      <c r="F215" s="97">
        <f t="shared" si="8"/>
        <v>0</v>
      </c>
      <c r="G215" s="161"/>
      <c r="H215" s="142"/>
      <c r="I215" s="130" t="e">
        <f>VLOOKUP(H215,Presupuesto!$B$11:$C$565,2,0)</f>
        <v>#N/A</v>
      </c>
      <c r="J215" s="98" t="str">
        <f t="shared" si="9"/>
        <v>Desarrollo del Sistema de Educación Superior</v>
      </c>
      <c r="K215" s="98" t="s">
        <v>412</v>
      </c>
    </row>
    <row r="216" spans="3:11" x14ac:dyDescent="0.25">
      <c r="C216" s="141"/>
      <c r="D216" s="158"/>
      <c r="E216" s="123"/>
      <c r="F216" s="97">
        <f t="shared" si="8"/>
        <v>0</v>
      </c>
      <c r="G216" s="161"/>
      <c r="H216" s="142"/>
      <c r="I216" s="130" t="e">
        <f>VLOOKUP(H216,Presupuesto!$B$11:$C$565,2,0)</f>
        <v>#N/A</v>
      </c>
      <c r="J216" s="98" t="str">
        <f t="shared" si="9"/>
        <v>Desarrollo del Sistema de Educación Superior</v>
      </c>
      <c r="K216" s="98" t="s">
        <v>412</v>
      </c>
    </row>
    <row r="217" spans="3:11" x14ac:dyDescent="0.25">
      <c r="C217" s="141"/>
      <c r="D217" s="158"/>
      <c r="E217" s="123"/>
      <c r="F217" s="97">
        <f t="shared" si="8"/>
        <v>0</v>
      </c>
      <c r="G217" s="161"/>
      <c r="H217" s="142"/>
      <c r="I217" s="130" t="e">
        <f>VLOOKUP(H217,Presupuesto!$B$11:$C$565,2,0)</f>
        <v>#N/A</v>
      </c>
      <c r="J217" s="98" t="str">
        <f t="shared" si="9"/>
        <v>Desarrollo del Sistema de Educación Superior</v>
      </c>
      <c r="K217" s="98" t="s">
        <v>401</v>
      </c>
    </row>
    <row r="218" spans="3:11" x14ac:dyDescent="0.25">
      <c r="C218" s="141"/>
      <c r="D218" s="158"/>
      <c r="E218" s="123"/>
      <c r="F218" s="97">
        <f t="shared" si="8"/>
        <v>0</v>
      </c>
      <c r="G218" s="161"/>
      <c r="H218" s="142"/>
      <c r="I218" s="130" t="e">
        <f>VLOOKUP(H218,Presupuesto!$B$11:$C$565,2,0)</f>
        <v>#N/A</v>
      </c>
      <c r="J218" s="98" t="str">
        <f t="shared" si="9"/>
        <v>Desarrollo del Sistema de Educación Superior</v>
      </c>
      <c r="K218" s="98" t="s">
        <v>412</v>
      </c>
    </row>
    <row r="219" spans="3:11" x14ac:dyDescent="0.25">
      <c r="C219" s="141"/>
      <c r="D219" s="158"/>
      <c r="E219" s="123"/>
      <c r="F219" s="97">
        <f t="shared" si="8"/>
        <v>0</v>
      </c>
      <c r="G219" s="161"/>
      <c r="H219" s="142"/>
      <c r="I219" s="130" t="e">
        <f>VLOOKUP(H219,Presupuesto!$B$11:$C$565,2,0)</f>
        <v>#N/A</v>
      </c>
      <c r="J219" s="98" t="str">
        <f t="shared" si="9"/>
        <v>Desarrollo del Sistema de Educación Superior</v>
      </c>
      <c r="K219" s="98" t="s">
        <v>412</v>
      </c>
    </row>
    <row r="220" spans="3:11" x14ac:dyDescent="0.25">
      <c r="C220" s="141"/>
      <c r="D220" s="158"/>
      <c r="E220" s="123"/>
      <c r="F220" s="97">
        <f t="shared" si="8"/>
        <v>0</v>
      </c>
      <c r="G220" s="161"/>
      <c r="H220" s="142"/>
      <c r="I220" s="130" t="e">
        <f>VLOOKUP(H220,Presupuesto!$B$11:$C$565,2,0)</f>
        <v>#N/A</v>
      </c>
      <c r="J220" s="98" t="str">
        <f t="shared" si="9"/>
        <v>Desarrollo del Sistema de Educación Superior</v>
      </c>
      <c r="K220" s="98" t="s">
        <v>412</v>
      </c>
    </row>
    <row r="221" spans="3:11" x14ac:dyDescent="0.25">
      <c r="C221" s="141"/>
      <c r="D221" s="158"/>
      <c r="E221" s="123"/>
      <c r="F221" s="97">
        <f t="shared" si="8"/>
        <v>0</v>
      </c>
      <c r="G221" s="161"/>
      <c r="H221" s="142"/>
      <c r="I221" s="130" t="e">
        <f>VLOOKUP(H221,Presupuesto!$B$11:$C$565,2,0)</f>
        <v>#N/A</v>
      </c>
      <c r="J221" s="98" t="str">
        <f t="shared" si="9"/>
        <v>Desarrollo del Sistema de Educación Superior</v>
      </c>
      <c r="K221" s="98" t="s">
        <v>412</v>
      </c>
    </row>
    <row r="222" spans="3:11" x14ac:dyDescent="0.25">
      <c r="C222" s="141"/>
      <c r="D222" s="158"/>
      <c r="E222" s="123"/>
      <c r="F222" s="97">
        <f t="shared" si="8"/>
        <v>0</v>
      </c>
      <c r="G222" s="161"/>
      <c r="H222" s="142"/>
      <c r="I222" s="130" t="e">
        <f>VLOOKUP(H222,Presupuesto!$B$11:$C$565,2,0)</f>
        <v>#N/A</v>
      </c>
      <c r="J222" s="98" t="str">
        <f t="shared" si="9"/>
        <v>Desarrollo del Sistema de Educación Superior</v>
      </c>
      <c r="K222" s="98" t="s">
        <v>412</v>
      </c>
    </row>
    <row r="223" spans="3:11" x14ac:dyDescent="0.25">
      <c r="C223" s="141"/>
      <c r="D223" s="158"/>
      <c r="E223" s="123"/>
      <c r="F223" s="97">
        <f t="shared" si="8"/>
        <v>0</v>
      </c>
      <c r="G223" s="161"/>
      <c r="H223" s="142"/>
      <c r="I223" s="130" t="e">
        <f>VLOOKUP(H223,Presupuesto!$B$11:$C$565,2,0)</f>
        <v>#N/A</v>
      </c>
      <c r="J223" s="98" t="str">
        <f t="shared" si="9"/>
        <v>Desarrollo del Sistema de Educación Superior</v>
      </c>
      <c r="K223" s="98" t="s">
        <v>412</v>
      </c>
    </row>
    <row r="224" spans="3:11" x14ac:dyDescent="0.25">
      <c r="C224" s="141"/>
      <c r="D224" s="158"/>
      <c r="E224" s="123"/>
      <c r="F224" s="97">
        <f t="shared" si="8"/>
        <v>0</v>
      </c>
      <c r="G224" s="161"/>
      <c r="H224" s="142"/>
      <c r="I224" s="130" t="e">
        <f>VLOOKUP(H224,Presupuesto!$B$11:$C$565,2,0)</f>
        <v>#N/A</v>
      </c>
      <c r="J224" s="98" t="str">
        <f t="shared" si="9"/>
        <v>Desarrollo del Sistema de Educación Superior</v>
      </c>
      <c r="K224" s="98" t="s">
        <v>412</v>
      </c>
    </row>
    <row r="225" spans="3:11" x14ac:dyDescent="0.25">
      <c r="C225" s="141"/>
      <c r="D225" s="158"/>
      <c r="E225" s="123"/>
      <c r="F225" s="97">
        <f t="shared" si="8"/>
        <v>0</v>
      </c>
      <c r="G225" s="161"/>
      <c r="H225" s="142"/>
      <c r="I225" s="130" t="e">
        <f>VLOOKUP(H225,Presupuesto!$B$11:$C$565,2,0)</f>
        <v>#N/A</v>
      </c>
      <c r="J225" s="98" t="str">
        <f t="shared" si="9"/>
        <v>Desarrollo del Sistema de Educación Superior</v>
      </c>
      <c r="K225" s="98" t="s">
        <v>412</v>
      </c>
    </row>
    <row r="226" spans="3:11" x14ac:dyDescent="0.25">
      <c r="C226" s="141"/>
      <c r="D226" s="158"/>
      <c r="E226" s="123"/>
      <c r="F226" s="97">
        <f t="shared" si="8"/>
        <v>0</v>
      </c>
      <c r="G226" s="161"/>
      <c r="H226" s="142"/>
      <c r="I226" s="130" t="e">
        <f>VLOOKUP(H226,Presupuesto!$B$11:$C$565,2,0)</f>
        <v>#N/A</v>
      </c>
      <c r="J226" s="98" t="str">
        <f t="shared" si="9"/>
        <v>Desarrollo del Sistema de Educación Superior</v>
      </c>
      <c r="K226" s="98" t="s">
        <v>412</v>
      </c>
    </row>
    <row r="227" spans="3:11" x14ac:dyDescent="0.25">
      <c r="C227" s="141"/>
      <c r="D227" s="158"/>
      <c r="E227" s="123"/>
      <c r="F227" s="97">
        <f t="shared" si="8"/>
        <v>0</v>
      </c>
      <c r="G227" s="161"/>
      <c r="H227" s="142"/>
      <c r="I227" s="130" t="e">
        <f>VLOOKUP(H227,Presupuesto!$B$11:$C$565,2,0)</f>
        <v>#N/A</v>
      </c>
      <c r="J227" s="98" t="str">
        <f t="shared" si="9"/>
        <v>Desarrollo del Sistema de Educación Superior</v>
      </c>
      <c r="K227" s="98" t="s">
        <v>412</v>
      </c>
    </row>
    <row r="228" spans="3:11" x14ac:dyDescent="0.25">
      <c r="C228" s="141"/>
      <c r="D228" s="158"/>
      <c r="E228" s="123"/>
      <c r="F228" s="97">
        <f t="shared" si="8"/>
        <v>0</v>
      </c>
      <c r="G228" s="161"/>
      <c r="H228" s="142"/>
      <c r="I228" s="130" t="e">
        <f>VLOOKUP(H228,Presupuesto!$B$11:$C$565,2,0)</f>
        <v>#N/A</v>
      </c>
      <c r="J228" s="98" t="str">
        <f t="shared" si="9"/>
        <v>Desarrollo del Sistema de Educación Superior</v>
      </c>
      <c r="K228" s="98" t="s">
        <v>412</v>
      </c>
    </row>
    <row r="229" spans="3:11" x14ac:dyDescent="0.25">
      <c r="C229" s="141"/>
      <c r="D229" s="158"/>
      <c r="E229" s="123"/>
      <c r="F229" s="97">
        <f t="shared" si="8"/>
        <v>0</v>
      </c>
      <c r="G229" s="161"/>
      <c r="H229" s="142"/>
      <c r="I229" s="130" t="e">
        <f>VLOOKUP(H229,Presupuesto!$B$11:$C$565,2,0)</f>
        <v>#N/A</v>
      </c>
      <c r="J229" s="98" t="str">
        <f t="shared" si="9"/>
        <v>Desarrollo del Sistema de Educación Superior</v>
      </c>
      <c r="K229" s="98" t="s">
        <v>412</v>
      </c>
    </row>
    <row r="230" spans="3:11" x14ac:dyDescent="0.25">
      <c r="C230" s="141"/>
      <c r="D230" s="158"/>
      <c r="E230" s="123"/>
      <c r="F230" s="97">
        <f t="shared" si="8"/>
        <v>0</v>
      </c>
      <c r="G230" s="161"/>
      <c r="H230" s="142"/>
      <c r="I230" s="130" t="e">
        <f>VLOOKUP(H230,Presupuesto!$B$11:$C$565,2,0)</f>
        <v>#N/A</v>
      </c>
      <c r="J230" s="98" t="str">
        <f t="shared" si="9"/>
        <v>Desarrollo del Sistema de Educación Superior</v>
      </c>
      <c r="K230" s="98" t="s">
        <v>412</v>
      </c>
    </row>
    <row r="231" spans="3:11" x14ac:dyDescent="0.25">
      <c r="C231" s="141"/>
      <c r="D231" s="158"/>
      <c r="E231" s="123"/>
      <c r="F231" s="97">
        <f t="shared" si="8"/>
        <v>0</v>
      </c>
      <c r="G231" s="161"/>
      <c r="H231" s="142"/>
      <c r="I231" s="130" t="e">
        <f>VLOOKUP(H231,Presupuesto!$B$11:$C$565,2,0)</f>
        <v>#N/A</v>
      </c>
      <c r="J231" s="98" t="str">
        <f t="shared" si="9"/>
        <v>Desarrollo del Sistema de Educación Superior</v>
      </c>
      <c r="K231" s="98" t="s">
        <v>412</v>
      </c>
    </row>
    <row r="232" spans="3:11" x14ac:dyDescent="0.25">
      <c r="C232" s="141"/>
      <c r="D232" s="158"/>
      <c r="E232" s="123"/>
      <c r="F232" s="97">
        <f t="shared" si="8"/>
        <v>0</v>
      </c>
      <c r="G232" s="161"/>
      <c r="H232" s="142"/>
      <c r="I232" s="130" t="e">
        <f>VLOOKUP(H232,Presupuesto!$B$11:$C$565,2,0)</f>
        <v>#N/A</v>
      </c>
      <c r="J232" s="98" t="str">
        <f t="shared" si="9"/>
        <v>Desarrollo del Sistema de Educación Superior</v>
      </c>
      <c r="K232" s="98" t="s">
        <v>412</v>
      </c>
    </row>
    <row r="233" spans="3:11" x14ac:dyDescent="0.25">
      <c r="C233" s="141"/>
      <c r="D233" s="158"/>
      <c r="E233" s="123"/>
      <c r="F233" s="97">
        <f t="shared" si="8"/>
        <v>0</v>
      </c>
      <c r="G233" s="161"/>
      <c r="H233" s="142"/>
      <c r="I233" s="130" t="e">
        <f>VLOOKUP(H233,Presupuesto!$B$11:$C$565,2,0)</f>
        <v>#N/A</v>
      </c>
      <c r="J233" s="98" t="str">
        <f t="shared" si="9"/>
        <v>Desarrollo del Sistema de Educación Superior</v>
      </c>
      <c r="K233" s="98" t="s">
        <v>412</v>
      </c>
    </row>
    <row r="234" spans="3:11" x14ac:dyDescent="0.25">
      <c r="C234" s="143"/>
      <c r="D234" s="151"/>
      <c r="E234" s="118"/>
      <c r="F234" s="97">
        <f t="shared" si="8"/>
        <v>0</v>
      </c>
      <c r="G234" s="161"/>
      <c r="H234" s="144"/>
      <c r="I234" s="130" t="e">
        <f>VLOOKUP(H234,Presupuesto!$B$11:$C$565,2,0)</f>
        <v>#N/A</v>
      </c>
      <c r="J234" s="98" t="str">
        <f t="shared" si="9"/>
        <v>Desarrollo del Sistema de Educación Superior</v>
      </c>
      <c r="K234" s="98" t="s">
        <v>412</v>
      </c>
    </row>
    <row r="235" spans="3:11" x14ac:dyDescent="0.25">
      <c r="C235" s="143"/>
      <c r="D235" s="151"/>
      <c r="E235" s="118"/>
      <c r="F235" s="97">
        <f t="shared" si="8"/>
        <v>0</v>
      </c>
      <c r="G235" s="161"/>
      <c r="H235" s="144"/>
      <c r="I235" s="130" t="e">
        <f>VLOOKUP(H235,Presupuesto!$B$11:$C$565,2,0)</f>
        <v>#N/A</v>
      </c>
      <c r="J235" s="98" t="str">
        <f t="shared" si="9"/>
        <v>Desarrollo del Sistema de Educación Superior</v>
      </c>
      <c r="K235" s="98" t="s">
        <v>412</v>
      </c>
    </row>
    <row r="236" spans="3:11" x14ac:dyDescent="0.25">
      <c r="C236" s="143"/>
      <c r="D236" s="151"/>
      <c r="E236" s="118"/>
      <c r="F236" s="97">
        <f t="shared" si="8"/>
        <v>0</v>
      </c>
      <c r="G236" s="161"/>
      <c r="H236" s="144"/>
      <c r="I236" s="130" t="e">
        <f>VLOOKUP(H236,Presupuesto!$B$11:$C$565,2,0)</f>
        <v>#N/A</v>
      </c>
      <c r="J236" s="98" t="str">
        <f t="shared" si="9"/>
        <v>Desarrollo del Sistema de Educación Superior</v>
      </c>
      <c r="K236" s="98" t="s">
        <v>412</v>
      </c>
    </row>
    <row r="237" spans="3:11" x14ac:dyDescent="0.25">
      <c r="C237" s="143"/>
      <c r="D237" s="151"/>
      <c r="E237" s="118"/>
      <c r="F237" s="97">
        <f t="shared" si="8"/>
        <v>0</v>
      </c>
      <c r="G237" s="161"/>
      <c r="H237" s="144"/>
      <c r="I237" s="130" t="e">
        <f>VLOOKUP(H237,Presupuesto!$B$11:$C$565,2,0)</f>
        <v>#N/A</v>
      </c>
      <c r="J237" s="98" t="str">
        <f t="shared" si="9"/>
        <v>Desarrollo del Sistema de Educación Superior</v>
      </c>
      <c r="K237" s="98" t="s">
        <v>412</v>
      </c>
    </row>
    <row r="238" spans="3:11" x14ac:dyDescent="0.25">
      <c r="C238" s="143"/>
      <c r="D238" s="151"/>
      <c r="E238" s="118"/>
      <c r="F238" s="97">
        <f t="shared" si="8"/>
        <v>0</v>
      </c>
      <c r="G238" s="161"/>
      <c r="H238" s="144"/>
      <c r="I238" s="130" t="e">
        <f>VLOOKUP(H238,Presupuesto!$B$11:$C$565,2,0)</f>
        <v>#N/A</v>
      </c>
      <c r="J238" s="98" t="str">
        <f t="shared" si="9"/>
        <v>Desarrollo del Sistema de Educación Superior</v>
      </c>
      <c r="K238" s="98" t="s">
        <v>412</v>
      </c>
    </row>
    <row r="239" spans="3:11" x14ac:dyDescent="0.25">
      <c r="C239" s="143"/>
      <c r="D239" s="151"/>
      <c r="E239" s="118"/>
      <c r="F239" s="97">
        <f t="shared" si="8"/>
        <v>0</v>
      </c>
      <c r="G239" s="161"/>
      <c r="H239" s="144"/>
      <c r="I239" s="130" t="e">
        <f>VLOOKUP(H239,Presupuesto!$B$11:$C$565,2,0)</f>
        <v>#N/A</v>
      </c>
      <c r="J239" s="98" t="str">
        <f t="shared" si="9"/>
        <v>Desarrollo del Sistema de Educación Superior</v>
      </c>
      <c r="K239" s="98" t="s">
        <v>412</v>
      </c>
    </row>
    <row r="240" spans="3:11" x14ac:dyDescent="0.25">
      <c r="C240" s="143"/>
      <c r="D240" s="151"/>
      <c r="E240" s="118"/>
      <c r="F240" s="97">
        <f t="shared" si="8"/>
        <v>0</v>
      </c>
      <c r="G240" s="161"/>
      <c r="H240" s="144"/>
      <c r="I240" s="130" t="e">
        <f>VLOOKUP(H240,Presupuesto!$B$11:$C$565,2,0)</f>
        <v>#N/A</v>
      </c>
      <c r="J240" s="98" t="str">
        <f t="shared" si="9"/>
        <v>Desarrollo del Sistema de Educación Superior</v>
      </c>
      <c r="K240" s="98" t="s">
        <v>412</v>
      </c>
    </row>
    <row r="241" spans="3:11" x14ac:dyDescent="0.25">
      <c r="C241" s="143"/>
      <c r="D241" s="151"/>
      <c r="E241" s="118"/>
      <c r="F241" s="97">
        <f t="shared" si="8"/>
        <v>0</v>
      </c>
      <c r="G241" s="161"/>
      <c r="H241" s="144"/>
      <c r="I241" s="130" t="e">
        <f>VLOOKUP(H241,Presupuesto!$B$11:$C$565,2,0)</f>
        <v>#N/A</v>
      </c>
      <c r="J241" s="98" t="str">
        <f t="shared" si="9"/>
        <v>Desarrollo del Sistema de Educación Superior</v>
      </c>
      <c r="K241" s="98" t="s">
        <v>412</v>
      </c>
    </row>
    <row r="242" spans="3:11" x14ac:dyDescent="0.25">
      <c r="C242" s="145"/>
      <c r="D242" s="151"/>
      <c r="E242" s="118"/>
      <c r="F242" s="97">
        <f t="shared" si="8"/>
        <v>0</v>
      </c>
      <c r="G242" s="161"/>
      <c r="H242" s="146"/>
      <c r="I242" s="130" t="e">
        <f>VLOOKUP(H242,Presupuesto!$B$11:$C$565,2,0)</f>
        <v>#N/A</v>
      </c>
      <c r="J242" s="98" t="str">
        <f t="shared" si="9"/>
        <v>Desarrollo del Sistema de Educación Superior</v>
      </c>
      <c r="K242" s="98" t="s">
        <v>403</v>
      </c>
    </row>
    <row r="243" spans="3:11" x14ac:dyDescent="0.25">
      <c r="C243" s="145"/>
      <c r="D243" s="151"/>
      <c r="E243" s="118"/>
      <c r="F243" s="97">
        <f t="shared" si="8"/>
        <v>0</v>
      </c>
      <c r="G243" s="161"/>
      <c r="H243" s="146"/>
      <c r="I243" s="130" t="e">
        <f>VLOOKUP(H243,Presupuesto!$B$11:$C$565,2,0)</f>
        <v>#N/A</v>
      </c>
      <c r="J243" s="98" t="str">
        <f t="shared" si="9"/>
        <v>Desarrollo del Sistema de Educación Superior</v>
      </c>
      <c r="K243" s="98" t="s">
        <v>412</v>
      </c>
    </row>
    <row r="244" spans="3:11" x14ac:dyDescent="0.25">
      <c r="C244" s="145"/>
      <c r="D244" s="151"/>
      <c r="E244" s="118"/>
      <c r="F244" s="97">
        <f t="shared" si="8"/>
        <v>0</v>
      </c>
      <c r="G244" s="161"/>
      <c r="H244" s="146"/>
      <c r="I244" s="130" t="e">
        <f>VLOOKUP(H244,Presupuesto!$B$11:$C$565,2,0)</f>
        <v>#N/A</v>
      </c>
      <c r="J244" s="98" t="str">
        <f t="shared" si="9"/>
        <v>Desarrollo del Sistema de Educación Superior</v>
      </c>
      <c r="K244" s="98" t="s">
        <v>412</v>
      </c>
    </row>
    <row r="245" spans="3:11" x14ac:dyDescent="0.25">
      <c r="C245" s="145"/>
      <c r="D245" s="151"/>
      <c r="E245" s="118"/>
      <c r="F245" s="97">
        <f t="shared" si="8"/>
        <v>0</v>
      </c>
      <c r="G245" s="161"/>
      <c r="H245" s="146"/>
      <c r="I245" s="130" t="e">
        <f>VLOOKUP(H245,Presupuesto!$B$11:$C$565,2,0)</f>
        <v>#N/A</v>
      </c>
      <c r="J245" s="98" t="str">
        <f t="shared" si="9"/>
        <v>Desarrollo del Sistema de Educación Superior</v>
      </c>
      <c r="K245" s="98" t="s">
        <v>412</v>
      </c>
    </row>
    <row r="246" spans="3:11" ht="15.75" thickBot="1" x14ac:dyDescent="0.3">
      <c r="C246" s="147"/>
      <c r="D246" s="159"/>
      <c r="E246" s="103"/>
      <c r="F246" s="105">
        <f t="shared" si="8"/>
        <v>0</v>
      </c>
      <c r="G246" s="162"/>
      <c r="H246" s="148"/>
      <c r="I246" s="132" t="e">
        <f>VLOOKUP(H246,Presupuesto!$B$11:$C$565,2,0)</f>
        <v>#N/A</v>
      </c>
      <c r="J246" s="106" t="str">
        <f t="shared" si="9"/>
        <v>Desarrollo del Sistema de Educación Superior</v>
      </c>
      <c r="K246" s="124" t="s">
        <v>394</v>
      </c>
    </row>
    <row r="248" spans="3:11" ht="15.75" thickBot="1" x14ac:dyDescent="0.3"/>
    <row r="249" spans="3:11" ht="15.75" thickBot="1" x14ac:dyDescent="0.3">
      <c r="C249" s="157" t="s">
        <v>53</v>
      </c>
      <c r="D249" s="374">
        <f>SUM(F256:F290)</f>
        <v>0</v>
      </c>
      <c r="F249" s="70"/>
      <c r="G249" s="79"/>
      <c r="H249" s="70"/>
      <c r="I249" s="70"/>
    </row>
    <row r="250" spans="3:11" x14ac:dyDescent="0.25">
      <c r="C250" s="70"/>
      <c r="D250" s="31"/>
      <c r="E250" s="93"/>
      <c r="F250" s="93"/>
      <c r="G250" s="93"/>
      <c r="H250" s="76"/>
      <c r="I250" s="76"/>
      <c r="J250" s="76"/>
      <c r="K250" s="112"/>
    </row>
    <row r="251" spans="3:11" x14ac:dyDescent="0.25">
      <c r="C251" s="70"/>
      <c r="D251" s="31"/>
      <c r="E251" s="93"/>
      <c r="F251" s="93"/>
      <c r="G251" s="93"/>
      <c r="H251" s="76"/>
      <c r="I251" s="76"/>
      <c r="J251" s="76"/>
      <c r="K251" s="112"/>
    </row>
    <row r="252" spans="3:11" ht="15.75" x14ac:dyDescent="0.25">
      <c r="C252" s="202" t="s">
        <v>392</v>
      </c>
      <c r="D252" s="370"/>
      <c r="E252" s="93"/>
      <c r="F252" s="93"/>
      <c r="G252" s="93"/>
      <c r="H252" s="76"/>
      <c r="I252" s="76"/>
      <c r="J252" s="76"/>
      <c r="K252" s="112"/>
    </row>
    <row r="253" spans="3:11" ht="18.75" x14ac:dyDescent="0.25">
      <c r="C253" s="211" t="e">
        <f>IFERROR(VLOOKUP(D252,'1. Desarrollo e Innov. Curricu.'!$E:$F,2,FALSE),IFERROR(VLOOKUP(D252,'2. Investigación Científica'!$E:$F,2,FALSE),IFERROR(VLOOKUP(D252,'3. Vinculación Univ. Sociedad'!$E:$F,2,FALSE),IFERROR(VLOOKUP(D252,'4. Docencia y Profesorado Univ.'!$E:$F,2,FALSE),IFERROR(VLOOKUP(D252,'5. Estudiantes y Graduados'!$E:$F,2,FALSE),IFERROR(VLOOKUP(D252,'11. Gestion Administrativa'!$E:$F,2,FALSE),IFERROR(VLOOKUP(D252,'13. Gestión Académica'!$E:$F,2,FALSE),IFERROR(VLOOKUP(D252,'8. Asegura. de la Calid. y M'!$E:$F,2,FALSE),IFERROR(VLOOKUP(D252,'6. Gestión del Conocimiento'!$E:$F,2,FALSE),IFERROR(VLOOKUP(D252,'15. Gobernabilidad y Proceso...'!$E:$F,2,FALSE),IFERROR(VLOOKUP(D252,'12. Gestión del Talento Humano'!$E:$F,2,FALSE),IFERROR(VLOOKUP(D252,'14. Internacional... de la E.S.'!$E:$F,2,FALSE),IFERROR(VLOOKUP(D252,'10. Posgrado'!$E:$F,2,FALSE),IFERROR(VLOOKUP(D252,'17. Gestión TIC'!$E:$F,2,FALSE),IFERROR(VLOOKUP(D252,'16. Desa. del Sistema Educ.Sup.'!$E:$F,2,FALSE),IFERROR(VLOOKUP(D252,'9. Cultura de Inno. Insti...'!$E:$F,2,FALSE),VLOOKUP(D252,'7. Lo Esencial de la Reforma U.'!$E:$F,2,0)))))))))))))))))</f>
        <v>#N/A</v>
      </c>
      <c r="D253" s="31"/>
      <c r="E253" s="93"/>
      <c r="F253" s="93"/>
      <c r="G253" s="93"/>
      <c r="H253" s="76"/>
      <c r="I253" s="76"/>
      <c r="J253" s="76"/>
      <c r="K253" s="112"/>
    </row>
    <row r="254" spans="3:11" ht="15.75" thickBot="1" x14ac:dyDescent="0.3">
      <c r="F254" s="93"/>
      <c r="G254" s="76"/>
      <c r="H254" s="76"/>
      <c r="I254" s="76"/>
    </row>
    <row r="255" spans="3:11" ht="30.75" thickBot="1" x14ac:dyDescent="0.3">
      <c r="C255" s="129" t="s">
        <v>44</v>
      </c>
      <c r="D255" s="129" t="s">
        <v>55</v>
      </c>
      <c r="E255" s="136" t="s">
        <v>57</v>
      </c>
      <c r="F255" s="135" t="s">
        <v>27</v>
      </c>
      <c r="G255" s="133" t="s">
        <v>131</v>
      </c>
      <c r="H255" s="136" t="s">
        <v>46</v>
      </c>
      <c r="I255" s="133" t="s">
        <v>132</v>
      </c>
      <c r="J255" s="133" t="s">
        <v>410</v>
      </c>
      <c r="K255" s="133" t="s">
        <v>411</v>
      </c>
    </row>
    <row r="256" spans="3:11" x14ac:dyDescent="0.25">
      <c r="C256" s="221" t="s">
        <v>439</v>
      </c>
      <c r="D256" s="222"/>
      <c r="E256" s="220">
        <f>HLOOKUP(C256,$AH$2:$BU$3,2,0)</f>
        <v>620</v>
      </c>
      <c r="F256" s="97">
        <f t="shared" ref="F256:F290" si="10">D256*E256</f>
        <v>0</v>
      </c>
      <c r="G256" s="161"/>
      <c r="H256" s="142"/>
      <c r="I256" s="130" t="e">
        <f>VLOOKUP(H256,Presupuesto!$B$11:$C$565,2,0)</f>
        <v>#N/A</v>
      </c>
      <c r="J256" s="219" t="s">
        <v>1479</v>
      </c>
      <c r="K256" s="98" t="s">
        <v>394</v>
      </c>
    </row>
    <row r="257" spans="3:11" x14ac:dyDescent="0.25">
      <c r="C257" s="141"/>
      <c r="D257" s="158"/>
      <c r="E257" s="123"/>
      <c r="F257" s="97">
        <f t="shared" si="10"/>
        <v>0</v>
      </c>
      <c r="G257" s="161"/>
      <c r="H257" s="142"/>
      <c r="I257" s="130" t="e">
        <f>VLOOKUP(H257,Presupuesto!$B$11:$C$565,2,0)</f>
        <v>#N/A</v>
      </c>
      <c r="J257" s="98" t="str">
        <f>$J$256</f>
        <v>Desarrollo del Sistema de Educación Superior</v>
      </c>
      <c r="K257" s="98" t="s">
        <v>412</v>
      </c>
    </row>
    <row r="258" spans="3:11" x14ac:dyDescent="0.25">
      <c r="C258" s="141"/>
      <c r="D258" s="158"/>
      <c r="E258" s="123"/>
      <c r="F258" s="97">
        <f t="shared" si="10"/>
        <v>0</v>
      </c>
      <c r="G258" s="161"/>
      <c r="H258" s="142"/>
      <c r="I258" s="130" t="e">
        <f>VLOOKUP(H258,Presupuesto!$B$11:$C$565,2,0)</f>
        <v>#N/A</v>
      </c>
      <c r="J258" s="98" t="str">
        <f t="shared" ref="J258:J290" si="11">$J$256</f>
        <v>Desarrollo del Sistema de Educación Superior</v>
      </c>
      <c r="K258" s="98" t="s">
        <v>412</v>
      </c>
    </row>
    <row r="259" spans="3:11" x14ac:dyDescent="0.25">
      <c r="C259" s="141"/>
      <c r="D259" s="158"/>
      <c r="E259" s="123"/>
      <c r="F259" s="97">
        <f t="shared" si="10"/>
        <v>0</v>
      </c>
      <c r="G259" s="161"/>
      <c r="H259" s="142"/>
      <c r="I259" s="130" t="e">
        <f>VLOOKUP(H259,Presupuesto!$B$11:$C$565,2,0)</f>
        <v>#N/A</v>
      </c>
      <c r="J259" s="98" t="str">
        <f t="shared" si="11"/>
        <v>Desarrollo del Sistema de Educación Superior</v>
      </c>
      <c r="K259" s="98" t="s">
        <v>412</v>
      </c>
    </row>
    <row r="260" spans="3:11" x14ac:dyDescent="0.25">
      <c r="C260" s="141"/>
      <c r="D260" s="158"/>
      <c r="E260" s="123"/>
      <c r="F260" s="97">
        <f t="shared" si="10"/>
        <v>0</v>
      </c>
      <c r="G260" s="161"/>
      <c r="H260" s="142"/>
      <c r="I260" s="130" t="e">
        <f>VLOOKUP(H260,Presupuesto!$B$11:$C$565,2,0)</f>
        <v>#N/A</v>
      </c>
      <c r="J260" s="98" t="str">
        <f t="shared" si="11"/>
        <v>Desarrollo del Sistema de Educación Superior</v>
      </c>
      <c r="K260" s="98" t="s">
        <v>412</v>
      </c>
    </row>
    <row r="261" spans="3:11" x14ac:dyDescent="0.25">
      <c r="C261" s="141"/>
      <c r="D261" s="158"/>
      <c r="E261" s="123"/>
      <c r="F261" s="97">
        <f t="shared" si="10"/>
        <v>0</v>
      </c>
      <c r="G261" s="161"/>
      <c r="H261" s="142"/>
      <c r="I261" s="130" t="e">
        <f>VLOOKUP(H261,Presupuesto!$B$11:$C$565,2,0)</f>
        <v>#N/A</v>
      </c>
      <c r="J261" s="98" t="str">
        <f t="shared" si="11"/>
        <v>Desarrollo del Sistema de Educación Superior</v>
      </c>
      <c r="K261" s="98" t="s">
        <v>401</v>
      </c>
    </row>
    <row r="262" spans="3:11" x14ac:dyDescent="0.25">
      <c r="C262" s="141"/>
      <c r="D262" s="158"/>
      <c r="E262" s="123"/>
      <c r="F262" s="97">
        <f t="shared" si="10"/>
        <v>0</v>
      </c>
      <c r="G262" s="161"/>
      <c r="H262" s="142"/>
      <c r="I262" s="130" t="e">
        <f>VLOOKUP(H262,Presupuesto!$B$11:$C$565,2,0)</f>
        <v>#N/A</v>
      </c>
      <c r="J262" s="98" t="str">
        <f t="shared" si="11"/>
        <v>Desarrollo del Sistema de Educación Superior</v>
      </c>
      <c r="K262" s="98" t="s">
        <v>412</v>
      </c>
    </row>
    <row r="263" spans="3:11" x14ac:dyDescent="0.25">
      <c r="C263" s="141"/>
      <c r="D263" s="158"/>
      <c r="E263" s="123"/>
      <c r="F263" s="97">
        <f t="shared" si="10"/>
        <v>0</v>
      </c>
      <c r="G263" s="161"/>
      <c r="H263" s="142"/>
      <c r="I263" s="130" t="e">
        <f>VLOOKUP(H263,Presupuesto!$B$11:$C$565,2,0)</f>
        <v>#N/A</v>
      </c>
      <c r="J263" s="98" t="str">
        <f t="shared" si="11"/>
        <v>Desarrollo del Sistema de Educación Superior</v>
      </c>
      <c r="K263" s="98" t="s">
        <v>412</v>
      </c>
    </row>
    <row r="264" spans="3:11" x14ac:dyDescent="0.25">
      <c r="C264" s="141"/>
      <c r="D264" s="158"/>
      <c r="E264" s="123"/>
      <c r="F264" s="97">
        <f t="shared" si="10"/>
        <v>0</v>
      </c>
      <c r="G264" s="161"/>
      <c r="H264" s="142"/>
      <c r="I264" s="130" t="e">
        <f>VLOOKUP(H264,Presupuesto!$B$11:$C$565,2,0)</f>
        <v>#N/A</v>
      </c>
      <c r="J264" s="98" t="str">
        <f t="shared" si="11"/>
        <v>Desarrollo del Sistema de Educación Superior</v>
      </c>
      <c r="K264" s="98" t="s">
        <v>412</v>
      </c>
    </row>
    <row r="265" spans="3:11" x14ac:dyDescent="0.25">
      <c r="C265" s="141"/>
      <c r="D265" s="158"/>
      <c r="E265" s="123"/>
      <c r="F265" s="97">
        <f t="shared" si="10"/>
        <v>0</v>
      </c>
      <c r="G265" s="161"/>
      <c r="H265" s="142"/>
      <c r="I265" s="130" t="e">
        <f>VLOOKUP(H265,Presupuesto!$B$11:$C$565,2,0)</f>
        <v>#N/A</v>
      </c>
      <c r="J265" s="98" t="str">
        <f t="shared" si="11"/>
        <v>Desarrollo del Sistema de Educación Superior</v>
      </c>
      <c r="K265" s="98" t="s">
        <v>412</v>
      </c>
    </row>
    <row r="266" spans="3:11" x14ac:dyDescent="0.25">
      <c r="C266" s="141"/>
      <c r="D266" s="158"/>
      <c r="E266" s="123"/>
      <c r="F266" s="97">
        <f t="shared" si="10"/>
        <v>0</v>
      </c>
      <c r="G266" s="161"/>
      <c r="H266" s="142"/>
      <c r="I266" s="130" t="e">
        <f>VLOOKUP(H266,Presupuesto!$B$11:$C$565,2,0)</f>
        <v>#N/A</v>
      </c>
      <c r="J266" s="98" t="str">
        <f t="shared" si="11"/>
        <v>Desarrollo del Sistema de Educación Superior</v>
      </c>
      <c r="K266" s="98" t="s">
        <v>412</v>
      </c>
    </row>
    <row r="267" spans="3:11" x14ac:dyDescent="0.25">
      <c r="C267" s="141"/>
      <c r="D267" s="158"/>
      <c r="E267" s="123"/>
      <c r="F267" s="97">
        <f t="shared" si="10"/>
        <v>0</v>
      </c>
      <c r="G267" s="161"/>
      <c r="H267" s="142"/>
      <c r="I267" s="130" t="e">
        <f>VLOOKUP(H267,Presupuesto!$B$11:$C$565,2,0)</f>
        <v>#N/A</v>
      </c>
      <c r="J267" s="98" t="str">
        <f t="shared" si="11"/>
        <v>Desarrollo del Sistema de Educación Superior</v>
      </c>
      <c r="K267" s="98" t="s">
        <v>412</v>
      </c>
    </row>
    <row r="268" spans="3:11" x14ac:dyDescent="0.25">
      <c r="C268" s="141"/>
      <c r="D268" s="158"/>
      <c r="E268" s="123"/>
      <c r="F268" s="97">
        <f t="shared" si="10"/>
        <v>0</v>
      </c>
      <c r="G268" s="161"/>
      <c r="H268" s="142"/>
      <c r="I268" s="130" t="e">
        <f>VLOOKUP(H268,Presupuesto!$B$11:$C$565,2,0)</f>
        <v>#N/A</v>
      </c>
      <c r="J268" s="98" t="str">
        <f t="shared" si="11"/>
        <v>Desarrollo del Sistema de Educación Superior</v>
      </c>
      <c r="K268" s="98" t="s">
        <v>412</v>
      </c>
    </row>
    <row r="269" spans="3:11" x14ac:dyDescent="0.25">
      <c r="C269" s="141"/>
      <c r="D269" s="158"/>
      <c r="E269" s="123"/>
      <c r="F269" s="97">
        <f t="shared" si="10"/>
        <v>0</v>
      </c>
      <c r="G269" s="161"/>
      <c r="H269" s="142"/>
      <c r="I269" s="130" t="e">
        <f>VLOOKUP(H269,Presupuesto!$B$11:$C$565,2,0)</f>
        <v>#N/A</v>
      </c>
      <c r="J269" s="98" t="str">
        <f t="shared" si="11"/>
        <v>Desarrollo del Sistema de Educación Superior</v>
      </c>
      <c r="K269" s="98" t="s">
        <v>412</v>
      </c>
    </row>
    <row r="270" spans="3:11" x14ac:dyDescent="0.25">
      <c r="C270" s="141"/>
      <c r="D270" s="158"/>
      <c r="E270" s="123"/>
      <c r="F270" s="97">
        <f t="shared" si="10"/>
        <v>0</v>
      </c>
      <c r="G270" s="161"/>
      <c r="H270" s="142"/>
      <c r="I270" s="130" t="e">
        <f>VLOOKUP(H270,Presupuesto!$B$11:$C$565,2,0)</f>
        <v>#N/A</v>
      </c>
      <c r="J270" s="98" t="str">
        <f t="shared" si="11"/>
        <v>Desarrollo del Sistema de Educación Superior</v>
      </c>
      <c r="K270" s="98" t="s">
        <v>412</v>
      </c>
    </row>
    <row r="271" spans="3:11" x14ac:dyDescent="0.25">
      <c r="C271" s="141"/>
      <c r="D271" s="158"/>
      <c r="E271" s="123"/>
      <c r="F271" s="97">
        <f t="shared" si="10"/>
        <v>0</v>
      </c>
      <c r="G271" s="161"/>
      <c r="H271" s="142"/>
      <c r="I271" s="130" t="e">
        <f>VLOOKUP(H271,Presupuesto!$B$11:$C$565,2,0)</f>
        <v>#N/A</v>
      </c>
      <c r="J271" s="98" t="str">
        <f t="shared" si="11"/>
        <v>Desarrollo del Sistema de Educación Superior</v>
      </c>
      <c r="K271" s="98" t="s">
        <v>412</v>
      </c>
    </row>
    <row r="272" spans="3:11" x14ac:dyDescent="0.25">
      <c r="C272" s="141"/>
      <c r="D272" s="158"/>
      <c r="E272" s="123"/>
      <c r="F272" s="97">
        <f t="shared" si="10"/>
        <v>0</v>
      </c>
      <c r="G272" s="161"/>
      <c r="H272" s="142"/>
      <c r="I272" s="130" t="e">
        <f>VLOOKUP(H272,Presupuesto!$B$11:$C$565,2,0)</f>
        <v>#N/A</v>
      </c>
      <c r="J272" s="98" t="str">
        <f t="shared" si="11"/>
        <v>Desarrollo del Sistema de Educación Superior</v>
      </c>
      <c r="K272" s="98" t="s">
        <v>412</v>
      </c>
    </row>
    <row r="273" spans="3:11" x14ac:dyDescent="0.25">
      <c r="C273" s="141"/>
      <c r="D273" s="158"/>
      <c r="E273" s="123"/>
      <c r="F273" s="97">
        <f t="shared" si="10"/>
        <v>0</v>
      </c>
      <c r="G273" s="161"/>
      <c r="H273" s="142"/>
      <c r="I273" s="130" t="e">
        <f>VLOOKUP(H273,Presupuesto!$B$11:$C$565,2,0)</f>
        <v>#N/A</v>
      </c>
      <c r="J273" s="98" t="str">
        <f t="shared" si="11"/>
        <v>Desarrollo del Sistema de Educación Superior</v>
      </c>
      <c r="K273" s="98" t="s">
        <v>412</v>
      </c>
    </row>
    <row r="274" spans="3:11" x14ac:dyDescent="0.25">
      <c r="C274" s="141"/>
      <c r="D274" s="158"/>
      <c r="E274" s="123"/>
      <c r="F274" s="97">
        <f t="shared" si="10"/>
        <v>0</v>
      </c>
      <c r="G274" s="161"/>
      <c r="H274" s="142"/>
      <c r="I274" s="130" t="e">
        <f>VLOOKUP(H274,Presupuesto!$B$11:$C$565,2,0)</f>
        <v>#N/A</v>
      </c>
      <c r="J274" s="98" t="str">
        <f t="shared" si="11"/>
        <v>Desarrollo del Sistema de Educación Superior</v>
      </c>
      <c r="K274" s="98" t="s">
        <v>412</v>
      </c>
    </row>
    <row r="275" spans="3:11" x14ac:dyDescent="0.25">
      <c r="C275" s="141"/>
      <c r="D275" s="158"/>
      <c r="E275" s="123"/>
      <c r="F275" s="97">
        <f t="shared" si="10"/>
        <v>0</v>
      </c>
      <c r="G275" s="161"/>
      <c r="H275" s="142"/>
      <c r="I275" s="130" t="e">
        <f>VLOOKUP(H275,Presupuesto!$B$11:$C$565,2,0)</f>
        <v>#N/A</v>
      </c>
      <c r="J275" s="98" t="str">
        <f t="shared" si="11"/>
        <v>Desarrollo del Sistema de Educación Superior</v>
      </c>
      <c r="K275" s="98" t="s">
        <v>412</v>
      </c>
    </row>
    <row r="276" spans="3:11" x14ac:dyDescent="0.25">
      <c r="C276" s="141"/>
      <c r="D276" s="158"/>
      <c r="E276" s="123"/>
      <c r="F276" s="97">
        <f t="shared" si="10"/>
        <v>0</v>
      </c>
      <c r="G276" s="161"/>
      <c r="H276" s="142"/>
      <c r="I276" s="130" t="e">
        <f>VLOOKUP(H276,Presupuesto!$B$11:$C$565,2,0)</f>
        <v>#N/A</v>
      </c>
      <c r="J276" s="98" t="str">
        <f t="shared" si="11"/>
        <v>Desarrollo del Sistema de Educación Superior</v>
      </c>
      <c r="K276" s="98" t="s">
        <v>412</v>
      </c>
    </row>
    <row r="277" spans="3:11" x14ac:dyDescent="0.25">
      <c r="C277" s="141"/>
      <c r="D277" s="158"/>
      <c r="E277" s="123"/>
      <c r="F277" s="97">
        <f t="shared" si="10"/>
        <v>0</v>
      </c>
      <c r="G277" s="161"/>
      <c r="H277" s="142"/>
      <c r="I277" s="130" t="e">
        <f>VLOOKUP(H277,Presupuesto!$B$11:$C$565,2,0)</f>
        <v>#N/A</v>
      </c>
      <c r="J277" s="98" t="str">
        <f t="shared" si="11"/>
        <v>Desarrollo del Sistema de Educación Superior</v>
      </c>
      <c r="K277" s="98" t="s">
        <v>412</v>
      </c>
    </row>
    <row r="278" spans="3:11" x14ac:dyDescent="0.25">
      <c r="C278" s="143"/>
      <c r="D278" s="151"/>
      <c r="E278" s="118"/>
      <c r="F278" s="97">
        <f t="shared" si="10"/>
        <v>0</v>
      </c>
      <c r="G278" s="161"/>
      <c r="H278" s="144"/>
      <c r="I278" s="130" t="e">
        <f>VLOOKUP(H278,Presupuesto!$B$11:$C$565,2,0)</f>
        <v>#N/A</v>
      </c>
      <c r="J278" s="98" t="str">
        <f t="shared" si="11"/>
        <v>Desarrollo del Sistema de Educación Superior</v>
      </c>
      <c r="K278" s="98" t="s">
        <v>412</v>
      </c>
    </row>
    <row r="279" spans="3:11" x14ac:dyDescent="0.25">
      <c r="C279" s="143"/>
      <c r="D279" s="151"/>
      <c r="E279" s="118"/>
      <c r="F279" s="97">
        <f t="shared" si="10"/>
        <v>0</v>
      </c>
      <c r="G279" s="161"/>
      <c r="H279" s="144"/>
      <c r="I279" s="130" t="e">
        <f>VLOOKUP(H279,Presupuesto!$B$11:$C$565,2,0)</f>
        <v>#N/A</v>
      </c>
      <c r="J279" s="98" t="str">
        <f t="shared" si="11"/>
        <v>Desarrollo del Sistema de Educación Superior</v>
      </c>
      <c r="K279" s="98" t="s">
        <v>412</v>
      </c>
    </row>
    <row r="280" spans="3:11" x14ac:dyDescent="0.25">
      <c r="C280" s="143"/>
      <c r="D280" s="151"/>
      <c r="E280" s="118"/>
      <c r="F280" s="97">
        <f t="shared" si="10"/>
        <v>0</v>
      </c>
      <c r="G280" s="161"/>
      <c r="H280" s="144"/>
      <c r="I280" s="130" t="e">
        <f>VLOOKUP(H280,Presupuesto!$B$11:$C$565,2,0)</f>
        <v>#N/A</v>
      </c>
      <c r="J280" s="98" t="str">
        <f t="shared" si="11"/>
        <v>Desarrollo del Sistema de Educación Superior</v>
      </c>
      <c r="K280" s="98" t="s">
        <v>412</v>
      </c>
    </row>
    <row r="281" spans="3:11" x14ac:dyDescent="0.25">
      <c r="C281" s="143"/>
      <c r="D281" s="151"/>
      <c r="E281" s="118"/>
      <c r="F281" s="97">
        <f t="shared" si="10"/>
        <v>0</v>
      </c>
      <c r="G281" s="161"/>
      <c r="H281" s="144"/>
      <c r="I281" s="130" t="e">
        <f>VLOOKUP(H281,Presupuesto!$B$11:$C$565,2,0)</f>
        <v>#N/A</v>
      </c>
      <c r="J281" s="98" t="str">
        <f t="shared" si="11"/>
        <v>Desarrollo del Sistema de Educación Superior</v>
      </c>
      <c r="K281" s="98" t="s">
        <v>412</v>
      </c>
    </row>
    <row r="282" spans="3:11" x14ac:dyDescent="0.25">
      <c r="C282" s="143"/>
      <c r="D282" s="151"/>
      <c r="E282" s="118"/>
      <c r="F282" s="97">
        <f t="shared" si="10"/>
        <v>0</v>
      </c>
      <c r="G282" s="161"/>
      <c r="H282" s="144"/>
      <c r="I282" s="130" t="e">
        <f>VLOOKUP(H282,Presupuesto!$B$11:$C$565,2,0)</f>
        <v>#N/A</v>
      </c>
      <c r="J282" s="98" t="str">
        <f t="shared" si="11"/>
        <v>Desarrollo del Sistema de Educación Superior</v>
      </c>
      <c r="K282" s="98" t="s">
        <v>412</v>
      </c>
    </row>
    <row r="283" spans="3:11" x14ac:dyDescent="0.25">
      <c r="C283" s="143"/>
      <c r="D283" s="151"/>
      <c r="E283" s="118"/>
      <c r="F283" s="97">
        <f t="shared" si="10"/>
        <v>0</v>
      </c>
      <c r="G283" s="161"/>
      <c r="H283" s="144"/>
      <c r="I283" s="130" t="e">
        <f>VLOOKUP(H283,Presupuesto!$B$11:$C$565,2,0)</f>
        <v>#N/A</v>
      </c>
      <c r="J283" s="98" t="str">
        <f t="shared" si="11"/>
        <v>Desarrollo del Sistema de Educación Superior</v>
      </c>
      <c r="K283" s="98" t="s">
        <v>412</v>
      </c>
    </row>
    <row r="284" spans="3:11" x14ac:dyDescent="0.25">
      <c r="C284" s="143"/>
      <c r="D284" s="151"/>
      <c r="E284" s="118"/>
      <c r="F284" s="97">
        <f t="shared" si="10"/>
        <v>0</v>
      </c>
      <c r="G284" s="161"/>
      <c r="H284" s="144"/>
      <c r="I284" s="130" t="e">
        <f>VLOOKUP(H284,Presupuesto!$B$11:$C$565,2,0)</f>
        <v>#N/A</v>
      </c>
      <c r="J284" s="98" t="str">
        <f t="shared" si="11"/>
        <v>Desarrollo del Sistema de Educación Superior</v>
      </c>
      <c r="K284" s="98" t="s">
        <v>412</v>
      </c>
    </row>
    <row r="285" spans="3:11" x14ac:dyDescent="0.25">
      <c r="C285" s="143"/>
      <c r="D285" s="151"/>
      <c r="E285" s="118"/>
      <c r="F285" s="97">
        <f t="shared" si="10"/>
        <v>0</v>
      </c>
      <c r="G285" s="161"/>
      <c r="H285" s="144"/>
      <c r="I285" s="130" t="e">
        <f>VLOOKUP(H285,Presupuesto!$B$11:$C$565,2,0)</f>
        <v>#N/A</v>
      </c>
      <c r="J285" s="98" t="str">
        <f t="shared" si="11"/>
        <v>Desarrollo del Sistema de Educación Superior</v>
      </c>
      <c r="K285" s="98" t="s">
        <v>412</v>
      </c>
    </row>
    <row r="286" spans="3:11" x14ac:dyDescent="0.25">
      <c r="C286" s="145"/>
      <c r="D286" s="151"/>
      <c r="E286" s="118"/>
      <c r="F286" s="97">
        <f t="shared" si="10"/>
        <v>0</v>
      </c>
      <c r="G286" s="161"/>
      <c r="H286" s="146"/>
      <c r="I286" s="130" t="e">
        <f>VLOOKUP(H286,Presupuesto!$B$11:$C$565,2,0)</f>
        <v>#N/A</v>
      </c>
      <c r="J286" s="98" t="str">
        <f t="shared" si="11"/>
        <v>Desarrollo del Sistema de Educación Superior</v>
      </c>
      <c r="K286" s="98" t="s">
        <v>403</v>
      </c>
    </row>
    <row r="287" spans="3:11" x14ac:dyDescent="0.25">
      <c r="C287" s="145"/>
      <c r="D287" s="151"/>
      <c r="E287" s="118"/>
      <c r="F287" s="97">
        <f t="shared" si="10"/>
        <v>0</v>
      </c>
      <c r="G287" s="161"/>
      <c r="H287" s="146"/>
      <c r="I287" s="130" t="e">
        <f>VLOOKUP(H287,Presupuesto!$B$11:$C$565,2,0)</f>
        <v>#N/A</v>
      </c>
      <c r="J287" s="98" t="str">
        <f t="shared" si="11"/>
        <v>Desarrollo del Sistema de Educación Superior</v>
      </c>
      <c r="K287" s="98" t="s">
        <v>412</v>
      </c>
    </row>
    <row r="288" spans="3:11" x14ac:dyDescent="0.25">
      <c r="C288" s="145"/>
      <c r="D288" s="151"/>
      <c r="E288" s="118"/>
      <c r="F288" s="97">
        <f t="shared" si="10"/>
        <v>0</v>
      </c>
      <c r="G288" s="161"/>
      <c r="H288" s="146"/>
      <c r="I288" s="130" t="e">
        <f>VLOOKUP(H288,Presupuesto!$B$11:$C$565,2,0)</f>
        <v>#N/A</v>
      </c>
      <c r="J288" s="98" t="str">
        <f t="shared" si="11"/>
        <v>Desarrollo del Sistema de Educación Superior</v>
      </c>
      <c r="K288" s="98" t="s">
        <v>412</v>
      </c>
    </row>
    <row r="289" spans="3:11" x14ac:dyDescent="0.25">
      <c r="C289" s="145"/>
      <c r="D289" s="151"/>
      <c r="E289" s="118"/>
      <c r="F289" s="97">
        <f t="shared" si="10"/>
        <v>0</v>
      </c>
      <c r="G289" s="161"/>
      <c r="H289" s="146"/>
      <c r="I289" s="130" t="e">
        <f>VLOOKUP(H289,Presupuesto!$B$11:$C$565,2,0)</f>
        <v>#N/A</v>
      </c>
      <c r="J289" s="98" t="str">
        <f t="shared" si="11"/>
        <v>Desarrollo del Sistema de Educación Superior</v>
      </c>
      <c r="K289" s="98" t="s">
        <v>412</v>
      </c>
    </row>
    <row r="290" spans="3:11" ht="15.75" thickBot="1" x14ac:dyDescent="0.3">
      <c r="C290" s="147"/>
      <c r="D290" s="159"/>
      <c r="E290" s="103"/>
      <c r="F290" s="105">
        <f t="shared" si="10"/>
        <v>0</v>
      </c>
      <c r="G290" s="162"/>
      <c r="H290" s="148"/>
      <c r="I290" s="132" t="e">
        <f>VLOOKUP(H290,Presupuesto!$B$11:$C$565,2,0)</f>
        <v>#N/A</v>
      </c>
      <c r="J290" s="106" t="str">
        <f t="shared" si="11"/>
        <v>Desarrollo del Sistema de Educación Superior</v>
      </c>
      <c r="K290" s="124" t="s">
        <v>394</v>
      </c>
    </row>
    <row r="292" spans="3:11" ht="15.75" thickBot="1" x14ac:dyDescent="0.3">
      <c r="F292" s="90"/>
      <c r="G292" s="89"/>
      <c r="H292" s="90"/>
      <c r="I292" s="90"/>
    </row>
    <row r="293" spans="3:11" ht="15.75" thickBot="1" x14ac:dyDescent="0.3">
      <c r="C293" s="157" t="s">
        <v>53</v>
      </c>
      <c r="D293" s="374">
        <f>SUM(F300:F334)</f>
        <v>0</v>
      </c>
      <c r="F293" s="70"/>
      <c r="G293" s="79"/>
      <c r="H293" s="70"/>
      <c r="I293" s="70"/>
    </row>
    <row r="294" spans="3:11" x14ac:dyDescent="0.25">
      <c r="C294" s="70"/>
      <c r="D294" s="31"/>
      <c r="E294" s="93"/>
      <c r="F294" s="93"/>
      <c r="G294" s="93"/>
      <c r="H294" s="76"/>
      <c r="I294" s="76"/>
      <c r="J294" s="76"/>
      <c r="K294" s="112"/>
    </row>
    <row r="295" spans="3:11" x14ac:dyDescent="0.25">
      <c r="C295" s="70"/>
      <c r="D295" s="31"/>
      <c r="E295" s="93"/>
      <c r="F295" s="93"/>
      <c r="G295" s="93"/>
      <c r="H295" s="76"/>
      <c r="I295" s="76"/>
      <c r="J295" s="76"/>
      <c r="K295" s="112"/>
    </row>
    <row r="296" spans="3:11" ht="15.75" x14ac:dyDescent="0.25">
      <c r="C296" s="202" t="s">
        <v>392</v>
      </c>
      <c r="D296" s="370"/>
      <c r="E296" s="93"/>
      <c r="F296" s="93"/>
      <c r="G296" s="93"/>
      <c r="H296" s="76"/>
      <c r="I296" s="76"/>
      <c r="J296" s="76"/>
      <c r="K296" s="112"/>
    </row>
    <row r="297" spans="3:11" ht="18.75" x14ac:dyDescent="0.25">
      <c r="C297" s="211" t="e">
        <f>IFERROR(VLOOKUP(D296,'1. Desarrollo e Innov. Curricu.'!$E:$F,2,FALSE),IFERROR(VLOOKUP(D296,'2. Investigación Científica'!$E:$F,2,FALSE),IFERROR(VLOOKUP(D296,'3. Vinculación Univ. Sociedad'!$E:$F,2,FALSE),IFERROR(VLOOKUP(D296,'4. Docencia y Profesorado Univ.'!$E:$F,2,FALSE),IFERROR(VLOOKUP(D296,'5. Estudiantes y Graduados'!$E:$F,2,FALSE),IFERROR(VLOOKUP(D296,'11. Gestion Administrativa'!$E:$F,2,FALSE),IFERROR(VLOOKUP(D296,'13. Gestión Académica'!$E:$F,2,FALSE),IFERROR(VLOOKUP(D296,'8. Asegura. de la Calid. y M'!$E:$F,2,FALSE),IFERROR(VLOOKUP(D296,'6. Gestión del Conocimiento'!$E:$F,2,FALSE),IFERROR(VLOOKUP(D296,'15. Gobernabilidad y Proceso...'!$E:$F,2,FALSE),IFERROR(VLOOKUP(D296,'12. Gestión del Talento Humano'!$E:$F,2,FALSE),IFERROR(VLOOKUP(D296,'14. Internacional... de la E.S.'!$E:$F,2,FALSE),IFERROR(VLOOKUP(D296,'10. Posgrado'!$E:$F,2,FALSE),IFERROR(VLOOKUP(D296,'17. Gestión TIC'!$E:$F,2,FALSE),IFERROR(VLOOKUP(D296,'16. Desa. del Sistema Educ.Sup.'!$E:$F,2,FALSE),IFERROR(VLOOKUP(D296,'9. Cultura de Inno. Insti...'!$E:$F,2,FALSE),VLOOKUP(D296,'7. Lo Esencial de la Reforma U.'!$E:$F,2,0)))))))))))))))))</f>
        <v>#N/A</v>
      </c>
      <c r="D297" s="31"/>
      <c r="E297" s="93"/>
      <c r="F297" s="93"/>
      <c r="G297" s="93"/>
      <c r="H297" s="76"/>
      <c r="I297" s="76"/>
      <c r="J297" s="76"/>
      <c r="K297" s="112"/>
    </row>
    <row r="298" spans="3:11" ht="15.75" thickBot="1" x14ac:dyDescent="0.3">
      <c r="F298" s="93"/>
      <c r="G298" s="76"/>
      <c r="H298" s="76"/>
      <c r="I298" s="76"/>
    </row>
    <row r="299" spans="3:11" ht="30.75" thickBot="1" x14ac:dyDescent="0.3">
      <c r="C299" s="129" t="s">
        <v>44</v>
      </c>
      <c r="D299" s="129" t="s">
        <v>55</v>
      </c>
      <c r="E299" s="136" t="s">
        <v>57</v>
      </c>
      <c r="F299" s="135" t="s">
        <v>27</v>
      </c>
      <c r="G299" s="133" t="s">
        <v>131</v>
      </c>
      <c r="H299" s="136" t="s">
        <v>46</v>
      </c>
      <c r="I299" s="133" t="s">
        <v>132</v>
      </c>
      <c r="J299" s="133" t="s">
        <v>410</v>
      </c>
      <c r="K299" s="133" t="s">
        <v>411</v>
      </c>
    </row>
    <row r="300" spans="3:11" x14ac:dyDescent="0.25">
      <c r="C300" s="221" t="s">
        <v>439</v>
      </c>
      <c r="D300" s="222"/>
      <c r="E300" s="220">
        <f>HLOOKUP(C300,$AH$2:$BU$3,2,0)</f>
        <v>620</v>
      </c>
      <c r="F300" s="97">
        <f t="shared" ref="F300:F334" si="12">D300*E300</f>
        <v>0</v>
      </c>
      <c r="G300" s="161"/>
      <c r="H300" s="142"/>
      <c r="I300" s="130" t="e">
        <f>VLOOKUP(H300,Presupuesto!$B$11:$C$565,2,0)</f>
        <v>#N/A</v>
      </c>
      <c r="J300" s="219" t="s">
        <v>1479</v>
      </c>
      <c r="K300" s="98" t="s">
        <v>394</v>
      </c>
    </row>
    <row r="301" spans="3:11" x14ac:dyDescent="0.25">
      <c r="C301" s="141"/>
      <c r="D301" s="158"/>
      <c r="E301" s="123"/>
      <c r="F301" s="97">
        <f t="shared" si="12"/>
        <v>0</v>
      </c>
      <c r="G301" s="161"/>
      <c r="H301" s="142"/>
      <c r="I301" s="130" t="e">
        <f>VLOOKUP(H301,Presupuesto!$B$11:$C$565,2,0)</f>
        <v>#N/A</v>
      </c>
      <c r="J301" s="98" t="str">
        <f>$J$300</f>
        <v>Desarrollo del Sistema de Educación Superior</v>
      </c>
      <c r="K301" s="98" t="s">
        <v>412</v>
      </c>
    </row>
    <row r="302" spans="3:11" x14ac:dyDescent="0.25">
      <c r="C302" s="141"/>
      <c r="D302" s="158"/>
      <c r="E302" s="123"/>
      <c r="F302" s="97">
        <f t="shared" si="12"/>
        <v>0</v>
      </c>
      <c r="G302" s="161"/>
      <c r="H302" s="142"/>
      <c r="I302" s="130" t="e">
        <f>VLOOKUP(H302,Presupuesto!$B$11:$C$565,2,0)</f>
        <v>#N/A</v>
      </c>
      <c r="J302" s="98" t="str">
        <f t="shared" ref="J302:J334" si="13">$J$300</f>
        <v>Desarrollo del Sistema de Educación Superior</v>
      </c>
      <c r="K302" s="98" t="s">
        <v>412</v>
      </c>
    </row>
    <row r="303" spans="3:11" x14ac:dyDescent="0.25">
      <c r="C303" s="141"/>
      <c r="D303" s="158"/>
      <c r="E303" s="123"/>
      <c r="F303" s="97">
        <f t="shared" si="12"/>
        <v>0</v>
      </c>
      <c r="G303" s="161"/>
      <c r="H303" s="142"/>
      <c r="I303" s="130" t="e">
        <f>VLOOKUP(H303,Presupuesto!$B$11:$C$565,2,0)</f>
        <v>#N/A</v>
      </c>
      <c r="J303" s="98" t="str">
        <f t="shared" si="13"/>
        <v>Desarrollo del Sistema de Educación Superior</v>
      </c>
      <c r="K303" s="98" t="s">
        <v>412</v>
      </c>
    </row>
    <row r="304" spans="3:11" x14ac:dyDescent="0.25">
      <c r="C304" s="141"/>
      <c r="D304" s="158"/>
      <c r="E304" s="123"/>
      <c r="F304" s="97">
        <f t="shared" si="12"/>
        <v>0</v>
      </c>
      <c r="G304" s="161"/>
      <c r="H304" s="142"/>
      <c r="I304" s="130" t="e">
        <f>VLOOKUP(H304,Presupuesto!$B$11:$C$565,2,0)</f>
        <v>#N/A</v>
      </c>
      <c r="J304" s="98" t="str">
        <f t="shared" si="13"/>
        <v>Desarrollo del Sistema de Educación Superior</v>
      </c>
      <c r="K304" s="98" t="s">
        <v>412</v>
      </c>
    </row>
    <row r="305" spans="3:11" x14ac:dyDescent="0.25">
      <c r="C305" s="141"/>
      <c r="D305" s="158"/>
      <c r="E305" s="123"/>
      <c r="F305" s="97">
        <f t="shared" si="12"/>
        <v>0</v>
      </c>
      <c r="G305" s="161"/>
      <c r="H305" s="142"/>
      <c r="I305" s="130" t="e">
        <f>VLOOKUP(H305,Presupuesto!$B$11:$C$565,2,0)</f>
        <v>#N/A</v>
      </c>
      <c r="J305" s="98" t="str">
        <f t="shared" si="13"/>
        <v>Desarrollo del Sistema de Educación Superior</v>
      </c>
      <c r="K305" s="98" t="s">
        <v>401</v>
      </c>
    </row>
    <row r="306" spans="3:11" x14ac:dyDescent="0.25">
      <c r="C306" s="141"/>
      <c r="D306" s="158"/>
      <c r="E306" s="123"/>
      <c r="F306" s="97">
        <f t="shared" si="12"/>
        <v>0</v>
      </c>
      <c r="G306" s="161"/>
      <c r="H306" s="142"/>
      <c r="I306" s="130" t="e">
        <f>VLOOKUP(H306,Presupuesto!$B$11:$C$565,2,0)</f>
        <v>#N/A</v>
      </c>
      <c r="J306" s="98" t="str">
        <f t="shared" si="13"/>
        <v>Desarrollo del Sistema de Educación Superior</v>
      </c>
      <c r="K306" s="98" t="s">
        <v>412</v>
      </c>
    </row>
    <row r="307" spans="3:11" x14ac:dyDescent="0.25">
      <c r="C307" s="141"/>
      <c r="D307" s="158"/>
      <c r="E307" s="123"/>
      <c r="F307" s="97">
        <f t="shared" si="12"/>
        <v>0</v>
      </c>
      <c r="G307" s="161"/>
      <c r="H307" s="142"/>
      <c r="I307" s="130" t="e">
        <f>VLOOKUP(H307,Presupuesto!$B$11:$C$565,2,0)</f>
        <v>#N/A</v>
      </c>
      <c r="J307" s="98" t="str">
        <f t="shared" si="13"/>
        <v>Desarrollo del Sistema de Educación Superior</v>
      </c>
      <c r="K307" s="98" t="s">
        <v>412</v>
      </c>
    </row>
    <row r="308" spans="3:11" x14ac:dyDescent="0.25">
      <c r="C308" s="141"/>
      <c r="D308" s="158"/>
      <c r="E308" s="123"/>
      <c r="F308" s="97">
        <f t="shared" si="12"/>
        <v>0</v>
      </c>
      <c r="G308" s="161"/>
      <c r="H308" s="142"/>
      <c r="I308" s="130" t="e">
        <f>VLOOKUP(H308,Presupuesto!$B$11:$C$565,2,0)</f>
        <v>#N/A</v>
      </c>
      <c r="J308" s="98" t="str">
        <f t="shared" si="13"/>
        <v>Desarrollo del Sistema de Educación Superior</v>
      </c>
      <c r="K308" s="98" t="s">
        <v>412</v>
      </c>
    </row>
    <row r="309" spans="3:11" x14ac:dyDescent="0.25">
      <c r="C309" s="141"/>
      <c r="D309" s="158"/>
      <c r="E309" s="123"/>
      <c r="F309" s="97">
        <f t="shared" si="12"/>
        <v>0</v>
      </c>
      <c r="G309" s="161"/>
      <c r="H309" s="142"/>
      <c r="I309" s="130" t="e">
        <f>VLOOKUP(H309,Presupuesto!$B$11:$C$565,2,0)</f>
        <v>#N/A</v>
      </c>
      <c r="J309" s="98" t="str">
        <f t="shared" si="13"/>
        <v>Desarrollo del Sistema de Educación Superior</v>
      </c>
      <c r="K309" s="98" t="s">
        <v>412</v>
      </c>
    </row>
    <row r="310" spans="3:11" x14ac:dyDescent="0.25">
      <c r="C310" s="141"/>
      <c r="D310" s="158"/>
      <c r="E310" s="123"/>
      <c r="F310" s="97">
        <f t="shared" si="12"/>
        <v>0</v>
      </c>
      <c r="G310" s="161"/>
      <c r="H310" s="142"/>
      <c r="I310" s="130" t="e">
        <f>VLOOKUP(H310,Presupuesto!$B$11:$C$565,2,0)</f>
        <v>#N/A</v>
      </c>
      <c r="J310" s="98" t="str">
        <f t="shared" si="13"/>
        <v>Desarrollo del Sistema de Educación Superior</v>
      </c>
      <c r="K310" s="98" t="s">
        <v>412</v>
      </c>
    </row>
    <row r="311" spans="3:11" x14ac:dyDescent="0.25">
      <c r="C311" s="141"/>
      <c r="D311" s="158"/>
      <c r="E311" s="123"/>
      <c r="F311" s="97">
        <f t="shared" si="12"/>
        <v>0</v>
      </c>
      <c r="G311" s="161"/>
      <c r="H311" s="142"/>
      <c r="I311" s="130" t="e">
        <f>VLOOKUP(H311,Presupuesto!$B$11:$C$565,2,0)</f>
        <v>#N/A</v>
      </c>
      <c r="J311" s="98" t="str">
        <f t="shared" si="13"/>
        <v>Desarrollo del Sistema de Educación Superior</v>
      </c>
      <c r="K311" s="98" t="s">
        <v>412</v>
      </c>
    </row>
    <row r="312" spans="3:11" x14ac:dyDescent="0.25">
      <c r="C312" s="141"/>
      <c r="D312" s="158"/>
      <c r="E312" s="123"/>
      <c r="F312" s="97">
        <f t="shared" si="12"/>
        <v>0</v>
      </c>
      <c r="G312" s="161"/>
      <c r="H312" s="142"/>
      <c r="I312" s="130" t="e">
        <f>VLOOKUP(H312,Presupuesto!$B$11:$C$565,2,0)</f>
        <v>#N/A</v>
      </c>
      <c r="J312" s="98" t="str">
        <f t="shared" si="13"/>
        <v>Desarrollo del Sistema de Educación Superior</v>
      </c>
      <c r="K312" s="98" t="s">
        <v>412</v>
      </c>
    </row>
    <row r="313" spans="3:11" x14ac:dyDescent="0.25">
      <c r="C313" s="141"/>
      <c r="D313" s="158"/>
      <c r="E313" s="123"/>
      <c r="F313" s="97">
        <f t="shared" si="12"/>
        <v>0</v>
      </c>
      <c r="G313" s="161"/>
      <c r="H313" s="142"/>
      <c r="I313" s="130" t="e">
        <f>VLOOKUP(H313,Presupuesto!$B$11:$C$565,2,0)</f>
        <v>#N/A</v>
      </c>
      <c r="J313" s="98" t="str">
        <f t="shared" si="13"/>
        <v>Desarrollo del Sistema de Educación Superior</v>
      </c>
      <c r="K313" s="98" t="s">
        <v>412</v>
      </c>
    </row>
    <row r="314" spans="3:11" x14ac:dyDescent="0.25">
      <c r="C314" s="141"/>
      <c r="D314" s="158"/>
      <c r="E314" s="123"/>
      <c r="F314" s="97">
        <f t="shared" si="12"/>
        <v>0</v>
      </c>
      <c r="G314" s="161"/>
      <c r="H314" s="142"/>
      <c r="I314" s="130" t="e">
        <f>VLOOKUP(H314,Presupuesto!$B$11:$C$565,2,0)</f>
        <v>#N/A</v>
      </c>
      <c r="J314" s="98" t="str">
        <f t="shared" si="13"/>
        <v>Desarrollo del Sistema de Educación Superior</v>
      </c>
      <c r="K314" s="98" t="s">
        <v>412</v>
      </c>
    </row>
    <row r="315" spans="3:11" x14ac:dyDescent="0.25">
      <c r="C315" s="141"/>
      <c r="D315" s="158"/>
      <c r="E315" s="123"/>
      <c r="F315" s="97">
        <f t="shared" si="12"/>
        <v>0</v>
      </c>
      <c r="G315" s="161"/>
      <c r="H315" s="142"/>
      <c r="I315" s="130" t="e">
        <f>VLOOKUP(H315,Presupuesto!$B$11:$C$565,2,0)</f>
        <v>#N/A</v>
      </c>
      <c r="J315" s="98" t="str">
        <f t="shared" si="13"/>
        <v>Desarrollo del Sistema de Educación Superior</v>
      </c>
      <c r="K315" s="98" t="s">
        <v>412</v>
      </c>
    </row>
    <row r="316" spans="3:11" x14ac:dyDescent="0.25">
      <c r="C316" s="141"/>
      <c r="D316" s="158"/>
      <c r="E316" s="123"/>
      <c r="F316" s="97">
        <f t="shared" si="12"/>
        <v>0</v>
      </c>
      <c r="G316" s="161"/>
      <c r="H316" s="142"/>
      <c r="I316" s="130" t="e">
        <f>VLOOKUP(H316,Presupuesto!$B$11:$C$565,2,0)</f>
        <v>#N/A</v>
      </c>
      <c r="J316" s="98" t="str">
        <f t="shared" si="13"/>
        <v>Desarrollo del Sistema de Educación Superior</v>
      </c>
      <c r="K316" s="98" t="s">
        <v>412</v>
      </c>
    </row>
    <row r="317" spans="3:11" x14ac:dyDescent="0.25">
      <c r="C317" s="141"/>
      <c r="D317" s="158"/>
      <c r="E317" s="123"/>
      <c r="F317" s="97">
        <f t="shared" si="12"/>
        <v>0</v>
      </c>
      <c r="G317" s="161"/>
      <c r="H317" s="142"/>
      <c r="I317" s="130" t="e">
        <f>VLOOKUP(H317,Presupuesto!$B$11:$C$565,2,0)</f>
        <v>#N/A</v>
      </c>
      <c r="J317" s="98" t="str">
        <f t="shared" si="13"/>
        <v>Desarrollo del Sistema de Educación Superior</v>
      </c>
      <c r="K317" s="98" t="s">
        <v>412</v>
      </c>
    </row>
    <row r="318" spans="3:11" x14ac:dyDescent="0.25">
      <c r="C318" s="141"/>
      <c r="D318" s="158"/>
      <c r="E318" s="123"/>
      <c r="F318" s="97">
        <f t="shared" si="12"/>
        <v>0</v>
      </c>
      <c r="G318" s="161"/>
      <c r="H318" s="142"/>
      <c r="I318" s="130" t="e">
        <f>VLOOKUP(H318,Presupuesto!$B$11:$C$565,2,0)</f>
        <v>#N/A</v>
      </c>
      <c r="J318" s="98" t="str">
        <f t="shared" si="13"/>
        <v>Desarrollo del Sistema de Educación Superior</v>
      </c>
      <c r="K318" s="98" t="s">
        <v>412</v>
      </c>
    </row>
    <row r="319" spans="3:11" x14ac:dyDescent="0.25">
      <c r="C319" s="141"/>
      <c r="D319" s="158"/>
      <c r="E319" s="123"/>
      <c r="F319" s="97">
        <f t="shared" si="12"/>
        <v>0</v>
      </c>
      <c r="G319" s="161"/>
      <c r="H319" s="142"/>
      <c r="I319" s="130" t="e">
        <f>VLOOKUP(H319,Presupuesto!$B$11:$C$565,2,0)</f>
        <v>#N/A</v>
      </c>
      <c r="J319" s="98" t="str">
        <f t="shared" si="13"/>
        <v>Desarrollo del Sistema de Educación Superior</v>
      </c>
      <c r="K319" s="98" t="s">
        <v>412</v>
      </c>
    </row>
    <row r="320" spans="3:11" x14ac:dyDescent="0.25">
      <c r="C320" s="141"/>
      <c r="D320" s="158"/>
      <c r="E320" s="123"/>
      <c r="F320" s="97">
        <f t="shared" si="12"/>
        <v>0</v>
      </c>
      <c r="G320" s="161"/>
      <c r="H320" s="142"/>
      <c r="I320" s="130" t="e">
        <f>VLOOKUP(H320,Presupuesto!$B$11:$C$565,2,0)</f>
        <v>#N/A</v>
      </c>
      <c r="J320" s="98" t="str">
        <f t="shared" si="13"/>
        <v>Desarrollo del Sistema de Educación Superior</v>
      </c>
      <c r="K320" s="98" t="s">
        <v>412</v>
      </c>
    </row>
    <row r="321" spans="3:11" x14ac:dyDescent="0.25">
      <c r="C321" s="141"/>
      <c r="D321" s="158"/>
      <c r="E321" s="123"/>
      <c r="F321" s="97">
        <f t="shared" si="12"/>
        <v>0</v>
      </c>
      <c r="G321" s="161"/>
      <c r="H321" s="142"/>
      <c r="I321" s="130" t="e">
        <f>VLOOKUP(H321,Presupuesto!$B$11:$C$565,2,0)</f>
        <v>#N/A</v>
      </c>
      <c r="J321" s="98" t="str">
        <f t="shared" si="13"/>
        <v>Desarrollo del Sistema de Educación Superior</v>
      </c>
      <c r="K321" s="98" t="s">
        <v>412</v>
      </c>
    </row>
    <row r="322" spans="3:11" x14ac:dyDescent="0.25">
      <c r="C322" s="143"/>
      <c r="D322" s="151"/>
      <c r="E322" s="118"/>
      <c r="F322" s="97">
        <f t="shared" si="12"/>
        <v>0</v>
      </c>
      <c r="G322" s="161"/>
      <c r="H322" s="144"/>
      <c r="I322" s="130" t="e">
        <f>VLOOKUP(H322,Presupuesto!$B$11:$C$565,2,0)</f>
        <v>#N/A</v>
      </c>
      <c r="J322" s="98" t="str">
        <f t="shared" si="13"/>
        <v>Desarrollo del Sistema de Educación Superior</v>
      </c>
      <c r="K322" s="98" t="s">
        <v>412</v>
      </c>
    </row>
    <row r="323" spans="3:11" x14ac:dyDescent="0.25">
      <c r="C323" s="143"/>
      <c r="D323" s="151"/>
      <c r="E323" s="118"/>
      <c r="F323" s="97">
        <f t="shared" si="12"/>
        <v>0</v>
      </c>
      <c r="G323" s="161"/>
      <c r="H323" s="144"/>
      <c r="I323" s="130" t="e">
        <f>VLOOKUP(H323,Presupuesto!$B$11:$C$565,2,0)</f>
        <v>#N/A</v>
      </c>
      <c r="J323" s="98" t="str">
        <f t="shared" si="13"/>
        <v>Desarrollo del Sistema de Educación Superior</v>
      </c>
      <c r="K323" s="98" t="s">
        <v>412</v>
      </c>
    </row>
    <row r="324" spans="3:11" x14ac:dyDescent="0.25">
      <c r="C324" s="143"/>
      <c r="D324" s="151"/>
      <c r="E324" s="118"/>
      <c r="F324" s="97">
        <f t="shared" si="12"/>
        <v>0</v>
      </c>
      <c r="G324" s="161"/>
      <c r="H324" s="144"/>
      <c r="I324" s="130" t="e">
        <f>VLOOKUP(H324,Presupuesto!$B$11:$C$565,2,0)</f>
        <v>#N/A</v>
      </c>
      <c r="J324" s="98" t="str">
        <f t="shared" si="13"/>
        <v>Desarrollo del Sistema de Educación Superior</v>
      </c>
      <c r="K324" s="98" t="s">
        <v>412</v>
      </c>
    </row>
    <row r="325" spans="3:11" x14ac:dyDescent="0.25">
      <c r="C325" s="143"/>
      <c r="D325" s="151"/>
      <c r="E325" s="118"/>
      <c r="F325" s="97">
        <f t="shared" si="12"/>
        <v>0</v>
      </c>
      <c r="G325" s="161"/>
      <c r="H325" s="144"/>
      <c r="I325" s="130" t="e">
        <f>VLOOKUP(H325,Presupuesto!$B$11:$C$565,2,0)</f>
        <v>#N/A</v>
      </c>
      <c r="J325" s="98" t="str">
        <f t="shared" si="13"/>
        <v>Desarrollo del Sistema de Educación Superior</v>
      </c>
      <c r="K325" s="98" t="s">
        <v>412</v>
      </c>
    </row>
    <row r="326" spans="3:11" x14ac:dyDescent="0.25">
      <c r="C326" s="143"/>
      <c r="D326" s="151"/>
      <c r="E326" s="118"/>
      <c r="F326" s="97">
        <f t="shared" si="12"/>
        <v>0</v>
      </c>
      <c r="G326" s="161"/>
      <c r="H326" s="144"/>
      <c r="I326" s="130" t="e">
        <f>VLOOKUP(H326,Presupuesto!$B$11:$C$565,2,0)</f>
        <v>#N/A</v>
      </c>
      <c r="J326" s="98" t="str">
        <f t="shared" si="13"/>
        <v>Desarrollo del Sistema de Educación Superior</v>
      </c>
      <c r="K326" s="98" t="s">
        <v>412</v>
      </c>
    </row>
    <row r="327" spans="3:11" x14ac:dyDescent="0.25">
      <c r="C327" s="143"/>
      <c r="D327" s="151"/>
      <c r="E327" s="118"/>
      <c r="F327" s="97">
        <f t="shared" si="12"/>
        <v>0</v>
      </c>
      <c r="G327" s="161"/>
      <c r="H327" s="144"/>
      <c r="I327" s="130" t="e">
        <f>VLOOKUP(H327,Presupuesto!$B$11:$C$565,2,0)</f>
        <v>#N/A</v>
      </c>
      <c r="J327" s="98" t="str">
        <f t="shared" si="13"/>
        <v>Desarrollo del Sistema de Educación Superior</v>
      </c>
      <c r="K327" s="98" t="s">
        <v>412</v>
      </c>
    </row>
    <row r="328" spans="3:11" x14ac:dyDescent="0.25">
      <c r="C328" s="143"/>
      <c r="D328" s="151"/>
      <c r="E328" s="118"/>
      <c r="F328" s="97">
        <f t="shared" si="12"/>
        <v>0</v>
      </c>
      <c r="G328" s="161"/>
      <c r="H328" s="144"/>
      <c r="I328" s="130" t="e">
        <f>VLOOKUP(H328,Presupuesto!$B$11:$C$565,2,0)</f>
        <v>#N/A</v>
      </c>
      <c r="J328" s="98" t="str">
        <f t="shared" si="13"/>
        <v>Desarrollo del Sistema de Educación Superior</v>
      </c>
      <c r="K328" s="98" t="s">
        <v>412</v>
      </c>
    </row>
    <row r="329" spans="3:11" x14ac:dyDescent="0.25">
      <c r="C329" s="143"/>
      <c r="D329" s="151"/>
      <c r="E329" s="118"/>
      <c r="F329" s="97">
        <f t="shared" si="12"/>
        <v>0</v>
      </c>
      <c r="G329" s="161"/>
      <c r="H329" s="144"/>
      <c r="I329" s="130" t="e">
        <f>VLOOKUP(H329,Presupuesto!$B$11:$C$565,2,0)</f>
        <v>#N/A</v>
      </c>
      <c r="J329" s="98" t="str">
        <f t="shared" si="13"/>
        <v>Desarrollo del Sistema de Educación Superior</v>
      </c>
      <c r="K329" s="98" t="s">
        <v>412</v>
      </c>
    </row>
    <row r="330" spans="3:11" x14ac:dyDescent="0.25">
      <c r="C330" s="145"/>
      <c r="D330" s="151"/>
      <c r="E330" s="118"/>
      <c r="F330" s="97">
        <f t="shared" si="12"/>
        <v>0</v>
      </c>
      <c r="G330" s="161"/>
      <c r="H330" s="146"/>
      <c r="I330" s="130" t="e">
        <f>VLOOKUP(H330,Presupuesto!$B$11:$C$565,2,0)</f>
        <v>#N/A</v>
      </c>
      <c r="J330" s="98" t="str">
        <f t="shared" si="13"/>
        <v>Desarrollo del Sistema de Educación Superior</v>
      </c>
      <c r="K330" s="98" t="s">
        <v>403</v>
      </c>
    </row>
    <row r="331" spans="3:11" x14ac:dyDescent="0.25">
      <c r="C331" s="145"/>
      <c r="D331" s="151"/>
      <c r="E331" s="118"/>
      <c r="F331" s="97">
        <f t="shared" si="12"/>
        <v>0</v>
      </c>
      <c r="G331" s="161"/>
      <c r="H331" s="146"/>
      <c r="I331" s="130" t="e">
        <f>VLOOKUP(H331,Presupuesto!$B$11:$C$565,2,0)</f>
        <v>#N/A</v>
      </c>
      <c r="J331" s="98" t="str">
        <f t="shared" si="13"/>
        <v>Desarrollo del Sistema de Educación Superior</v>
      </c>
      <c r="K331" s="98" t="s">
        <v>412</v>
      </c>
    </row>
    <row r="332" spans="3:11" x14ac:dyDescent="0.25">
      <c r="C332" s="145"/>
      <c r="D332" s="151"/>
      <c r="E332" s="118"/>
      <c r="F332" s="97">
        <f t="shared" si="12"/>
        <v>0</v>
      </c>
      <c r="G332" s="161"/>
      <c r="H332" s="146"/>
      <c r="I332" s="130" t="e">
        <f>VLOOKUP(H332,Presupuesto!$B$11:$C$565,2,0)</f>
        <v>#N/A</v>
      </c>
      <c r="J332" s="98" t="str">
        <f t="shared" si="13"/>
        <v>Desarrollo del Sistema de Educación Superior</v>
      </c>
      <c r="K332" s="98" t="s">
        <v>412</v>
      </c>
    </row>
    <row r="333" spans="3:11" x14ac:dyDescent="0.25">
      <c r="C333" s="145"/>
      <c r="D333" s="151"/>
      <c r="E333" s="118"/>
      <c r="F333" s="97">
        <f t="shared" si="12"/>
        <v>0</v>
      </c>
      <c r="G333" s="161"/>
      <c r="H333" s="146"/>
      <c r="I333" s="130" t="e">
        <f>VLOOKUP(H333,Presupuesto!$B$11:$C$565,2,0)</f>
        <v>#N/A</v>
      </c>
      <c r="J333" s="98" t="str">
        <f t="shared" si="13"/>
        <v>Desarrollo del Sistema de Educación Superior</v>
      </c>
      <c r="K333" s="98" t="s">
        <v>412</v>
      </c>
    </row>
    <row r="334" spans="3:11" ht="15.75" thickBot="1" x14ac:dyDescent="0.3">
      <c r="C334" s="147"/>
      <c r="D334" s="159"/>
      <c r="E334" s="103"/>
      <c r="F334" s="105">
        <f t="shared" si="12"/>
        <v>0</v>
      </c>
      <c r="G334" s="162"/>
      <c r="H334" s="148"/>
      <c r="I334" s="132" t="e">
        <f>VLOOKUP(H334,Presupuesto!$B$11:$C$565,2,0)</f>
        <v>#N/A</v>
      </c>
      <c r="J334" s="106" t="str">
        <f t="shared" si="13"/>
        <v>Desarrollo del Sistema de Educación Superior</v>
      </c>
      <c r="K334" s="124" t="s">
        <v>394</v>
      </c>
    </row>
    <row r="336" spans="3:11" ht="15.75" thickBot="1" x14ac:dyDescent="0.3"/>
    <row r="337" spans="3:11" ht="15.75" thickBot="1" x14ac:dyDescent="0.3">
      <c r="C337" s="157" t="s">
        <v>53</v>
      </c>
      <c r="D337" s="374">
        <f>SUM(F344:F378)</f>
        <v>0</v>
      </c>
      <c r="F337" s="70"/>
      <c r="G337" s="79"/>
      <c r="H337" s="70"/>
      <c r="I337" s="70"/>
    </row>
    <row r="338" spans="3:11" x14ac:dyDescent="0.25">
      <c r="C338" s="70"/>
      <c r="D338" s="31"/>
      <c r="E338" s="93"/>
      <c r="F338" s="93"/>
      <c r="G338" s="93"/>
      <c r="H338" s="76"/>
      <c r="I338" s="76"/>
      <c r="J338" s="76"/>
      <c r="K338" s="112"/>
    </row>
    <row r="339" spans="3:11" x14ac:dyDescent="0.25">
      <c r="C339" s="70"/>
      <c r="D339" s="31"/>
      <c r="E339" s="93"/>
      <c r="F339" s="93"/>
      <c r="G339" s="93"/>
      <c r="H339" s="76"/>
      <c r="I339" s="76"/>
      <c r="J339" s="76"/>
      <c r="K339" s="112"/>
    </row>
    <row r="340" spans="3:11" ht="15.75" x14ac:dyDescent="0.25">
      <c r="C340" s="202" t="s">
        <v>392</v>
      </c>
      <c r="D340" s="370"/>
      <c r="E340" s="93"/>
      <c r="F340" s="93"/>
      <c r="G340" s="93"/>
      <c r="H340" s="76"/>
      <c r="I340" s="76"/>
      <c r="J340" s="76"/>
      <c r="K340" s="112"/>
    </row>
    <row r="341" spans="3:11" ht="18.75" x14ac:dyDescent="0.25">
      <c r="C341" s="211" t="e">
        <f>IFERROR(VLOOKUP(D340,'1. Desarrollo e Innov. Curricu.'!$E:$F,2,FALSE),IFERROR(VLOOKUP(D340,'2. Investigación Científica'!$E:$F,2,FALSE),IFERROR(VLOOKUP(D340,'3. Vinculación Univ. Sociedad'!$E:$F,2,FALSE),IFERROR(VLOOKUP(D340,'4. Docencia y Profesorado Univ.'!$E:$F,2,FALSE),IFERROR(VLOOKUP(D340,'5. Estudiantes y Graduados'!$E:$F,2,FALSE),IFERROR(VLOOKUP(D340,'11. Gestion Administrativa'!$E:$F,2,FALSE),IFERROR(VLOOKUP(D340,'13. Gestión Académica'!$E:$F,2,FALSE),IFERROR(VLOOKUP(D340,'8. Asegura. de la Calid. y M'!$E:$F,2,FALSE),IFERROR(VLOOKUP(D340,'6. Gestión del Conocimiento'!$E:$F,2,FALSE),IFERROR(VLOOKUP(D340,'15. Gobernabilidad y Proceso...'!$E:$F,2,FALSE),IFERROR(VLOOKUP(D340,'12. Gestión del Talento Humano'!$E:$F,2,FALSE),IFERROR(VLOOKUP(D340,'14. Internacional... de la E.S.'!$E:$F,2,FALSE),IFERROR(VLOOKUP(D340,'10. Posgrado'!$E:$F,2,FALSE),IFERROR(VLOOKUP(D340,'17. Gestión TIC'!$E:$F,2,FALSE),IFERROR(VLOOKUP(D340,'16. Desa. del Sistema Educ.Sup.'!$E:$F,2,FALSE),IFERROR(VLOOKUP(D340,'9. Cultura de Inno. Insti...'!$E:$F,2,FALSE),VLOOKUP(D340,'7. Lo Esencial de la Reforma U.'!$E:$F,2,0)))))))))))))))))</f>
        <v>#N/A</v>
      </c>
      <c r="D341" s="31"/>
      <c r="E341" s="93"/>
      <c r="F341" s="93"/>
      <c r="G341" s="93"/>
      <c r="H341" s="76"/>
      <c r="I341" s="76"/>
      <c r="J341" s="76"/>
      <c r="K341" s="112"/>
    </row>
    <row r="342" spans="3:11" ht="15.75" thickBot="1" x14ac:dyDescent="0.3">
      <c r="F342" s="93"/>
      <c r="G342" s="76"/>
      <c r="H342" s="76"/>
      <c r="I342" s="76"/>
    </row>
    <row r="343" spans="3:11" ht="30.75" thickBot="1" x14ac:dyDescent="0.3">
      <c r="C343" s="129" t="s">
        <v>44</v>
      </c>
      <c r="D343" s="129" t="s">
        <v>55</v>
      </c>
      <c r="E343" s="136" t="s">
        <v>57</v>
      </c>
      <c r="F343" s="135" t="s">
        <v>27</v>
      </c>
      <c r="G343" s="133" t="s">
        <v>131</v>
      </c>
      <c r="H343" s="136" t="s">
        <v>46</v>
      </c>
      <c r="I343" s="133" t="s">
        <v>132</v>
      </c>
      <c r="J343" s="133" t="s">
        <v>410</v>
      </c>
      <c r="K343" s="133" t="s">
        <v>411</v>
      </c>
    </row>
    <row r="344" spans="3:11" x14ac:dyDescent="0.25">
      <c r="C344" s="221" t="s">
        <v>439</v>
      </c>
      <c r="D344" s="222"/>
      <c r="E344" s="220">
        <f>HLOOKUP(C344,$AH$2:$BU$3,2,0)</f>
        <v>620</v>
      </c>
      <c r="F344" s="97">
        <f t="shared" ref="F344:F378" si="14">D344*E344</f>
        <v>0</v>
      </c>
      <c r="G344" s="161"/>
      <c r="H344" s="142"/>
      <c r="I344" s="130" t="e">
        <f>VLOOKUP(H344,Presupuesto!$B$11:$C$565,2,0)</f>
        <v>#N/A</v>
      </c>
      <c r="J344" s="219" t="s">
        <v>1479</v>
      </c>
      <c r="K344" s="98" t="s">
        <v>394</v>
      </c>
    </row>
    <row r="345" spans="3:11" x14ac:dyDescent="0.25">
      <c r="C345" s="141"/>
      <c r="D345" s="158"/>
      <c r="E345" s="123"/>
      <c r="F345" s="97">
        <f t="shared" si="14"/>
        <v>0</v>
      </c>
      <c r="G345" s="161"/>
      <c r="H345" s="142"/>
      <c r="I345" s="130" t="e">
        <f>VLOOKUP(H345,Presupuesto!$B$11:$C$565,2,0)</f>
        <v>#N/A</v>
      </c>
      <c r="J345" s="98" t="str">
        <f>$J$344</f>
        <v>Desarrollo del Sistema de Educación Superior</v>
      </c>
      <c r="K345" s="98" t="s">
        <v>412</v>
      </c>
    </row>
    <row r="346" spans="3:11" x14ac:dyDescent="0.25">
      <c r="C346" s="141"/>
      <c r="D346" s="158"/>
      <c r="E346" s="123"/>
      <c r="F346" s="97">
        <f t="shared" si="14"/>
        <v>0</v>
      </c>
      <c r="G346" s="161"/>
      <c r="H346" s="142"/>
      <c r="I346" s="130" t="e">
        <f>VLOOKUP(H346,Presupuesto!$B$11:$C$565,2,0)</f>
        <v>#N/A</v>
      </c>
      <c r="J346" s="98" t="str">
        <f t="shared" ref="J346:J378" si="15">$J$344</f>
        <v>Desarrollo del Sistema de Educación Superior</v>
      </c>
      <c r="K346" s="98" t="s">
        <v>412</v>
      </c>
    </row>
    <row r="347" spans="3:11" x14ac:dyDescent="0.25">
      <c r="C347" s="141"/>
      <c r="D347" s="158"/>
      <c r="E347" s="123"/>
      <c r="F347" s="97">
        <f t="shared" si="14"/>
        <v>0</v>
      </c>
      <c r="G347" s="161"/>
      <c r="H347" s="142"/>
      <c r="I347" s="130" t="e">
        <f>VLOOKUP(H347,Presupuesto!$B$11:$C$565,2,0)</f>
        <v>#N/A</v>
      </c>
      <c r="J347" s="98" t="str">
        <f t="shared" si="15"/>
        <v>Desarrollo del Sistema de Educación Superior</v>
      </c>
      <c r="K347" s="98" t="s">
        <v>412</v>
      </c>
    </row>
    <row r="348" spans="3:11" x14ac:dyDescent="0.25">
      <c r="C348" s="141"/>
      <c r="D348" s="158"/>
      <c r="E348" s="123"/>
      <c r="F348" s="97">
        <f t="shared" si="14"/>
        <v>0</v>
      </c>
      <c r="G348" s="161"/>
      <c r="H348" s="142"/>
      <c r="I348" s="130" t="e">
        <f>VLOOKUP(H348,Presupuesto!$B$11:$C$565,2,0)</f>
        <v>#N/A</v>
      </c>
      <c r="J348" s="98" t="str">
        <f t="shared" si="15"/>
        <v>Desarrollo del Sistema de Educación Superior</v>
      </c>
      <c r="K348" s="98" t="s">
        <v>412</v>
      </c>
    </row>
    <row r="349" spans="3:11" x14ac:dyDescent="0.25">
      <c r="C349" s="141"/>
      <c r="D349" s="158"/>
      <c r="E349" s="123"/>
      <c r="F349" s="97">
        <f t="shared" si="14"/>
        <v>0</v>
      </c>
      <c r="G349" s="161"/>
      <c r="H349" s="142"/>
      <c r="I349" s="130" t="e">
        <f>VLOOKUP(H349,Presupuesto!$B$11:$C$565,2,0)</f>
        <v>#N/A</v>
      </c>
      <c r="J349" s="98" t="str">
        <f t="shared" si="15"/>
        <v>Desarrollo del Sistema de Educación Superior</v>
      </c>
      <c r="K349" s="98" t="s">
        <v>401</v>
      </c>
    </row>
    <row r="350" spans="3:11" x14ac:dyDescent="0.25">
      <c r="C350" s="141"/>
      <c r="D350" s="158"/>
      <c r="E350" s="123"/>
      <c r="F350" s="97">
        <f t="shared" si="14"/>
        <v>0</v>
      </c>
      <c r="G350" s="161"/>
      <c r="H350" s="142"/>
      <c r="I350" s="130" t="e">
        <f>VLOOKUP(H350,Presupuesto!$B$11:$C$565,2,0)</f>
        <v>#N/A</v>
      </c>
      <c r="J350" s="98" t="str">
        <f t="shared" si="15"/>
        <v>Desarrollo del Sistema de Educación Superior</v>
      </c>
      <c r="K350" s="98" t="s">
        <v>412</v>
      </c>
    </row>
    <row r="351" spans="3:11" x14ac:dyDescent="0.25">
      <c r="C351" s="141"/>
      <c r="D351" s="158"/>
      <c r="E351" s="123"/>
      <c r="F351" s="97">
        <f t="shared" si="14"/>
        <v>0</v>
      </c>
      <c r="G351" s="161"/>
      <c r="H351" s="142"/>
      <c r="I351" s="130" t="e">
        <f>VLOOKUP(H351,Presupuesto!$B$11:$C$565,2,0)</f>
        <v>#N/A</v>
      </c>
      <c r="J351" s="98" t="str">
        <f t="shared" si="15"/>
        <v>Desarrollo del Sistema de Educación Superior</v>
      </c>
      <c r="K351" s="98" t="s">
        <v>412</v>
      </c>
    </row>
    <row r="352" spans="3:11" x14ac:dyDescent="0.25">
      <c r="C352" s="141"/>
      <c r="D352" s="158"/>
      <c r="E352" s="123"/>
      <c r="F352" s="97">
        <f t="shared" si="14"/>
        <v>0</v>
      </c>
      <c r="G352" s="161"/>
      <c r="H352" s="142"/>
      <c r="I352" s="130" t="e">
        <f>VLOOKUP(H352,Presupuesto!$B$11:$C$565,2,0)</f>
        <v>#N/A</v>
      </c>
      <c r="J352" s="98" t="str">
        <f t="shared" si="15"/>
        <v>Desarrollo del Sistema de Educación Superior</v>
      </c>
      <c r="K352" s="98" t="s">
        <v>412</v>
      </c>
    </row>
    <row r="353" spans="3:11" x14ac:dyDescent="0.25">
      <c r="C353" s="141"/>
      <c r="D353" s="158"/>
      <c r="E353" s="123"/>
      <c r="F353" s="97">
        <f t="shared" si="14"/>
        <v>0</v>
      </c>
      <c r="G353" s="161"/>
      <c r="H353" s="142"/>
      <c r="I353" s="130" t="e">
        <f>VLOOKUP(H353,Presupuesto!$B$11:$C$565,2,0)</f>
        <v>#N/A</v>
      </c>
      <c r="J353" s="98" t="str">
        <f t="shared" si="15"/>
        <v>Desarrollo del Sistema de Educación Superior</v>
      </c>
      <c r="K353" s="98" t="s">
        <v>412</v>
      </c>
    </row>
    <row r="354" spans="3:11" x14ac:dyDescent="0.25">
      <c r="C354" s="141"/>
      <c r="D354" s="158"/>
      <c r="E354" s="123"/>
      <c r="F354" s="97">
        <f t="shared" si="14"/>
        <v>0</v>
      </c>
      <c r="G354" s="161"/>
      <c r="H354" s="142"/>
      <c r="I354" s="130" t="e">
        <f>VLOOKUP(H354,Presupuesto!$B$11:$C$565,2,0)</f>
        <v>#N/A</v>
      </c>
      <c r="J354" s="98" t="str">
        <f t="shared" si="15"/>
        <v>Desarrollo del Sistema de Educación Superior</v>
      </c>
      <c r="K354" s="98" t="s">
        <v>412</v>
      </c>
    </row>
    <row r="355" spans="3:11" x14ac:dyDescent="0.25">
      <c r="C355" s="141"/>
      <c r="D355" s="158"/>
      <c r="E355" s="123"/>
      <c r="F355" s="97">
        <f t="shared" si="14"/>
        <v>0</v>
      </c>
      <c r="G355" s="161"/>
      <c r="H355" s="142"/>
      <c r="I355" s="130" t="e">
        <f>VLOOKUP(H355,Presupuesto!$B$11:$C$565,2,0)</f>
        <v>#N/A</v>
      </c>
      <c r="J355" s="98" t="str">
        <f t="shared" si="15"/>
        <v>Desarrollo del Sistema de Educación Superior</v>
      </c>
      <c r="K355" s="98" t="s">
        <v>412</v>
      </c>
    </row>
    <row r="356" spans="3:11" x14ac:dyDescent="0.25">
      <c r="C356" s="141"/>
      <c r="D356" s="158"/>
      <c r="E356" s="123"/>
      <c r="F356" s="97">
        <f t="shared" si="14"/>
        <v>0</v>
      </c>
      <c r="G356" s="161"/>
      <c r="H356" s="142"/>
      <c r="I356" s="130" t="e">
        <f>VLOOKUP(H356,Presupuesto!$B$11:$C$565,2,0)</f>
        <v>#N/A</v>
      </c>
      <c r="J356" s="98" t="str">
        <f t="shared" si="15"/>
        <v>Desarrollo del Sistema de Educación Superior</v>
      </c>
      <c r="K356" s="98" t="s">
        <v>412</v>
      </c>
    </row>
    <row r="357" spans="3:11" x14ac:dyDescent="0.25">
      <c r="C357" s="141"/>
      <c r="D357" s="158"/>
      <c r="E357" s="123"/>
      <c r="F357" s="97">
        <f t="shared" si="14"/>
        <v>0</v>
      </c>
      <c r="G357" s="161"/>
      <c r="H357" s="142"/>
      <c r="I357" s="130" t="e">
        <f>VLOOKUP(H357,Presupuesto!$B$11:$C$565,2,0)</f>
        <v>#N/A</v>
      </c>
      <c r="J357" s="98" t="str">
        <f t="shared" si="15"/>
        <v>Desarrollo del Sistema de Educación Superior</v>
      </c>
      <c r="K357" s="98" t="s">
        <v>412</v>
      </c>
    </row>
    <row r="358" spans="3:11" x14ac:dyDescent="0.25">
      <c r="C358" s="141"/>
      <c r="D358" s="158"/>
      <c r="E358" s="123"/>
      <c r="F358" s="97">
        <f t="shared" si="14"/>
        <v>0</v>
      </c>
      <c r="G358" s="161"/>
      <c r="H358" s="142"/>
      <c r="I358" s="130" t="e">
        <f>VLOOKUP(H358,Presupuesto!$B$11:$C$565,2,0)</f>
        <v>#N/A</v>
      </c>
      <c r="J358" s="98" t="str">
        <f t="shared" si="15"/>
        <v>Desarrollo del Sistema de Educación Superior</v>
      </c>
      <c r="K358" s="98" t="s">
        <v>412</v>
      </c>
    </row>
    <row r="359" spans="3:11" x14ac:dyDescent="0.25">
      <c r="C359" s="141"/>
      <c r="D359" s="158"/>
      <c r="E359" s="123"/>
      <c r="F359" s="97">
        <f t="shared" si="14"/>
        <v>0</v>
      </c>
      <c r="G359" s="161"/>
      <c r="H359" s="142"/>
      <c r="I359" s="130" t="e">
        <f>VLOOKUP(H359,Presupuesto!$B$11:$C$565,2,0)</f>
        <v>#N/A</v>
      </c>
      <c r="J359" s="98" t="str">
        <f t="shared" si="15"/>
        <v>Desarrollo del Sistema de Educación Superior</v>
      </c>
      <c r="K359" s="98" t="s">
        <v>412</v>
      </c>
    </row>
    <row r="360" spans="3:11" x14ac:dyDescent="0.25">
      <c r="C360" s="141"/>
      <c r="D360" s="158"/>
      <c r="E360" s="123"/>
      <c r="F360" s="97">
        <f t="shared" si="14"/>
        <v>0</v>
      </c>
      <c r="G360" s="161"/>
      <c r="H360" s="142"/>
      <c r="I360" s="130" t="e">
        <f>VLOOKUP(H360,Presupuesto!$B$11:$C$565,2,0)</f>
        <v>#N/A</v>
      </c>
      <c r="J360" s="98" t="str">
        <f t="shared" si="15"/>
        <v>Desarrollo del Sistema de Educación Superior</v>
      </c>
      <c r="K360" s="98" t="s">
        <v>412</v>
      </c>
    </row>
    <row r="361" spans="3:11" x14ac:dyDescent="0.25">
      <c r="C361" s="141"/>
      <c r="D361" s="158"/>
      <c r="E361" s="123"/>
      <c r="F361" s="97">
        <f t="shared" si="14"/>
        <v>0</v>
      </c>
      <c r="G361" s="161"/>
      <c r="H361" s="142"/>
      <c r="I361" s="130" t="e">
        <f>VLOOKUP(H361,Presupuesto!$B$11:$C$565,2,0)</f>
        <v>#N/A</v>
      </c>
      <c r="J361" s="98" t="str">
        <f t="shared" si="15"/>
        <v>Desarrollo del Sistema de Educación Superior</v>
      </c>
      <c r="K361" s="98" t="s">
        <v>412</v>
      </c>
    </row>
    <row r="362" spans="3:11" x14ac:dyDescent="0.25">
      <c r="C362" s="141"/>
      <c r="D362" s="158"/>
      <c r="E362" s="123"/>
      <c r="F362" s="97">
        <f t="shared" si="14"/>
        <v>0</v>
      </c>
      <c r="G362" s="161"/>
      <c r="H362" s="142"/>
      <c r="I362" s="130" t="e">
        <f>VLOOKUP(H362,Presupuesto!$B$11:$C$565,2,0)</f>
        <v>#N/A</v>
      </c>
      <c r="J362" s="98" t="str">
        <f t="shared" si="15"/>
        <v>Desarrollo del Sistema de Educación Superior</v>
      </c>
      <c r="K362" s="98" t="s">
        <v>412</v>
      </c>
    </row>
    <row r="363" spans="3:11" x14ac:dyDescent="0.25">
      <c r="C363" s="141"/>
      <c r="D363" s="158"/>
      <c r="E363" s="123"/>
      <c r="F363" s="97">
        <f t="shared" si="14"/>
        <v>0</v>
      </c>
      <c r="G363" s="161"/>
      <c r="H363" s="142"/>
      <c r="I363" s="130" t="e">
        <f>VLOOKUP(H363,Presupuesto!$B$11:$C$565,2,0)</f>
        <v>#N/A</v>
      </c>
      <c r="J363" s="98" t="str">
        <f t="shared" si="15"/>
        <v>Desarrollo del Sistema de Educación Superior</v>
      </c>
      <c r="K363" s="98" t="s">
        <v>412</v>
      </c>
    </row>
    <row r="364" spans="3:11" x14ac:dyDescent="0.25">
      <c r="C364" s="141"/>
      <c r="D364" s="158"/>
      <c r="E364" s="123"/>
      <c r="F364" s="97">
        <f t="shared" si="14"/>
        <v>0</v>
      </c>
      <c r="G364" s="161"/>
      <c r="H364" s="142"/>
      <c r="I364" s="130" t="e">
        <f>VLOOKUP(H364,Presupuesto!$B$11:$C$565,2,0)</f>
        <v>#N/A</v>
      </c>
      <c r="J364" s="98" t="str">
        <f t="shared" si="15"/>
        <v>Desarrollo del Sistema de Educación Superior</v>
      </c>
      <c r="K364" s="98" t="s">
        <v>412</v>
      </c>
    </row>
    <row r="365" spans="3:11" x14ac:dyDescent="0.25">
      <c r="C365" s="141"/>
      <c r="D365" s="158"/>
      <c r="E365" s="123"/>
      <c r="F365" s="97">
        <f t="shared" si="14"/>
        <v>0</v>
      </c>
      <c r="G365" s="161"/>
      <c r="H365" s="142"/>
      <c r="I365" s="130" t="e">
        <f>VLOOKUP(H365,Presupuesto!$B$11:$C$565,2,0)</f>
        <v>#N/A</v>
      </c>
      <c r="J365" s="98" t="str">
        <f t="shared" si="15"/>
        <v>Desarrollo del Sistema de Educación Superior</v>
      </c>
      <c r="K365" s="98" t="s">
        <v>412</v>
      </c>
    </row>
    <row r="366" spans="3:11" x14ac:dyDescent="0.25">
      <c r="C366" s="143"/>
      <c r="D366" s="151"/>
      <c r="E366" s="118"/>
      <c r="F366" s="97">
        <f t="shared" si="14"/>
        <v>0</v>
      </c>
      <c r="G366" s="161"/>
      <c r="H366" s="144"/>
      <c r="I366" s="130" t="e">
        <f>VLOOKUP(H366,Presupuesto!$B$11:$C$565,2,0)</f>
        <v>#N/A</v>
      </c>
      <c r="J366" s="98" t="str">
        <f t="shared" si="15"/>
        <v>Desarrollo del Sistema de Educación Superior</v>
      </c>
      <c r="K366" s="98" t="s">
        <v>412</v>
      </c>
    </row>
    <row r="367" spans="3:11" x14ac:dyDescent="0.25">
      <c r="C367" s="143"/>
      <c r="D367" s="151"/>
      <c r="E367" s="118"/>
      <c r="F367" s="97">
        <f t="shared" si="14"/>
        <v>0</v>
      </c>
      <c r="G367" s="161"/>
      <c r="H367" s="144"/>
      <c r="I367" s="130" t="e">
        <f>VLOOKUP(H367,Presupuesto!$B$11:$C$565,2,0)</f>
        <v>#N/A</v>
      </c>
      <c r="J367" s="98" t="str">
        <f t="shared" si="15"/>
        <v>Desarrollo del Sistema de Educación Superior</v>
      </c>
      <c r="K367" s="98" t="s">
        <v>412</v>
      </c>
    </row>
    <row r="368" spans="3:11" x14ac:dyDescent="0.25">
      <c r="C368" s="143"/>
      <c r="D368" s="151"/>
      <c r="E368" s="118"/>
      <c r="F368" s="97">
        <f t="shared" si="14"/>
        <v>0</v>
      </c>
      <c r="G368" s="161"/>
      <c r="H368" s="144"/>
      <c r="I368" s="130" t="e">
        <f>VLOOKUP(H368,Presupuesto!$B$11:$C$565,2,0)</f>
        <v>#N/A</v>
      </c>
      <c r="J368" s="98" t="str">
        <f t="shared" si="15"/>
        <v>Desarrollo del Sistema de Educación Superior</v>
      </c>
      <c r="K368" s="98" t="s">
        <v>412</v>
      </c>
    </row>
    <row r="369" spans="3:11" x14ac:dyDescent="0.25">
      <c r="C369" s="143"/>
      <c r="D369" s="151"/>
      <c r="E369" s="118"/>
      <c r="F369" s="97">
        <f t="shared" si="14"/>
        <v>0</v>
      </c>
      <c r="G369" s="161"/>
      <c r="H369" s="144"/>
      <c r="I369" s="130" t="e">
        <f>VLOOKUP(H369,Presupuesto!$B$11:$C$565,2,0)</f>
        <v>#N/A</v>
      </c>
      <c r="J369" s="98" t="str">
        <f t="shared" si="15"/>
        <v>Desarrollo del Sistema de Educación Superior</v>
      </c>
      <c r="K369" s="98" t="s">
        <v>412</v>
      </c>
    </row>
    <row r="370" spans="3:11" x14ac:dyDescent="0.25">
      <c r="C370" s="143"/>
      <c r="D370" s="151"/>
      <c r="E370" s="118"/>
      <c r="F370" s="97">
        <f t="shared" si="14"/>
        <v>0</v>
      </c>
      <c r="G370" s="161"/>
      <c r="H370" s="144"/>
      <c r="I370" s="130" t="e">
        <f>VLOOKUP(H370,Presupuesto!$B$11:$C$565,2,0)</f>
        <v>#N/A</v>
      </c>
      <c r="J370" s="98" t="str">
        <f t="shared" si="15"/>
        <v>Desarrollo del Sistema de Educación Superior</v>
      </c>
      <c r="K370" s="98" t="s">
        <v>412</v>
      </c>
    </row>
    <row r="371" spans="3:11" x14ac:dyDescent="0.25">
      <c r="C371" s="143"/>
      <c r="D371" s="151"/>
      <c r="E371" s="118"/>
      <c r="F371" s="97">
        <f t="shared" si="14"/>
        <v>0</v>
      </c>
      <c r="G371" s="161"/>
      <c r="H371" s="144"/>
      <c r="I371" s="130" t="e">
        <f>VLOOKUP(H371,Presupuesto!$B$11:$C$565,2,0)</f>
        <v>#N/A</v>
      </c>
      <c r="J371" s="98" t="str">
        <f t="shared" si="15"/>
        <v>Desarrollo del Sistema de Educación Superior</v>
      </c>
      <c r="K371" s="98" t="s">
        <v>412</v>
      </c>
    </row>
    <row r="372" spans="3:11" x14ac:dyDescent="0.25">
      <c r="C372" s="143"/>
      <c r="D372" s="151"/>
      <c r="E372" s="118"/>
      <c r="F372" s="97">
        <f t="shared" si="14"/>
        <v>0</v>
      </c>
      <c r="G372" s="161"/>
      <c r="H372" s="144"/>
      <c r="I372" s="130" t="e">
        <f>VLOOKUP(H372,Presupuesto!$B$11:$C$565,2,0)</f>
        <v>#N/A</v>
      </c>
      <c r="J372" s="98" t="str">
        <f t="shared" si="15"/>
        <v>Desarrollo del Sistema de Educación Superior</v>
      </c>
      <c r="K372" s="98" t="s">
        <v>412</v>
      </c>
    </row>
    <row r="373" spans="3:11" x14ac:dyDescent="0.25">
      <c r="C373" s="143"/>
      <c r="D373" s="151"/>
      <c r="E373" s="118"/>
      <c r="F373" s="97">
        <f t="shared" si="14"/>
        <v>0</v>
      </c>
      <c r="G373" s="161"/>
      <c r="H373" s="144"/>
      <c r="I373" s="130" t="e">
        <f>VLOOKUP(H373,Presupuesto!$B$11:$C$565,2,0)</f>
        <v>#N/A</v>
      </c>
      <c r="J373" s="98" t="str">
        <f t="shared" si="15"/>
        <v>Desarrollo del Sistema de Educación Superior</v>
      </c>
      <c r="K373" s="98" t="s">
        <v>412</v>
      </c>
    </row>
    <row r="374" spans="3:11" x14ac:dyDescent="0.25">
      <c r="C374" s="145"/>
      <c r="D374" s="151"/>
      <c r="E374" s="118"/>
      <c r="F374" s="97">
        <f t="shared" si="14"/>
        <v>0</v>
      </c>
      <c r="G374" s="161"/>
      <c r="H374" s="146"/>
      <c r="I374" s="130" t="e">
        <f>VLOOKUP(H374,Presupuesto!$B$11:$C$565,2,0)</f>
        <v>#N/A</v>
      </c>
      <c r="J374" s="98" t="str">
        <f t="shared" si="15"/>
        <v>Desarrollo del Sistema de Educación Superior</v>
      </c>
      <c r="K374" s="98" t="s">
        <v>403</v>
      </c>
    </row>
    <row r="375" spans="3:11" x14ac:dyDescent="0.25">
      <c r="C375" s="145"/>
      <c r="D375" s="151"/>
      <c r="E375" s="118"/>
      <c r="F375" s="97">
        <f t="shared" si="14"/>
        <v>0</v>
      </c>
      <c r="G375" s="161"/>
      <c r="H375" s="146"/>
      <c r="I375" s="130" t="e">
        <f>VLOOKUP(H375,Presupuesto!$B$11:$C$565,2,0)</f>
        <v>#N/A</v>
      </c>
      <c r="J375" s="98" t="str">
        <f t="shared" si="15"/>
        <v>Desarrollo del Sistema de Educación Superior</v>
      </c>
      <c r="K375" s="98" t="s">
        <v>412</v>
      </c>
    </row>
    <row r="376" spans="3:11" x14ac:dyDescent="0.25">
      <c r="C376" s="145"/>
      <c r="D376" s="151"/>
      <c r="E376" s="118"/>
      <c r="F376" s="97">
        <f t="shared" si="14"/>
        <v>0</v>
      </c>
      <c r="G376" s="161"/>
      <c r="H376" s="146"/>
      <c r="I376" s="130" t="e">
        <f>VLOOKUP(H376,Presupuesto!$B$11:$C$565,2,0)</f>
        <v>#N/A</v>
      </c>
      <c r="J376" s="98" t="str">
        <f t="shared" si="15"/>
        <v>Desarrollo del Sistema de Educación Superior</v>
      </c>
      <c r="K376" s="98" t="s">
        <v>412</v>
      </c>
    </row>
    <row r="377" spans="3:11" x14ac:dyDescent="0.25">
      <c r="C377" s="145"/>
      <c r="D377" s="151"/>
      <c r="E377" s="118"/>
      <c r="F377" s="97">
        <f t="shared" si="14"/>
        <v>0</v>
      </c>
      <c r="G377" s="161"/>
      <c r="H377" s="146"/>
      <c r="I377" s="130" t="e">
        <f>VLOOKUP(H377,Presupuesto!$B$11:$C$565,2,0)</f>
        <v>#N/A</v>
      </c>
      <c r="J377" s="98" t="str">
        <f t="shared" si="15"/>
        <v>Desarrollo del Sistema de Educación Superior</v>
      </c>
      <c r="K377" s="98" t="s">
        <v>412</v>
      </c>
    </row>
    <row r="378" spans="3:11" ht="15.75" thickBot="1" x14ac:dyDescent="0.3">
      <c r="C378" s="147"/>
      <c r="D378" s="159"/>
      <c r="E378" s="103"/>
      <c r="F378" s="105">
        <f t="shared" si="14"/>
        <v>0</v>
      </c>
      <c r="G378" s="162"/>
      <c r="H378" s="148"/>
      <c r="I378" s="132" t="e">
        <f>VLOOKUP(H378,Presupuesto!$B$11:$C$565,2,0)</f>
        <v>#N/A</v>
      </c>
      <c r="J378" s="106" t="str">
        <f t="shared" si="15"/>
        <v>Desarrollo del Sistema de Educación Superior</v>
      </c>
      <c r="K378" s="124" t="s">
        <v>394</v>
      </c>
    </row>
    <row r="380" spans="3:11" ht="15.75" thickBot="1" x14ac:dyDescent="0.3">
      <c r="F380" s="90"/>
      <c r="G380" s="89"/>
      <c r="H380" s="90"/>
      <c r="I380" s="90"/>
    </row>
    <row r="381" spans="3:11" ht="15.75" thickBot="1" x14ac:dyDescent="0.3">
      <c r="C381" s="157" t="s">
        <v>53</v>
      </c>
      <c r="D381" s="374">
        <f>SUM(F388:F422)</f>
        <v>0</v>
      </c>
      <c r="F381" s="70"/>
      <c r="G381" s="79"/>
      <c r="H381" s="70"/>
      <c r="I381" s="70"/>
    </row>
    <row r="382" spans="3:11" x14ac:dyDescent="0.25">
      <c r="C382" s="70"/>
      <c r="D382" s="31"/>
      <c r="E382" s="93"/>
      <c r="F382" s="93"/>
      <c r="G382" s="93"/>
      <c r="H382" s="76"/>
      <c r="I382" s="76"/>
      <c r="J382" s="76"/>
      <c r="K382" s="112"/>
    </row>
    <row r="383" spans="3:11" x14ac:dyDescent="0.25">
      <c r="C383" s="70"/>
      <c r="D383" s="31"/>
      <c r="E383" s="93"/>
      <c r="F383" s="93"/>
      <c r="G383" s="93"/>
      <c r="H383" s="76"/>
      <c r="I383" s="76"/>
      <c r="J383" s="76"/>
      <c r="K383" s="112"/>
    </row>
    <row r="384" spans="3:11" ht="15.75" x14ac:dyDescent="0.25">
      <c r="C384" s="202" t="s">
        <v>392</v>
      </c>
      <c r="D384" s="370"/>
      <c r="E384" s="93"/>
      <c r="F384" s="93"/>
      <c r="G384" s="93"/>
      <c r="H384" s="76"/>
      <c r="I384" s="76"/>
      <c r="J384" s="76"/>
      <c r="K384" s="112"/>
    </row>
    <row r="385" spans="3:11" ht="18.75" x14ac:dyDescent="0.25">
      <c r="C385" s="211" t="e">
        <f>IFERROR(VLOOKUP(D384,'1. Desarrollo e Innov. Curricu.'!$E:$F,2,FALSE),IFERROR(VLOOKUP(D384,'2. Investigación Científica'!$E:$F,2,FALSE),IFERROR(VLOOKUP(D384,'3. Vinculación Univ. Sociedad'!$E:$F,2,FALSE),IFERROR(VLOOKUP(D384,'4. Docencia y Profesorado Univ.'!$E:$F,2,FALSE),IFERROR(VLOOKUP(D384,'5. Estudiantes y Graduados'!$E:$F,2,FALSE),IFERROR(VLOOKUP(D384,'11. Gestion Administrativa'!$E:$F,2,FALSE),IFERROR(VLOOKUP(D384,'13. Gestión Académica'!$E:$F,2,FALSE),IFERROR(VLOOKUP(D384,'8. Asegura. de la Calid. y M'!$E:$F,2,FALSE),IFERROR(VLOOKUP(D384,'6. Gestión del Conocimiento'!$E:$F,2,FALSE),IFERROR(VLOOKUP(D384,'15. Gobernabilidad y Proceso...'!$E:$F,2,FALSE),IFERROR(VLOOKUP(D384,'12. Gestión del Talento Humano'!$E:$F,2,FALSE),IFERROR(VLOOKUP(D384,'14. Internacional... de la E.S.'!$E:$F,2,FALSE),IFERROR(VLOOKUP(D384,'10. Posgrado'!$E:$F,2,FALSE),IFERROR(VLOOKUP(D384,'17. Gestión TIC'!$E:$F,2,FALSE),IFERROR(VLOOKUP(D384,'16. Desa. del Sistema Educ.Sup.'!$E:$F,2,FALSE),IFERROR(VLOOKUP(D384,'9. Cultura de Inno. Insti...'!$E:$F,2,FALSE),VLOOKUP(D384,'7. Lo Esencial de la Reforma U.'!$E:$F,2,0)))))))))))))))))</f>
        <v>#N/A</v>
      </c>
      <c r="D385" s="31"/>
      <c r="E385" s="93"/>
      <c r="F385" s="93"/>
      <c r="G385" s="93"/>
      <c r="H385" s="76"/>
      <c r="I385" s="76"/>
      <c r="J385" s="76"/>
      <c r="K385" s="112"/>
    </row>
    <row r="386" spans="3:11" ht="15.75" thickBot="1" x14ac:dyDescent="0.3">
      <c r="F386" s="93"/>
      <c r="G386" s="76"/>
      <c r="H386" s="76"/>
      <c r="I386" s="76"/>
    </row>
    <row r="387" spans="3:11" ht="30.75" thickBot="1" x14ac:dyDescent="0.3">
      <c r="C387" s="129" t="s">
        <v>44</v>
      </c>
      <c r="D387" s="129" t="s">
        <v>55</v>
      </c>
      <c r="E387" s="136" t="s">
        <v>57</v>
      </c>
      <c r="F387" s="135" t="s">
        <v>27</v>
      </c>
      <c r="G387" s="133" t="s">
        <v>131</v>
      </c>
      <c r="H387" s="136" t="s">
        <v>46</v>
      </c>
      <c r="I387" s="133" t="s">
        <v>132</v>
      </c>
      <c r="J387" s="133" t="s">
        <v>410</v>
      </c>
      <c r="K387" s="133" t="s">
        <v>411</v>
      </c>
    </row>
    <row r="388" spans="3:11" x14ac:dyDescent="0.25">
      <c r="C388" s="221" t="s">
        <v>439</v>
      </c>
      <c r="D388" s="222"/>
      <c r="E388" s="220">
        <f>HLOOKUP(C388,$AH$2:$BU$3,2,0)</f>
        <v>620</v>
      </c>
      <c r="F388" s="97">
        <f t="shared" ref="F388:F422" si="16">D388*E388</f>
        <v>0</v>
      </c>
      <c r="G388" s="161"/>
      <c r="H388" s="142"/>
      <c r="I388" s="130" t="e">
        <f>VLOOKUP(H388,Presupuesto!$B$11:$C$565,2,0)</f>
        <v>#N/A</v>
      </c>
      <c r="J388" s="219" t="s">
        <v>1479</v>
      </c>
      <c r="K388" s="98" t="s">
        <v>394</v>
      </c>
    </row>
    <row r="389" spans="3:11" x14ac:dyDescent="0.25">
      <c r="C389" s="141"/>
      <c r="D389" s="158"/>
      <c r="E389" s="123"/>
      <c r="F389" s="97">
        <f t="shared" si="16"/>
        <v>0</v>
      </c>
      <c r="G389" s="161"/>
      <c r="H389" s="142"/>
      <c r="I389" s="130" t="e">
        <f>VLOOKUP(H389,Presupuesto!$B$11:$C$565,2,0)</f>
        <v>#N/A</v>
      </c>
      <c r="J389" s="98" t="str">
        <f>$J$388</f>
        <v>Desarrollo del Sistema de Educación Superior</v>
      </c>
      <c r="K389" s="98" t="s">
        <v>412</v>
      </c>
    </row>
    <row r="390" spans="3:11" x14ac:dyDescent="0.25">
      <c r="C390" s="141"/>
      <c r="D390" s="158"/>
      <c r="E390" s="123"/>
      <c r="F390" s="97">
        <f t="shared" si="16"/>
        <v>0</v>
      </c>
      <c r="G390" s="161"/>
      <c r="H390" s="142"/>
      <c r="I390" s="130" t="e">
        <f>VLOOKUP(H390,Presupuesto!$B$11:$C$565,2,0)</f>
        <v>#N/A</v>
      </c>
      <c r="J390" s="98" t="str">
        <f t="shared" ref="J390:J422" si="17">$J$388</f>
        <v>Desarrollo del Sistema de Educación Superior</v>
      </c>
      <c r="K390" s="98" t="s">
        <v>412</v>
      </c>
    </row>
    <row r="391" spans="3:11" x14ac:dyDescent="0.25">
      <c r="C391" s="141"/>
      <c r="D391" s="158"/>
      <c r="E391" s="123"/>
      <c r="F391" s="97">
        <f t="shared" si="16"/>
        <v>0</v>
      </c>
      <c r="G391" s="161"/>
      <c r="H391" s="142"/>
      <c r="I391" s="130" t="e">
        <f>VLOOKUP(H391,Presupuesto!$B$11:$C$565,2,0)</f>
        <v>#N/A</v>
      </c>
      <c r="J391" s="98" t="str">
        <f t="shared" si="17"/>
        <v>Desarrollo del Sistema de Educación Superior</v>
      </c>
      <c r="K391" s="98" t="s">
        <v>412</v>
      </c>
    </row>
    <row r="392" spans="3:11" x14ac:dyDescent="0.25">
      <c r="C392" s="141"/>
      <c r="D392" s="158"/>
      <c r="E392" s="123"/>
      <c r="F392" s="97">
        <f t="shared" si="16"/>
        <v>0</v>
      </c>
      <c r="G392" s="161"/>
      <c r="H392" s="142"/>
      <c r="I392" s="130" t="e">
        <f>VLOOKUP(H392,Presupuesto!$B$11:$C$565,2,0)</f>
        <v>#N/A</v>
      </c>
      <c r="J392" s="98" t="str">
        <f t="shared" si="17"/>
        <v>Desarrollo del Sistema de Educación Superior</v>
      </c>
      <c r="K392" s="98" t="s">
        <v>412</v>
      </c>
    </row>
    <row r="393" spans="3:11" x14ac:dyDescent="0.25">
      <c r="C393" s="141"/>
      <c r="D393" s="158"/>
      <c r="E393" s="123"/>
      <c r="F393" s="97">
        <f t="shared" si="16"/>
        <v>0</v>
      </c>
      <c r="G393" s="161"/>
      <c r="H393" s="142"/>
      <c r="I393" s="130" t="e">
        <f>VLOOKUP(H393,Presupuesto!$B$11:$C$565,2,0)</f>
        <v>#N/A</v>
      </c>
      <c r="J393" s="98" t="str">
        <f t="shared" si="17"/>
        <v>Desarrollo del Sistema de Educación Superior</v>
      </c>
      <c r="K393" s="98" t="s">
        <v>401</v>
      </c>
    </row>
    <row r="394" spans="3:11" x14ac:dyDescent="0.25">
      <c r="C394" s="141"/>
      <c r="D394" s="158"/>
      <c r="E394" s="123"/>
      <c r="F394" s="97">
        <f t="shared" si="16"/>
        <v>0</v>
      </c>
      <c r="G394" s="161"/>
      <c r="H394" s="142"/>
      <c r="I394" s="130" t="e">
        <f>VLOOKUP(H394,Presupuesto!$B$11:$C$565,2,0)</f>
        <v>#N/A</v>
      </c>
      <c r="J394" s="98" t="str">
        <f t="shared" si="17"/>
        <v>Desarrollo del Sistema de Educación Superior</v>
      </c>
      <c r="K394" s="98" t="s">
        <v>412</v>
      </c>
    </row>
    <row r="395" spans="3:11" x14ac:dyDescent="0.25">
      <c r="C395" s="141"/>
      <c r="D395" s="158"/>
      <c r="E395" s="123"/>
      <c r="F395" s="97">
        <f t="shared" si="16"/>
        <v>0</v>
      </c>
      <c r="G395" s="161"/>
      <c r="H395" s="142"/>
      <c r="I395" s="130" t="e">
        <f>VLOOKUP(H395,Presupuesto!$B$11:$C$565,2,0)</f>
        <v>#N/A</v>
      </c>
      <c r="J395" s="98" t="str">
        <f t="shared" si="17"/>
        <v>Desarrollo del Sistema de Educación Superior</v>
      </c>
      <c r="K395" s="98" t="s">
        <v>412</v>
      </c>
    </row>
    <row r="396" spans="3:11" x14ac:dyDescent="0.25">
      <c r="C396" s="141"/>
      <c r="D396" s="158"/>
      <c r="E396" s="123"/>
      <c r="F396" s="97">
        <f t="shared" si="16"/>
        <v>0</v>
      </c>
      <c r="G396" s="161"/>
      <c r="H396" s="142"/>
      <c r="I396" s="130" t="e">
        <f>VLOOKUP(H396,Presupuesto!$B$11:$C$565,2,0)</f>
        <v>#N/A</v>
      </c>
      <c r="J396" s="98" t="str">
        <f t="shared" si="17"/>
        <v>Desarrollo del Sistema de Educación Superior</v>
      </c>
      <c r="K396" s="98" t="s">
        <v>412</v>
      </c>
    </row>
    <row r="397" spans="3:11" x14ac:dyDescent="0.25">
      <c r="C397" s="141"/>
      <c r="D397" s="158"/>
      <c r="E397" s="123"/>
      <c r="F397" s="97">
        <f t="shared" si="16"/>
        <v>0</v>
      </c>
      <c r="G397" s="161"/>
      <c r="H397" s="142"/>
      <c r="I397" s="130" t="e">
        <f>VLOOKUP(H397,Presupuesto!$B$11:$C$565,2,0)</f>
        <v>#N/A</v>
      </c>
      <c r="J397" s="98" t="str">
        <f t="shared" si="17"/>
        <v>Desarrollo del Sistema de Educación Superior</v>
      </c>
      <c r="K397" s="98" t="s">
        <v>412</v>
      </c>
    </row>
    <row r="398" spans="3:11" x14ac:dyDescent="0.25">
      <c r="C398" s="141"/>
      <c r="D398" s="158"/>
      <c r="E398" s="123"/>
      <c r="F398" s="97">
        <f t="shared" si="16"/>
        <v>0</v>
      </c>
      <c r="G398" s="161"/>
      <c r="H398" s="142"/>
      <c r="I398" s="130" t="e">
        <f>VLOOKUP(H398,Presupuesto!$B$11:$C$565,2,0)</f>
        <v>#N/A</v>
      </c>
      <c r="J398" s="98" t="str">
        <f t="shared" si="17"/>
        <v>Desarrollo del Sistema de Educación Superior</v>
      </c>
      <c r="K398" s="98" t="s">
        <v>412</v>
      </c>
    </row>
    <row r="399" spans="3:11" x14ac:dyDescent="0.25">
      <c r="C399" s="141"/>
      <c r="D399" s="158"/>
      <c r="E399" s="123"/>
      <c r="F399" s="97">
        <f t="shared" si="16"/>
        <v>0</v>
      </c>
      <c r="G399" s="161"/>
      <c r="H399" s="142"/>
      <c r="I399" s="130" t="e">
        <f>VLOOKUP(H399,Presupuesto!$B$11:$C$565,2,0)</f>
        <v>#N/A</v>
      </c>
      <c r="J399" s="98" t="str">
        <f t="shared" si="17"/>
        <v>Desarrollo del Sistema de Educación Superior</v>
      </c>
      <c r="K399" s="98" t="s">
        <v>412</v>
      </c>
    </row>
    <row r="400" spans="3:11" x14ac:dyDescent="0.25">
      <c r="C400" s="141"/>
      <c r="D400" s="158"/>
      <c r="E400" s="123"/>
      <c r="F400" s="97">
        <f t="shared" si="16"/>
        <v>0</v>
      </c>
      <c r="G400" s="161"/>
      <c r="H400" s="142"/>
      <c r="I400" s="130" t="e">
        <f>VLOOKUP(H400,Presupuesto!$B$11:$C$565,2,0)</f>
        <v>#N/A</v>
      </c>
      <c r="J400" s="98" t="str">
        <f t="shared" si="17"/>
        <v>Desarrollo del Sistema de Educación Superior</v>
      </c>
      <c r="K400" s="98" t="s">
        <v>412</v>
      </c>
    </row>
    <row r="401" spans="3:11" x14ac:dyDescent="0.25">
      <c r="C401" s="141"/>
      <c r="D401" s="158"/>
      <c r="E401" s="123"/>
      <c r="F401" s="97">
        <f t="shared" si="16"/>
        <v>0</v>
      </c>
      <c r="G401" s="161"/>
      <c r="H401" s="142"/>
      <c r="I401" s="130" t="e">
        <f>VLOOKUP(H401,Presupuesto!$B$11:$C$565,2,0)</f>
        <v>#N/A</v>
      </c>
      <c r="J401" s="98" t="str">
        <f t="shared" si="17"/>
        <v>Desarrollo del Sistema de Educación Superior</v>
      </c>
      <c r="K401" s="98" t="s">
        <v>412</v>
      </c>
    </row>
    <row r="402" spans="3:11" x14ac:dyDescent="0.25">
      <c r="C402" s="141"/>
      <c r="D402" s="158"/>
      <c r="E402" s="123"/>
      <c r="F402" s="97">
        <f t="shared" si="16"/>
        <v>0</v>
      </c>
      <c r="G402" s="161"/>
      <c r="H402" s="142"/>
      <c r="I402" s="130" t="e">
        <f>VLOOKUP(H402,Presupuesto!$B$11:$C$565,2,0)</f>
        <v>#N/A</v>
      </c>
      <c r="J402" s="98" t="str">
        <f t="shared" si="17"/>
        <v>Desarrollo del Sistema de Educación Superior</v>
      </c>
      <c r="K402" s="98" t="s">
        <v>412</v>
      </c>
    </row>
    <row r="403" spans="3:11" x14ac:dyDescent="0.25">
      <c r="C403" s="141"/>
      <c r="D403" s="158"/>
      <c r="E403" s="123"/>
      <c r="F403" s="97">
        <f t="shared" si="16"/>
        <v>0</v>
      </c>
      <c r="G403" s="161"/>
      <c r="H403" s="142"/>
      <c r="I403" s="130" t="e">
        <f>VLOOKUP(H403,Presupuesto!$B$11:$C$565,2,0)</f>
        <v>#N/A</v>
      </c>
      <c r="J403" s="98" t="str">
        <f t="shared" si="17"/>
        <v>Desarrollo del Sistema de Educación Superior</v>
      </c>
      <c r="K403" s="98" t="s">
        <v>412</v>
      </c>
    </row>
    <row r="404" spans="3:11" x14ac:dyDescent="0.25">
      <c r="C404" s="141"/>
      <c r="D404" s="158"/>
      <c r="E404" s="123"/>
      <c r="F404" s="97">
        <f t="shared" si="16"/>
        <v>0</v>
      </c>
      <c r="G404" s="161"/>
      <c r="H404" s="142"/>
      <c r="I404" s="130" t="e">
        <f>VLOOKUP(H404,Presupuesto!$B$11:$C$565,2,0)</f>
        <v>#N/A</v>
      </c>
      <c r="J404" s="98" t="str">
        <f t="shared" si="17"/>
        <v>Desarrollo del Sistema de Educación Superior</v>
      </c>
      <c r="K404" s="98" t="s">
        <v>412</v>
      </c>
    </row>
    <row r="405" spans="3:11" x14ac:dyDescent="0.25">
      <c r="C405" s="141"/>
      <c r="D405" s="158"/>
      <c r="E405" s="123"/>
      <c r="F405" s="97">
        <f t="shared" si="16"/>
        <v>0</v>
      </c>
      <c r="G405" s="161"/>
      <c r="H405" s="142"/>
      <c r="I405" s="130" t="e">
        <f>VLOOKUP(H405,Presupuesto!$B$11:$C$565,2,0)</f>
        <v>#N/A</v>
      </c>
      <c r="J405" s="98" t="str">
        <f t="shared" si="17"/>
        <v>Desarrollo del Sistema de Educación Superior</v>
      </c>
      <c r="K405" s="98" t="s">
        <v>412</v>
      </c>
    </row>
    <row r="406" spans="3:11" x14ac:dyDescent="0.25">
      <c r="C406" s="141"/>
      <c r="D406" s="158"/>
      <c r="E406" s="123"/>
      <c r="F406" s="97">
        <f t="shared" si="16"/>
        <v>0</v>
      </c>
      <c r="G406" s="161"/>
      <c r="H406" s="142"/>
      <c r="I406" s="130" t="e">
        <f>VLOOKUP(H406,Presupuesto!$B$11:$C$565,2,0)</f>
        <v>#N/A</v>
      </c>
      <c r="J406" s="98" t="str">
        <f t="shared" si="17"/>
        <v>Desarrollo del Sistema de Educación Superior</v>
      </c>
      <c r="K406" s="98" t="s">
        <v>412</v>
      </c>
    </row>
    <row r="407" spans="3:11" x14ac:dyDescent="0.25">
      <c r="C407" s="141"/>
      <c r="D407" s="158"/>
      <c r="E407" s="123"/>
      <c r="F407" s="97">
        <f t="shared" si="16"/>
        <v>0</v>
      </c>
      <c r="G407" s="161"/>
      <c r="H407" s="142"/>
      <c r="I407" s="130" t="e">
        <f>VLOOKUP(H407,Presupuesto!$B$11:$C$565,2,0)</f>
        <v>#N/A</v>
      </c>
      <c r="J407" s="98" t="str">
        <f t="shared" si="17"/>
        <v>Desarrollo del Sistema de Educación Superior</v>
      </c>
      <c r="K407" s="98" t="s">
        <v>412</v>
      </c>
    </row>
    <row r="408" spans="3:11" x14ac:dyDescent="0.25">
      <c r="C408" s="141"/>
      <c r="D408" s="158"/>
      <c r="E408" s="123"/>
      <c r="F408" s="97">
        <f t="shared" si="16"/>
        <v>0</v>
      </c>
      <c r="G408" s="161"/>
      <c r="H408" s="142"/>
      <c r="I408" s="130" t="e">
        <f>VLOOKUP(H408,Presupuesto!$B$11:$C$565,2,0)</f>
        <v>#N/A</v>
      </c>
      <c r="J408" s="98" t="str">
        <f t="shared" si="17"/>
        <v>Desarrollo del Sistema de Educación Superior</v>
      </c>
      <c r="K408" s="98" t="s">
        <v>412</v>
      </c>
    </row>
    <row r="409" spans="3:11" x14ac:dyDescent="0.25">
      <c r="C409" s="141"/>
      <c r="D409" s="158"/>
      <c r="E409" s="123"/>
      <c r="F409" s="97">
        <f t="shared" si="16"/>
        <v>0</v>
      </c>
      <c r="G409" s="161"/>
      <c r="H409" s="142"/>
      <c r="I409" s="130" t="e">
        <f>VLOOKUP(H409,Presupuesto!$B$11:$C$565,2,0)</f>
        <v>#N/A</v>
      </c>
      <c r="J409" s="98" t="str">
        <f t="shared" si="17"/>
        <v>Desarrollo del Sistema de Educación Superior</v>
      </c>
      <c r="K409" s="98" t="s">
        <v>412</v>
      </c>
    </row>
    <row r="410" spans="3:11" x14ac:dyDescent="0.25">
      <c r="C410" s="143"/>
      <c r="D410" s="151"/>
      <c r="E410" s="118"/>
      <c r="F410" s="97">
        <f t="shared" si="16"/>
        <v>0</v>
      </c>
      <c r="G410" s="161"/>
      <c r="H410" s="144"/>
      <c r="I410" s="130" t="e">
        <f>VLOOKUP(H410,Presupuesto!$B$11:$C$565,2,0)</f>
        <v>#N/A</v>
      </c>
      <c r="J410" s="98" t="str">
        <f t="shared" si="17"/>
        <v>Desarrollo del Sistema de Educación Superior</v>
      </c>
      <c r="K410" s="98" t="s">
        <v>412</v>
      </c>
    </row>
    <row r="411" spans="3:11" x14ac:dyDescent="0.25">
      <c r="C411" s="143"/>
      <c r="D411" s="151"/>
      <c r="E411" s="118"/>
      <c r="F411" s="97">
        <f t="shared" si="16"/>
        <v>0</v>
      </c>
      <c r="G411" s="161"/>
      <c r="H411" s="144"/>
      <c r="I411" s="130" t="e">
        <f>VLOOKUP(H411,Presupuesto!$B$11:$C$565,2,0)</f>
        <v>#N/A</v>
      </c>
      <c r="J411" s="98" t="str">
        <f t="shared" si="17"/>
        <v>Desarrollo del Sistema de Educación Superior</v>
      </c>
      <c r="K411" s="98" t="s">
        <v>412</v>
      </c>
    </row>
    <row r="412" spans="3:11" x14ac:dyDescent="0.25">
      <c r="C412" s="143"/>
      <c r="D412" s="151"/>
      <c r="E412" s="118"/>
      <c r="F412" s="97">
        <f t="shared" si="16"/>
        <v>0</v>
      </c>
      <c r="G412" s="161"/>
      <c r="H412" s="144"/>
      <c r="I412" s="130" t="e">
        <f>VLOOKUP(H412,Presupuesto!$B$11:$C$565,2,0)</f>
        <v>#N/A</v>
      </c>
      <c r="J412" s="98" t="str">
        <f t="shared" si="17"/>
        <v>Desarrollo del Sistema de Educación Superior</v>
      </c>
      <c r="K412" s="98" t="s">
        <v>412</v>
      </c>
    </row>
    <row r="413" spans="3:11" x14ac:dyDescent="0.25">
      <c r="C413" s="143"/>
      <c r="D413" s="151"/>
      <c r="E413" s="118"/>
      <c r="F413" s="97">
        <f t="shared" si="16"/>
        <v>0</v>
      </c>
      <c r="G413" s="161"/>
      <c r="H413" s="144"/>
      <c r="I413" s="130" t="e">
        <f>VLOOKUP(H413,Presupuesto!$B$11:$C$565,2,0)</f>
        <v>#N/A</v>
      </c>
      <c r="J413" s="98" t="str">
        <f t="shared" si="17"/>
        <v>Desarrollo del Sistema de Educación Superior</v>
      </c>
      <c r="K413" s="98" t="s">
        <v>412</v>
      </c>
    </row>
    <row r="414" spans="3:11" x14ac:dyDescent="0.25">
      <c r="C414" s="143"/>
      <c r="D414" s="151"/>
      <c r="E414" s="118"/>
      <c r="F414" s="97">
        <f t="shared" si="16"/>
        <v>0</v>
      </c>
      <c r="G414" s="161"/>
      <c r="H414" s="144"/>
      <c r="I414" s="130" t="e">
        <f>VLOOKUP(H414,Presupuesto!$B$11:$C$565,2,0)</f>
        <v>#N/A</v>
      </c>
      <c r="J414" s="98" t="str">
        <f t="shared" si="17"/>
        <v>Desarrollo del Sistema de Educación Superior</v>
      </c>
      <c r="K414" s="98" t="s">
        <v>412</v>
      </c>
    </row>
    <row r="415" spans="3:11" x14ac:dyDescent="0.25">
      <c r="C415" s="143"/>
      <c r="D415" s="151"/>
      <c r="E415" s="118"/>
      <c r="F415" s="97">
        <f t="shared" si="16"/>
        <v>0</v>
      </c>
      <c r="G415" s="161"/>
      <c r="H415" s="144"/>
      <c r="I415" s="130" t="e">
        <f>VLOOKUP(H415,Presupuesto!$B$11:$C$565,2,0)</f>
        <v>#N/A</v>
      </c>
      <c r="J415" s="98" t="str">
        <f t="shared" si="17"/>
        <v>Desarrollo del Sistema de Educación Superior</v>
      </c>
      <c r="K415" s="98" t="s">
        <v>412</v>
      </c>
    </row>
    <row r="416" spans="3:11" x14ac:dyDescent="0.25">
      <c r="C416" s="143"/>
      <c r="D416" s="151"/>
      <c r="E416" s="118"/>
      <c r="F416" s="97">
        <f t="shared" si="16"/>
        <v>0</v>
      </c>
      <c r="G416" s="161"/>
      <c r="H416" s="144"/>
      <c r="I416" s="130" t="e">
        <f>VLOOKUP(H416,Presupuesto!$B$11:$C$565,2,0)</f>
        <v>#N/A</v>
      </c>
      <c r="J416" s="98" t="str">
        <f t="shared" si="17"/>
        <v>Desarrollo del Sistema de Educación Superior</v>
      </c>
      <c r="K416" s="98" t="s">
        <v>412</v>
      </c>
    </row>
    <row r="417" spans="3:11" x14ac:dyDescent="0.25">
      <c r="C417" s="143"/>
      <c r="D417" s="151"/>
      <c r="E417" s="118"/>
      <c r="F417" s="97">
        <f t="shared" si="16"/>
        <v>0</v>
      </c>
      <c r="G417" s="161"/>
      <c r="H417" s="144"/>
      <c r="I417" s="130" t="e">
        <f>VLOOKUP(H417,Presupuesto!$B$11:$C$565,2,0)</f>
        <v>#N/A</v>
      </c>
      <c r="J417" s="98" t="str">
        <f t="shared" si="17"/>
        <v>Desarrollo del Sistema de Educación Superior</v>
      </c>
      <c r="K417" s="98" t="s">
        <v>412</v>
      </c>
    </row>
    <row r="418" spans="3:11" x14ac:dyDescent="0.25">
      <c r="C418" s="145"/>
      <c r="D418" s="151"/>
      <c r="E418" s="118"/>
      <c r="F418" s="97">
        <f t="shared" si="16"/>
        <v>0</v>
      </c>
      <c r="G418" s="161"/>
      <c r="H418" s="146"/>
      <c r="I418" s="130" t="e">
        <f>VLOOKUP(H418,Presupuesto!$B$11:$C$565,2,0)</f>
        <v>#N/A</v>
      </c>
      <c r="J418" s="98" t="str">
        <f t="shared" si="17"/>
        <v>Desarrollo del Sistema de Educación Superior</v>
      </c>
      <c r="K418" s="98" t="s">
        <v>403</v>
      </c>
    </row>
    <row r="419" spans="3:11" x14ac:dyDescent="0.25">
      <c r="C419" s="145"/>
      <c r="D419" s="151"/>
      <c r="E419" s="118"/>
      <c r="F419" s="97">
        <f t="shared" si="16"/>
        <v>0</v>
      </c>
      <c r="G419" s="161"/>
      <c r="H419" s="146"/>
      <c r="I419" s="130" t="e">
        <f>VLOOKUP(H419,Presupuesto!$B$11:$C$565,2,0)</f>
        <v>#N/A</v>
      </c>
      <c r="J419" s="98" t="str">
        <f t="shared" si="17"/>
        <v>Desarrollo del Sistema de Educación Superior</v>
      </c>
      <c r="K419" s="98" t="s">
        <v>412</v>
      </c>
    </row>
    <row r="420" spans="3:11" x14ac:dyDescent="0.25">
      <c r="C420" s="145"/>
      <c r="D420" s="151"/>
      <c r="E420" s="118"/>
      <c r="F420" s="97">
        <f t="shared" si="16"/>
        <v>0</v>
      </c>
      <c r="G420" s="161"/>
      <c r="H420" s="146"/>
      <c r="I420" s="130" t="e">
        <f>VLOOKUP(H420,Presupuesto!$B$11:$C$565,2,0)</f>
        <v>#N/A</v>
      </c>
      <c r="J420" s="98" t="str">
        <f t="shared" si="17"/>
        <v>Desarrollo del Sistema de Educación Superior</v>
      </c>
      <c r="K420" s="98" t="s">
        <v>412</v>
      </c>
    </row>
    <row r="421" spans="3:11" x14ac:dyDescent="0.25">
      <c r="C421" s="145"/>
      <c r="D421" s="151"/>
      <c r="E421" s="118"/>
      <c r="F421" s="97">
        <f t="shared" si="16"/>
        <v>0</v>
      </c>
      <c r="G421" s="161"/>
      <c r="H421" s="146"/>
      <c r="I421" s="130" t="e">
        <f>VLOOKUP(H421,Presupuesto!$B$11:$C$565,2,0)</f>
        <v>#N/A</v>
      </c>
      <c r="J421" s="98" t="str">
        <f t="shared" si="17"/>
        <v>Desarrollo del Sistema de Educación Superior</v>
      </c>
      <c r="K421" s="98" t="s">
        <v>412</v>
      </c>
    </row>
    <row r="422" spans="3:11" ht="15.75" thickBot="1" x14ac:dyDescent="0.3">
      <c r="C422" s="147"/>
      <c r="D422" s="159"/>
      <c r="E422" s="103"/>
      <c r="F422" s="105">
        <f t="shared" si="16"/>
        <v>0</v>
      </c>
      <c r="G422" s="162"/>
      <c r="H422" s="148"/>
      <c r="I422" s="132" t="e">
        <f>VLOOKUP(H422,Presupuesto!$B$11:$C$565,2,0)</f>
        <v>#N/A</v>
      </c>
      <c r="J422" s="106" t="str">
        <f t="shared" si="17"/>
        <v>Desarrollo del Sistema de Educación Superior</v>
      </c>
      <c r="K422" s="124" t="s">
        <v>394</v>
      </c>
    </row>
    <row r="425" spans="3:11" ht="15.75" thickBot="1" x14ac:dyDescent="0.3"/>
    <row r="426" spans="3:11" ht="15.75" thickBot="1" x14ac:dyDescent="0.3">
      <c r="C426" s="157" t="s">
        <v>53</v>
      </c>
      <c r="D426" s="374">
        <f>SUM(F433:F467)</f>
        <v>0</v>
      </c>
      <c r="F426" s="70"/>
      <c r="G426" s="79"/>
      <c r="H426" s="70"/>
      <c r="I426" s="70"/>
    </row>
    <row r="427" spans="3:11" x14ac:dyDescent="0.25">
      <c r="C427" s="70"/>
      <c r="D427" s="31"/>
      <c r="E427" s="93"/>
      <c r="F427" s="93"/>
      <c r="G427" s="93"/>
      <c r="H427" s="76"/>
      <c r="I427" s="76"/>
      <c r="J427" s="76"/>
      <c r="K427" s="112"/>
    </row>
    <row r="428" spans="3:11" x14ac:dyDescent="0.25">
      <c r="C428" s="70"/>
      <c r="D428" s="31"/>
      <c r="E428" s="93"/>
      <c r="F428" s="93"/>
      <c r="G428" s="93"/>
      <c r="H428" s="76"/>
      <c r="I428" s="76"/>
      <c r="J428" s="76"/>
      <c r="K428" s="112"/>
    </row>
    <row r="429" spans="3:11" ht="15.75" x14ac:dyDescent="0.25">
      <c r="C429" s="202" t="s">
        <v>392</v>
      </c>
      <c r="D429" s="370"/>
      <c r="E429" s="93"/>
      <c r="F429" s="93"/>
      <c r="G429" s="93"/>
      <c r="H429" s="76"/>
      <c r="I429" s="76"/>
      <c r="J429" s="76"/>
      <c r="K429" s="112"/>
    </row>
    <row r="430" spans="3:11" ht="18.75" x14ac:dyDescent="0.25">
      <c r="C430" s="211" t="e">
        <f>IFERROR(VLOOKUP(D429,'1. Desarrollo e Innov. Curricu.'!$E:$F,2,FALSE),IFERROR(VLOOKUP(D429,'2. Investigación Científica'!$E:$F,2,FALSE),IFERROR(VLOOKUP(D429,'3. Vinculación Univ. Sociedad'!$E:$F,2,FALSE),IFERROR(VLOOKUP(D429,'4. Docencia y Profesorado Univ.'!$E:$F,2,FALSE),IFERROR(VLOOKUP(D429,'5. Estudiantes y Graduados'!$E:$F,2,FALSE),IFERROR(VLOOKUP(D429,'11. Gestion Administrativa'!$E:$F,2,FALSE),IFERROR(VLOOKUP(D429,'13. Gestión Académica'!$E:$F,2,FALSE),IFERROR(VLOOKUP(D429,'8. Asegura. de la Calid. y M'!$E:$F,2,FALSE),IFERROR(VLOOKUP(D429,'6. Gestión del Conocimiento'!$E:$F,2,FALSE),IFERROR(VLOOKUP(D429,'15. Gobernabilidad y Proceso...'!$E:$F,2,FALSE),IFERROR(VLOOKUP(D429,'12. Gestión del Talento Humano'!$E:$F,2,FALSE),IFERROR(VLOOKUP(D429,'14. Internacional... de la E.S.'!$E:$F,2,FALSE),IFERROR(VLOOKUP(D429,'10. Posgrado'!$E:$F,2,FALSE),IFERROR(VLOOKUP(D429,'17. Gestión TIC'!$E:$F,2,FALSE),IFERROR(VLOOKUP(D429,'16. Desa. del Sistema Educ.Sup.'!$E:$F,2,FALSE),IFERROR(VLOOKUP(D429,'9. Cultura de Inno. Insti...'!$E:$F,2,FALSE),VLOOKUP(D429,'7. Lo Esencial de la Reforma U.'!$E:$F,2,0)))))))))))))))))</f>
        <v>#N/A</v>
      </c>
      <c r="D430" s="31"/>
      <c r="E430" s="93"/>
      <c r="F430" s="93"/>
      <c r="G430" s="93"/>
      <c r="H430" s="76"/>
      <c r="I430" s="76"/>
      <c r="J430" s="76"/>
      <c r="K430" s="112"/>
    </row>
    <row r="431" spans="3:11" ht="15.75" thickBot="1" x14ac:dyDescent="0.3">
      <c r="F431" s="93"/>
      <c r="G431" s="76"/>
      <c r="H431" s="76"/>
      <c r="I431" s="76"/>
    </row>
    <row r="432" spans="3:11" ht="30.75" thickBot="1" x14ac:dyDescent="0.3">
      <c r="C432" s="129" t="s">
        <v>44</v>
      </c>
      <c r="D432" s="129" t="s">
        <v>55</v>
      </c>
      <c r="E432" s="136" t="s">
        <v>57</v>
      </c>
      <c r="F432" s="135" t="s">
        <v>27</v>
      </c>
      <c r="G432" s="133" t="s">
        <v>131</v>
      </c>
      <c r="H432" s="136" t="s">
        <v>46</v>
      </c>
      <c r="I432" s="133" t="s">
        <v>132</v>
      </c>
      <c r="J432" s="133" t="s">
        <v>410</v>
      </c>
      <c r="K432" s="133" t="s">
        <v>411</v>
      </c>
    </row>
    <row r="433" spans="3:11" x14ac:dyDescent="0.25">
      <c r="C433" s="221" t="s">
        <v>439</v>
      </c>
      <c r="D433" s="222"/>
      <c r="E433" s="220">
        <f>HLOOKUP(C433,$AH$2:$BU$3,2,0)</f>
        <v>620</v>
      </c>
      <c r="F433" s="97">
        <f t="shared" ref="F433:F467" si="18">D433*E433</f>
        <v>0</v>
      </c>
      <c r="G433" s="161"/>
      <c r="H433" s="142"/>
      <c r="I433" s="130" t="e">
        <f>VLOOKUP(H433,Presupuesto!$B$11:$C$565,2,0)</f>
        <v>#N/A</v>
      </c>
      <c r="J433" s="219" t="s">
        <v>1479</v>
      </c>
      <c r="K433" s="98" t="s">
        <v>394</v>
      </c>
    </row>
    <row r="434" spans="3:11" x14ac:dyDescent="0.25">
      <c r="C434" s="141"/>
      <c r="D434" s="158"/>
      <c r="E434" s="123"/>
      <c r="F434" s="97">
        <f t="shared" si="18"/>
        <v>0</v>
      </c>
      <c r="G434" s="161"/>
      <c r="H434" s="142"/>
      <c r="I434" s="130" t="e">
        <f>VLOOKUP(H434,Presupuesto!$B$11:$C$565,2,0)</f>
        <v>#N/A</v>
      </c>
      <c r="J434" s="98" t="str">
        <f>$J$433</f>
        <v>Desarrollo del Sistema de Educación Superior</v>
      </c>
      <c r="K434" s="98" t="s">
        <v>412</v>
      </c>
    </row>
    <row r="435" spans="3:11" x14ac:dyDescent="0.25">
      <c r="C435" s="141"/>
      <c r="D435" s="158"/>
      <c r="E435" s="123"/>
      <c r="F435" s="97">
        <f t="shared" si="18"/>
        <v>0</v>
      </c>
      <c r="G435" s="161"/>
      <c r="H435" s="142"/>
      <c r="I435" s="130" t="e">
        <f>VLOOKUP(H435,Presupuesto!$B$11:$C$565,2,0)</f>
        <v>#N/A</v>
      </c>
      <c r="J435" s="98" t="str">
        <f t="shared" ref="J435:J467" si="19">$J$433</f>
        <v>Desarrollo del Sistema de Educación Superior</v>
      </c>
      <c r="K435" s="98" t="s">
        <v>412</v>
      </c>
    </row>
    <row r="436" spans="3:11" x14ac:dyDescent="0.25">
      <c r="C436" s="141"/>
      <c r="D436" s="158"/>
      <c r="E436" s="123"/>
      <c r="F436" s="97">
        <f t="shared" si="18"/>
        <v>0</v>
      </c>
      <c r="G436" s="161"/>
      <c r="H436" s="142"/>
      <c r="I436" s="130" t="e">
        <f>VLOOKUP(H436,Presupuesto!$B$11:$C$565,2,0)</f>
        <v>#N/A</v>
      </c>
      <c r="J436" s="98" t="str">
        <f t="shared" si="19"/>
        <v>Desarrollo del Sistema de Educación Superior</v>
      </c>
      <c r="K436" s="98" t="s">
        <v>412</v>
      </c>
    </row>
    <row r="437" spans="3:11" x14ac:dyDescent="0.25">
      <c r="C437" s="141"/>
      <c r="D437" s="158"/>
      <c r="E437" s="123"/>
      <c r="F437" s="97">
        <f t="shared" si="18"/>
        <v>0</v>
      </c>
      <c r="G437" s="161"/>
      <c r="H437" s="142"/>
      <c r="I437" s="130" t="e">
        <f>VLOOKUP(H437,Presupuesto!$B$11:$C$565,2,0)</f>
        <v>#N/A</v>
      </c>
      <c r="J437" s="98" t="str">
        <f t="shared" si="19"/>
        <v>Desarrollo del Sistema de Educación Superior</v>
      </c>
      <c r="K437" s="98" t="s">
        <v>412</v>
      </c>
    </row>
    <row r="438" spans="3:11" x14ac:dyDescent="0.25">
      <c r="C438" s="141"/>
      <c r="D438" s="158"/>
      <c r="E438" s="123"/>
      <c r="F438" s="97">
        <f t="shared" si="18"/>
        <v>0</v>
      </c>
      <c r="G438" s="161"/>
      <c r="H438" s="142"/>
      <c r="I438" s="130" t="e">
        <f>VLOOKUP(H438,Presupuesto!$B$11:$C$565,2,0)</f>
        <v>#N/A</v>
      </c>
      <c r="J438" s="98" t="str">
        <f t="shared" si="19"/>
        <v>Desarrollo del Sistema de Educación Superior</v>
      </c>
      <c r="K438" s="98" t="s">
        <v>401</v>
      </c>
    </row>
    <row r="439" spans="3:11" x14ac:dyDescent="0.25">
      <c r="C439" s="141"/>
      <c r="D439" s="158"/>
      <c r="E439" s="123"/>
      <c r="F439" s="97">
        <f t="shared" si="18"/>
        <v>0</v>
      </c>
      <c r="G439" s="161"/>
      <c r="H439" s="142"/>
      <c r="I439" s="130" t="e">
        <f>VLOOKUP(H439,Presupuesto!$B$11:$C$565,2,0)</f>
        <v>#N/A</v>
      </c>
      <c r="J439" s="98" t="str">
        <f t="shared" si="19"/>
        <v>Desarrollo del Sistema de Educación Superior</v>
      </c>
      <c r="K439" s="98" t="s">
        <v>412</v>
      </c>
    </row>
    <row r="440" spans="3:11" x14ac:dyDescent="0.25">
      <c r="C440" s="141"/>
      <c r="D440" s="158"/>
      <c r="E440" s="123"/>
      <c r="F440" s="97">
        <f t="shared" si="18"/>
        <v>0</v>
      </c>
      <c r="G440" s="161"/>
      <c r="H440" s="142"/>
      <c r="I440" s="130" t="e">
        <f>VLOOKUP(H440,Presupuesto!$B$11:$C$565,2,0)</f>
        <v>#N/A</v>
      </c>
      <c r="J440" s="98" t="str">
        <f t="shared" si="19"/>
        <v>Desarrollo del Sistema de Educación Superior</v>
      </c>
      <c r="K440" s="98" t="s">
        <v>412</v>
      </c>
    </row>
    <row r="441" spans="3:11" x14ac:dyDescent="0.25">
      <c r="C441" s="141"/>
      <c r="D441" s="158"/>
      <c r="E441" s="123"/>
      <c r="F441" s="97">
        <f t="shared" si="18"/>
        <v>0</v>
      </c>
      <c r="G441" s="161"/>
      <c r="H441" s="142"/>
      <c r="I441" s="130" t="e">
        <f>VLOOKUP(H441,Presupuesto!$B$11:$C$565,2,0)</f>
        <v>#N/A</v>
      </c>
      <c r="J441" s="98" t="str">
        <f t="shared" si="19"/>
        <v>Desarrollo del Sistema de Educación Superior</v>
      </c>
      <c r="K441" s="98" t="s">
        <v>412</v>
      </c>
    </row>
    <row r="442" spans="3:11" x14ac:dyDescent="0.25">
      <c r="C442" s="141"/>
      <c r="D442" s="158"/>
      <c r="E442" s="123"/>
      <c r="F442" s="97">
        <f t="shared" si="18"/>
        <v>0</v>
      </c>
      <c r="G442" s="161"/>
      <c r="H442" s="142"/>
      <c r="I442" s="130" t="e">
        <f>VLOOKUP(H442,Presupuesto!$B$11:$C$565,2,0)</f>
        <v>#N/A</v>
      </c>
      <c r="J442" s="98" t="str">
        <f t="shared" si="19"/>
        <v>Desarrollo del Sistema de Educación Superior</v>
      </c>
      <c r="K442" s="98" t="s">
        <v>412</v>
      </c>
    </row>
    <row r="443" spans="3:11" x14ac:dyDescent="0.25">
      <c r="C443" s="141"/>
      <c r="D443" s="158"/>
      <c r="E443" s="123"/>
      <c r="F443" s="97">
        <f t="shared" si="18"/>
        <v>0</v>
      </c>
      <c r="G443" s="161"/>
      <c r="H443" s="142"/>
      <c r="I443" s="130" t="e">
        <f>VLOOKUP(H443,Presupuesto!$B$11:$C$565,2,0)</f>
        <v>#N/A</v>
      </c>
      <c r="J443" s="98" t="str">
        <f t="shared" si="19"/>
        <v>Desarrollo del Sistema de Educación Superior</v>
      </c>
      <c r="K443" s="98" t="s">
        <v>412</v>
      </c>
    </row>
    <row r="444" spans="3:11" x14ac:dyDescent="0.25">
      <c r="C444" s="141"/>
      <c r="D444" s="158"/>
      <c r="E444" s="123"/>
      <c r="F444" s="97">
        <f t="shared" si="18"/>
        <v>0</v>
      </c>
      <c r="G444" s="161"/>
      <c r="H444" s="142"/>
      <c r="I444" s="130" t="e">
        <f>VLOOKUP(H444,Presupuesto!$B$11:$C$565,2,0)</f>
        <v>#N/A</v>
      </c>
      <c r="J444" s="98" t="str">
        <f t="shared" si="19"/>
        <v>Desarrollo del Sistema de Educación Superior</v>
      </c>
      <c r="K444" s="98" t="s">
        <v>412</v>
      </c>
    </row>
    <row r="445" spans="3:11" x14ac:dyDescent="0.25">
      <c r="C445" s="141"/>
      <c r="D445" s="158"/>
      <c r="E445" s="123"/>
      <c r="F445" s="97">
        <f t="shared" si="18"/>
        <v>0</v>
      </c>
      <c r="G445" s="161"/>
      <c r="H445" s="142"/>
      <c r="I445" s="130" t="e">
        <f>VLOOKUP(H445,Presupuesto!$B$11:$C$565,2,0)</f>
        <v>#N/A</v>
      </c>
      <c r="J445" s="98" t="str">
        <f t="shared" si="19"/>
        <v>Desarrollo del Sistema de Educación Superior</v>
      </c>
      <c r="K445" s="98" t="s">
        <v>412</v>
      </c>
    </row>
    <row r="446" spans="3:11" x14ac:dyDescent="0.25">
      <c r="C446" s="141"/>
      <c r="D446" s="158"/>
      <c r="E446" s="123"/>
      <c r="F446" s="97">
        <f t="shared" si="18"/>
        <v>0</v>
      </c>
      <c r="G446" s="161"/>
      <c r="H446" s="142"/>
      <c r="I446" s="130" t="e">
        <f>VLOOKUP(H446,Presupuesto!$B$11:$C$565,2,0)</f>
        <v>#N/A</v>
      </c>
      <c r="J446" s="98" t="str">
        <f t="shared" si="19"/>
        <v>Desarrollo del Sistema de Educación Superior</v>
      </c>
      <c r="K446" s="98" t="s">
        <v>412</v>
      </c>
    </row>
    <row r="447" spans="3:11" x14ac:dyDescent="0.25">
      <c r="C447" s="141"/>
      <c r="D447" s="158"/>
      <c r="E447" s="123"/>
      <c r="F447" s="97">
        <f t="shared" si="18"/>
        <v>0</v>
      </c>
      <c r="G447" s="161"/>
      <c r="H447" s="142"/>
      <c r="I447" s="130" t="e">
        <f>VLOOKUP(H447,Presupuesto!$B$11:$C$565,2,0)</f>
        <v>#N/A</v>
      </c>
      <c r="J447" s="98" t="str">
        <f t="shared" si="19"/>
        <v>Desarrollo del Sistema de Educación Superior</v>
      </c>
      <c r="K447" s="98" t="s">
        <v>412</v>
      </c>
    </row>
    <row r="448" spans="3:11" x14ac:dyDescent="0.25">
      <c r="C448" s="141"/>
      <c r="D448" s="158"/>
      <c r="E448" s="123"/>
      <c r="F448" s="97">
        <f t="shared" si="18"/>
        <v>0</v>
      </c>
      <c r="G448" s="161"/>
      <c r="H448" s="142"/>
      <c r="I448" s="130" t="e">
        <f>VLOOKUP(H448,Presupuesto!$B$11:$C$565,2,0)</f>
        <v>#N/A</v>
      </c>
      <c r="J448" s="98" t="str">
        <f t="shared" si="19"/>
        <v>Desarrollo del Sistema de Educación Superior</v>
      </c>
      <c r="K448" s="98" t="s">
        <v>412</v>
      </c>
    </row>
    <row r="449" spans="3:11" x14ac:dyDescent="0.25">
      <c r="C449" s="141"/>
      <c r="D449" s="158"/>
      <c r="E449" s="123"/>
      <c r="F449" s="97">
        <f t="shared" si="18"/>
        <v>0</v>
      </c>
      <c r="G449" s="161"/>
      <c r="H449" s="142"/>
      <c r="I449" s="130" t="e">
        <f>VLOOKUP(H449,Presupuesto!$B$11:$C$565,2,0)</f>
        <v>#N/A</v>
      </c>
      <c r="J449" s="98" t="str">
        <f t="shared" si="19"/>
        <v>Desarrollo del Sistema de Educación Superior</v>
      </c>
      <c r="K449" s="98" t="s">
        <v>412</v>
      </c>
    </row>
    <row r="450" spans="3:11" x14ac:dyDescent="0.25">
      <c r="C450" s="141"/>
      <c r="D450" s="158"/>
      <c r="E450" s="123"/>
      <c r="F450" s="97">
        <f t="shared" si="18"/>
        <v>0</v>
      </c>
      <c r="G450" s="161"/>
      <c r="H450" s="142"/>
      <c r="I450" s="130" t="e">
        <f>VLOOKUP(H450,Presupuesto!$B$11:$C$565,2,0)</f>
        <v>#N/A</v>
      </c>
      <c r="J450" s="98" t="str">
        <f t="shared" si="19"/>
        <v>Desarrollo del Sistema de Educación Superior</v>
      </c>
      <c r="K450" s="98" t="s">
        <v>412</v>
      </c>
    </row>
    <row r="451" spans="3:11" x14ac:dyDescent="0.25">
      <c r="C451" s="141"/>
      <c r="D451" s="158"/>
      <c r="E451" s="123"/>
      <c r="F451" s="97">
        <f t="shared" si="18"/>
        <v>0</v>
      </c>
      <c r="G451" s="161"/>
      <c r="H451" s="142"/>
      <c r="I451" s="130" t="e">
        <f>VLOOKUP(H451,Presupuesto!$B$11:$C$565,2,0)</f>
        <v>#N/A</v>
      </c>
      <c r="J451" s="98" t="str">
        <f t="shared" si="19"/>
        <v>Desarrollo del Sistema de Educación Superior</v>
      </c>
      <c r="K451" s="98" t="s">
        <v>412</v>
      </c>
    </row>
    <row r="452" spans="3:11" x14ac:dyDescent="0.25">
      <c r="C452" s="141"/>
      <c r="D452" s="158"/>
      <c r="E452" s="123"/>
      <c r="F452" s="97">
        <f t="shared" si="18"/>
        <v>0</v>
      </c>
      <c r="G452" s="161"/>
      <c r="H452" s="142"/>
      <c r="I452" s="130" t="e">
        <f>VLOOKUP(H452,Presupuesto!$B$11:$C$565,2,0)</f>
        <v>#N/A</v>
      </c>
      <c r="J452" s="98" t="str">
        <f t="shared" si="19"/>
        <v>Desarrollo del Sistema de Educación Superior</v>
      </c>
      <c r="K452" s="98" t="s">
        <v>412</v>
      </c>
    </row>
    <row r="453" spans="3:11" x14ac:dyDescent="0.25">
      <c r="C453" s="141"/>
      <c r="D453" s="158"/>
      <c r="E453" s="123"/>
      <c r="F453" s="97">
        <f t="shared" si="18"/>
        <v>0</v>
      </c>
      <c r="G453" s="161"/>
      <c r="H453" s="142"/>
      <c r="I453" s="130" t="e">
        <f>VLOOKUP(H453,Presupuesto!$B$11:$C$565,2,0)</f>
        <v>#N/A</v>
      </c>
      <c r="J453" s="98" t="str">
        <f t="shared" si="19"/>
        <v>Desarrollo del Sistema de Educación Superior</v>
      </c>
      <c r="K453" s="98" t="s">
        <v>412</v>
      </c>
    </row>
    <row r="454" spans="3:11" x14ac:dyDescent="0.25">
      <c r="C454" s="141"/>
      <c r="D454" s="158"/>
      <c r="E454" s="123"/>
      <c r="F454" s="97">
        <f t="shared" si="18"/>
        <v>0</v>
      </c>
      <c r="G454" s="161"/>
      <c r="H454" s="142"/>
      <c r="I454" s="130" t="e">
        <f>VLOOKUP(H454,Presupuesto!$B$11:$C$565,2,0)</f>
        <v>#N/A</v>
      </c>
      <c r="J454" s="98" t="str">
        <f t="shared" si="19"/>
        <v>Desarrollo del Sistema de Educación Superior</v>
      </c>
      <c r="K454" s="98" t="s">
        <v>412</v>
      </c>
    </row>
    <row r="455" spans="3:11" x14ac:dyDescent="0.25">
      <c r="C455" s="143"/>
      <c r="D455" s="151"/>
      <c r="E455" s="118"/>
      <c r="F455" s="97">
        <f t="shared" si="18"/>
        <v>0</v>
      </c>
      <c r="G455" s="161"/>
      <c r="H455" s="144"/>
      <c r="I455" s="130" t="e">
        <f>VLOOKUP(H455,Presupuesto!$B$11:$C$565,2,0)</f>
        <v>#N/A</v>
      </c>
      <c r="J455" s="98" t="str">
        <f t="shared" si="19"/>
        <v>Desarrollo del Sistema de Educación Superior</v>
      </c>
      <c r="K455" s="98" t="s">
        <v>412</v>
      </c>
    </row>
    <row r="456" spans="3:11" x14ac:dyDescent="0.25">
      <c r="C456" s="143"/>
      <c r="D456" s="151"/>
      <c r="E456" s="118"/>
      <c r="F456" s="97">
        <f t="shared" si="18"/>
        <v>0</v>
      </c>
      <c r="G456" s="161"/>
      <c r="H456" s="144"/>
      <c r="I456" s="130" t="e">
        <f>VLOOKUP(H456,Presupuesto!$B$11:$C$565,2,0)</f>
        <v>#N/A</v>
      </c>
      <c r="J456" s="98" t="str">
        <f t="shared" si="19"/>
        <v>Desarrollo del Sistema de Educación Superior</v>
      </c>
      <c r="K456" s="98" t="s">
        <v>412</v>
      </c>
    </row>
    <row r="457" spans="3:11" x14ac:dyDescent="0.25">
      <c r="C457" s="143"/>
      <c r="D457" s="151"/>
      <c r="E457" s="118"/>
      <c r="F457" s="97">
        <f t="shared" si="18"/>
        <v>0</v>
      </c>
      <c r="G457" s="161"/>
      <c r="H457" s="144"/>
      <c r="I457" s="130" t="e">
        <f>VLOOKUP(H457,Presupuesto!$B$11:$C$565,2,0)</f>
        <v>#N/A</v>
      </c>
      <c r="J457" s="98" t="str">
        <f t="shared" si="19"/>
        <v>Desarrollo del Sistema de Educación Superior</v>
      </c>
      <c r="K457" s="98" t="s">
        <v>412</v>
      </c>
    </row>
    <row r="458" spans="3:11" x14ac:dyDescent="0.25">
      <c r="C458" s="143"/>
      <c r="D458" s="151"/>
      <c r="E458" s="118"/>
      <c r="F458" s="97">
        <f t="shared" si="18"/>
        <v>0</v>
      </c>
      <c r="G458" s="161"/>
      <c r="H458" s="144"/>
      <c r="I458" s="130" t="e">
        <f>VLOOKUP(H458,Presupuesto!$B$11:$C$565,2,0)</f>
        <v>#N/A</v>
      </c>
      <c r="J458" s="98" t="str">
        <f t="shared" si="19"/>
        <v>Desarrollo del Sistema de Educación Superior</v>
      </c>
      <c r="K458" s="98" t="s">
        <v>412</v>
      </c>
    </row>
    <row r="459" spans="3:11" x14ac:dyDescent="0.25">
      <c r="C459" s="143"/>
      <c r="D459" s="151"/>
      <c r="E459" s="118"/>
      <c r="F459" s="97">
        <f t="shared" si="18"/>
        <v>0</v>
      </c>
      <c r="G459" s="161"/>
      <c r="H459" s="144"/>
      <c r="I459" s="130" t="e">
        <f>VLOOKUP(H459,Presupuesto!$B$11:$C$565,2,0)</f>
        <v>#N/A</v>
      </c>
      <c r="J459" s="98" t="str">
        <f t="shared" si="19"/>
        <v>Desarrollo del Sistema de Educación Superior</v>
      </c>
      <c r="K459" s="98" t="s">
        <v>412</v>
      </c>
    </row>
    <row r="460" spans="3:11" x14ac:dyDescent="0.25">
      <c r="C460" s="143"/>
      <c r="D460" s="151"/>
      <c r="E460" s="118"/>
      <c r="F460" s="97">
        <f t="shared" si="18"/>
        <v>0</v>
      </c>
      <c r="G460" s="161"/>
      <c r="H460" s="144"/>
      <c r="I460" s="130" t="e">
        <f>VLOOKUP(H460,Presupuesto!$B$11:$C$565,2,0)</f>
        <v>#N/A</v>
      </c>
      <c r="J460" s="98" t="str">
        <f t="shared" si="19"/>
        <v>Desarrollo del Sistema de Educación Superior</v>
      </c>
      <c r="K460" s="98" t="s">
        <v>412</v>
      </c>
    </row>
    <row r="461" spans="3:11" x14ac:dyDescent="0.25">
      <c r="C461" s="143"/>
      <c r="D461" s="151"/>
      <c r="E461" s="118"/>
      <c r="F461" s="97">
        <f t="shared" si="18"/>
        <v>0</v>
      </c>
      <c r="G461" s="161"/>
      <c r="H461" s="144"/>
      <c r="I461" s="130" t="e">
        <f>VLOOKUP(H461,Presupuesto!$B$11:$C$565,2,0)</f>
        <v>#N/A</v>
      </c>
      <c r="J461" s="98" t="str">
        <f t="shared" si="19"/>
        <v>Desarrollo del Sistema de Educación Superior</v>
      </c>
      <c r="K461" s="98" t="s">
        <v>412</v>
      </c>
    </row>
    <row r="462" spans="3:11" x14ac:dyDescent="0.25">
      <c r="C462" s="143"/>
      <c r="D462" s="151"/>
      <c r="E462" s="118"/>
      <c r="F462" s="97">
        <f t="shared" si="18"/>
        <v>0</v>
      </c>
      <c r="G462" s="161"/>
      <c r="H462" s="144"/>
      <c r="I462" s="130" t="e">
        <f>VLOOKUP(H462,Presupuesto!$B$11:$C$565,2,0)</f>
        <v>#N/A</v>
      </c>
      <c r="J462" s="98" t="str">
        <f t="shared" si="19"/>
        <v>Desarrollo del Sistema de Educación Superior</v>
      </c>
      <c r="K462" s="98" t="s">
        <v>412</v>
      </c>
    </row>
    <row r="463" spans="3:11" x14ac:dyDescent="0.25">
      <c r="C463" s="145"/>
      <c r="D463" s="151"/>
      <c r="E463" s="118"/>
      <c r="F463" s="97">
        <f t="shared" si="18"/>
        <v>0</v>
      </c>
      <c r="G463" s="161"/>
      <c r="H463" s="146"/>
      <c r="I463" s="130" t="e">
        <f>VLOOKUP(H463,Presupuesto!$B$11:$C$565,2,0)</f>
        <v>#N/A</v>
      </c>
      <c r="J463" s="98" t="str">
        <f t="shared" si="19"/>
        <v>Desarrollo del Sistema de Educación Superior</v>
      </c>
      <c r="K463" s="98" t="s">
        <v>403</v>
      </c>
    </row>
    <row r="464" spans="3:11" x14ac:dyDescent="0.25">
      <c r="C464" s="145"/>
      <c r="D464" s="151"/>
      <c r="E464" s="118"/>
      <c r="F464" s="97">
        <f t="shared" si="18"/>
        <v>0</v>
      </c>
      <c r="G464" s="161"/>
      <c r="H464" s="146"/>
      <c r="I464" s="130" t="e">
        <f>VLOOKUP(H464,Presupuesto!$B$11:$C$565,2,0)</f>
        <v>#N/A</v>
      </c>
      <c r="J464" s="98" t="str">
        <f t="shared" si="19"/>
        <v>Desarrollo del Sistema de Educación Superior</v>
      </c>
      <c r="K464" s="98" t="s">
        <v>412</v>
      </c>
    </row>
    <row r="465" spans="3:11" x14ac:dyDescent="0.25">
      <c r="C465" s="145"/>
      <c r="D465" s="151"/>
      <c r="E465" s="118"/>
      <c r="F465" s="97">
        <f t="shared" si="18"/>
        <v>0</v>
      </c>
      <c r="G465" s="161"/>
      <c r="H465" s="146"/>
      <c r="I465" s="130" t="e">
        <f>VLOOKUP(H465,Presupuesto!$B$11:$C$565,2,0)</f>
        <v>#N/A</v>
      </c>
      <c r="J465" s="98" t="str">
        <f t="shared" si="19"/>
        <v>Desarrollo del Sistema de Educación Superior</v>
      </c>
      <c r="K465" s="98" t="s">
        <v>412</v>
      </c>
    </row>
    <row r="466" spans="3:11" x14ac:dyDescent="0.25">
      <c r="C466" s="145"/>
      <c r="D466" s="151"/>
      <c r="E466" s="118"/>
      <c r="F466" s="97">
        <f t="shared" si="18"/>
        <v>0</v>
      </c>
      <c r="G466" s="161"/>
      <c r="H466" s="146"/>
      <c r="I466" s="130" t="e">
        <f>VLOOKUP(H466,Presupuesto!$B$11:$C$565,2,0)</f>
        <v>#N/A</v>
      </c>
      <c r="J466" s="98" t="str">
        <f t="shared" si="19"/>
        <v>Desarrollo del Sistema de Educación Superior</v>
      </c>
      <c r="K466" s="98" t="s">
        <v>412</v>
      </c>
    </row>
    <row r="467" spans="3:11" ht="15.75" thickBot="1" x14ac:dyDescent="0.3">
      <c r="C467" s="147"/>
      <c r="D467" s="159"/>
      <c r="E467" s="103"/>
      <c r="F467" s="105">
        <f t="shared" si="18"/>
        <v>0</v>
      </c>
      <c r="G467" s="162"/>
      <c r="H467" s="148"/>
      <c r="I467" s="132" t="e">
        <f>VLOOKUP(H467,Presupuesto!$B$11:$C$565,2,0)</f>
        <v>#N/A</v>
      </c>
      <c r="J467" s="106" t="str">
        <f t="shared" si="19"/>
        <v>Desarrollo del Sistema de Educación Superior</v>
      </c>
      <c r="K467" s="124" t="s">
        <v>394</v>
      </c>
    </row>
    <row r="469" spans="3:11" ht="15.75" thickBot="1" x14ac:dyDescent="0.3">
      <c r="F469" s="90"/>
      <c r="G469" s="89"/>
      <c r="H469" s="90"/>
      <c r="I469" s="90"/>
    </row>
    <row r="470" spans="3:11" ht="15.75" thickBot="1" x14ac:dyDescent="0.3">
      <c r="C470" s="157" t="s">
        <v>53</v>
      </c>
      <c r="D470" s="374">
        <f>SUM(F477:F511)</f>
        <v>0</v>
      </c>
      <c r="F470" s="70"/>
      <c r="G470" s="79"/>
      <c r="H470" s="70"/>
      <c r="I470" s="70"/>
    </row>
    <row r="471" spans="3:11" x14ac:dyDescent="0.25">
      <c r="C471" s="70"/>
      <c r="D471" s="31"/>
      <c r="E471" s="93"/>
      <c r="F471" s="93"/>
      <c r="G471" s="93"/>
      <c r="H471" s="76"/>
      <c r="I471" s="76"/>
      <c r="J471" s="76"/>
      <c r="K471" s="112"/>
    </row>
    <row r="472" spans="3:11" x14ac:dyDescent="0.25">
      <c r="C472" s="70"/>
      <c r="D472" s="31"/>
      <c r="E472" s="93"/>
      <c r="F472" s="93"/>
      <c r="G472" s="93"/>
      <c r="H472" s="76"/>
      <c r="I472" s="76"/>
      <c r="J472" s="76"/>
      <c r="K472" s="112"/>
    </row>
    <row r="473" spans="3:11" ht="15.75" x14ac:dyDescent="0.25">
      <c r="C473" s="202" t="s">
        <v>392</v>
      </c>
      <c r="D473" s="370"/>
      <c r="E473" s="93"/>
      <c r="F473" s="93"/>
      <c r="G473" s="93"/>
      <c r="H473" s="76"/>
      <c r="I473" s="76"/>
      <c r="J473" s="76"/>
      <c r="K473" s="112"/>
    </row>
    <row r="474" spans="3:11" ht="18.75" x14ac:dyDescent="0.25">
      <c r="C474" s="211" t="e">
        <f>IFERROR(VLOOKUP(D473,'1. Desarrollo e Innov. Curricu.'!$E:$F,2,FALSE),IFERROR(VLOOKUP(D473,'2. Investigación Científica'!$E:$F,2,FALSE),IFERROR(VLOOKUP(D473,'3. Vinculación Univ. Sociedad'!$E:$F,2,FALSE),IFERROR(VLOOKUP(D473,'4. Docencia y Profesorado Univ.'!$E:$F,2,FALSE),IFERROR(VLOOKUP(D473,'5. Estudiantes y Graduados'!$E:$F,2,FALSE),IFERROR(VLOOKUP(D473,'11. Gestion Administrativa'!$E:$F,2,FALSE),IFERROR(VLOOKUP(D473,'13. Gestión Académica'!$E:$F,2,FALSE),IFERROR(VLOOKUP(D473,'8. Asegura. de la Calid. y M'!$E:$F,2,FALSE),IFERROR(VLOOKUP(D473,'6. Gestión del Conocimiento'!$E:$F,2,FALSE),IFERROR(VLOOKUP(D473,'15. Gobernabilidad y Proceso...'!$E:$F,2,FALSE),IFERROR(VLOOKUP(D473,'12. Gestión del Talento Humano'!$E:$F,2,FALSE),IFERROR(VLOOKUP(D473,'14. Internacional... de la E.S.'!$E:$F,2,FALSE),IFERROR(VLOOKUP(D473,'10. Posgrado'!$E:$F,2,FALSE),IFERROR(VLOOKUP(D473,'17. Gestión TIC'!$E:$F,2,FALSE),IFERROR(VLOOKUP(D473,'16. Desa. del Sistema Educ.Sup.'!$E:$F,2,FALSE),IFERROR(VLOOKUP(D473,'9. Cultura de Inno. Insti...'!$E:$F,2,FALSE),VLOOKUP(D473,'7. Lo Esencial de la Reforma U.'!$E:$F,2,0)))))))))))))))))</f>
        <v>#N/A</v>
      </c>
      <c r="D474" s="31"/>
      <c r="E474" s="93"/>
      <c r="F474" s="93"/>
      <c r="G474" s="93"/>
      <c r="H474" s="76"/>
      <c r="I474" s="76"/>
      <c r="J474" s="76"/>
      <c r="K474" s="112"/>
    </row>
    <row r="475" spans="3:11" ht="15.75" thickBot="1" x14ac:dyDescent="0.3">
      <c r="F475" s="93"/>
      <c r="G475" s="76"/>
      <c r="H475" s="76"/>
      <c r="I475" s="76"/>
    </row>
    <row r="476" spans="3:11" ht="30.75" thickBot="1" x14ac:dyDescent="0.3">
      <c r="C476" s="129" t="s">
        <v>44</v>
      </c>
      <c r="D476" s="129" t="s">
        <v>55</v>
      </c>
      <c r="E476" s="136" t="s">
        <v>57</v>
      </c>
      <c r="F476" s="135" t="s">
        <v>27</v>
      </c>
      <c r="G476" s="133" t="s">
        <v>131</v>
      </c>
      <c r="H476" s="136" t="s">
        <v>46</v>
      </c>
      <c r="I476" s="133" t="s">
        <v>132</v>
      </c>
      <c r="J476" s="133" t="s">
        <v>410</v>
      </c>
      <c r="K476" s="133" t="s">
        <v>411</v>
      </c>
    </row>
    <row r="477" spans="3:11" x14ac:dyDescent="0.25">
      <c r="C477" s="221" t="s">
        <v>439</v>
      </c>
      <c r="D477" s="222"/>
      <c r="E477" s="220">
        <f>HLOOKUP(C477,$AH$2:$BU$3,2,0)</f>
        <v>620</v>
      </c>
      <c r="F477" s="97">
        <f t="shared" ref="F477:F511" si="20">D477*E477</f>
        <v>0</v>
      </c>
      <c r="G477" s="161"/>
      <c r="H477" s="142"/>
      <c r="I477" s="130" t="e">
        <f>VLOOKUP(H477,Presupuesto!$B$11:$C$565,2,0)</f>
        <v>#N/A</v>
      </c>
      <c r="J477" s="219" t="s">
        <v>1479</v>
      </c>
      <c r="K477" s="98" t="s">
        <v>394</v>
      </c>
    </row>
    <row r="478" spans="3:11" x14ac:dyDescent="0.25">
      <c r="C478" s="141"/>
      <c r="D478" s="158"/>
      <c r="E478" s="123"/>
      <c r="F478" s="97">
        <f t="shared" si="20"/>
        <v>0</v>
      </c>
      <c r="G478" s="161"/>
      <c r="H478" s="142"/>
      <c r="I478" s="130" t="e">
        <f>VLOOKUP(H478,Presupuesto!$B$11:$C$565,2,0)</f>
        <v>#N/A</v>
      </c>
      <c r="J478" s="98" t="str">
        <f>$J$477</f>
        <v>Desarrollo del Sistema de Educación Superior</v>
      </c>
      <c r="K478" s="98" t="s">
        <v>412</v>
      </c>
    </row>
    <row r="479" spans="3:11" x14ac:dyDescent="0.25">
      <c r="C479" s="141"/>
      <c r="D479" s="158"/>
      <c r="E479" s="123"/>
      <c r="F479" s="97">
        <f t="shared" si="20"/>
        <v>0</v>
      </c>
      <c r="G479" s="161"/>
      <c r="H479" s="142"/>
      <c r="I479" s="130" t="e">
        <f>VLOOKUP(H479,Presupuesto!$B$11:$C$565,2,0)</f>
        <v>#N/A</v>
      </c>
      <c r="J479" s="98" t="str">
        <f t="shared" ref="J479:J511" si="21">$J$477</f>
        <v>Desarrollo del Sistema de Educación Superior</v>
      </c>
      <c r="K479" s="98" t="s">
        <v>412</v>
      </c>
    </row>
    <row r="480" spans="3:11" x14ac:dyDescent="0.25">
      <c r="C480" s="141"/>
      <c r="D480" s="158"/>
      <c r="E480" s="123"/>
      <c r="F480" s="97">
        <f t="shared" si="20"/>
        <v>0</v>
      </c>
      <c r="G480" s="161"/>
      <c r="H480" s="142"/>
      <c r="I480" s="130" t="e">
        <f>VLOOKUP(H480,Presupuesto!$B$11:$C$565,2,0)</f>
        <v>#N/A</v>
      </c>
      <c r="J480" s="98" t="str">
        <f t="shared" si="21"/>
        <v>Desarrollo del Sistema de Educación Superior</v>
      </c>
      <c r="K480" s="98" t="s">
        <v>412</v>
      </c>
    </row>
    <row r="481" spans="3:11" x14ac:dyDescent="0.25">
      <c r="C481" s="141"/>
      <c r="D481" s="158"/>
      <c r="E481" s="123"/>
      <c r="F481" s="97">
        <f t="shared" si="20"/>
        <v>0</v>
      </c>
      <c r="G481" s="161"/>
      <c r="H481" s="142"/>
      <c r="I481" s="130" t="e">
        <f>VLOOKUP(H481,Presupuesto!$B$11:$C$565,2,0)</f>
        <v>#N/A</v>
      </c>
      <c r="J481" s="98" t="str">
        <f t="shared" si="21"/>
        <v>Desarrollo del Sistema de Educación Superior</v>
      </c>
      <c r="K481" s="98" t="s">
        <v>412</v>
      </c>
    </row>
    <row r="482" spans="3:11" x14ac:dyDescent="0.25">
      <c r="C482" s="141"/>
      <c r="D482" s="158"/>
      <c r="E482" s="123"/>
      <c r="F482" s="97">
        <f t="shared" si="20"/>
        <v>0</v>
      </c>
      <c r="G482" s="161"/>
      <c r="H482" s="142"/>
      <c r="I482" s="130" t="e">
        <f>VLOOKUP(H482,Presupuesto!$B$11:$C$565,2,0)</f>
        <v>#N/A</v>
      </c>
      <c r="J482" s="98" t="str">
        <f t="shared" si="21"/>
        <v>Desarrollo del Sistema de Educación Superior</v>
      </c>
      <c r="K482" s="98" t="s">
        <v>401</v>
      </c>
    </row>
    <row r="483" spans="3:11" x14ac:dyDescent="0.25">
      <c r="C483" s="141"/>
      <c r="D483" s="158"/>
      <c r="E483" s="123"/>
      <c r="F483" s="97">
        <f t="shared" si="20"/>
        <v>0</v>
      </c>
      <c r="G483" s="161"/>
      <c r="H483" s="142"/>
      <c r="I483" s="130" t="e">
        <f>VLOOKUP(H483,Presupuesto!$B$11:$C$565,2,0)</f>
        <v>#N/A</v>
      </c>
      <c r="J483" s="98" t="str">
        <f t="shared" si="21"/>
        <v>Desarrollo del Sistema de Educación Superior</v>
      </c>
      <c r="K483" s="98" t="s">
        <v>412</v>
      </c>
    </row>
    <row r="484" spans="3:11" x14ac:dyDescent="0.25">
      <c r="C484" s="141"/>
      <c r="D484" s="158"/>
      <c r="E484" s="123"/>
      <c r="F484" s="97">
        <f t="shared" si="20"/>
        <v>0</v>
      </c>
      <c r="G484" s="161"/>
      <c r="H484" s="142"/>
      <c r="I484" s="130" t="e">
        <f>VLOOKUP(H484,Presupuesto!$B$11:$C$565,2,0)</f>
        <v>#N/A</v>
      </c>
      <c r="J484" s="98" t="str">
        <f t="shared" si="21"/>
        <v>Desarrollo del Sistema de Educación Superior</v>
      </c>
      <c r="K484" s="98" t="s">
        <v>412</v>
      </c>
    </row>
    <row r="485" spans="3:11" x14ac:dyDescent="0.25">
      <c r="C485" s="141"/>
      <c r="D485" s="158"/>
      <c r="E485" s="123"/>
      <c r="F485" s="97">
        <f t="shared" si="20"/>
        <v>0</v>
      </c>
      <c r="G485" s="161"/>
      <c r="H485" s="142"/>
      <c r="I485" s="130" t="e">
        <f>VLOOKUP(H485,Presupuesto!$B$11:$C$565,2,0)</f>
        <v>#N/A</v>
      </c>
      <c r="J485" s="98" t="str">
        <f t="shared" si="21"/>
        <v>Desarrollo del Sistema de Educación Superior</v>
      </c>
      <c r="K485" s="98" t="s">
        <v>412</v>
      </c>
    </row>
    <row r="486" spans="3:11" x14ac:dyDescent="0.25">
      <c r="C486" s="141"/>
      <c r="D486" s="158"/>
      <c r="E486" s="123"/>
      <c r="F486" s="97">
        <f t="shared" si="20"/>
        <v>0</v>
      </c>
      <c r="G486" s="161"/>
      <c r="H486" s="142"/>
      <c r="I486" s="130" t="e">
        <f>VLOOKUP(H486,Presupuesto!$B$11:$C$565,2,0)</f>
        <v>#N/A</v>
      </c>
      <c r="J486" s="98" t="str">
        <f t="shared" si="21"/>
        <v>Desarrollo del Sistema de Educación Superior</v>
      </c>
      <c r="K486" s="98" t="s">
        <v>412</v>
      </c>
    </row>
    <row r="487" spans="3:11" x14ac:dyDescent="0.25">
      <c r="C487" s="141"/>
      <c r="D487" s="158"/>
      <c r="E487" s="123"/>
      <c r="F487" s="97">
        <f t="shared" si="20"/>
        <v>0</v>
      </c>
      <c r="G487" s="161"/>
      <c r="H487" s="142"/>
      <c r="I487" s="130" t="e">
        <f>VLOOKUP(H487,Presupuesto!$B$11:$C$565,2,0)</f>
        <v>#N/A</v>
      </c>
      <c r="J487" s="98" t="str">
        <f t="shared" si="21"/>
        <v>Desarrollo del Sistema de Educación Superior</v>
      </c>
      <c r="K487" s="98" t="s">
        <v>412</v>
      </c>
    </row>
    <row r="488" spans="3:11" x14ac:dyDescent="0.25">
      <c r="C488" s="141"/>
      <c r="D488" s="158"/>
      <c r="E488" s="123"/>
      <c r="F488" s="97">
        <f t="shared" si="20"/>
        <v>0</v>
      </c>
      <c r="G488" s="161"/>
      <c r="H488" s="142"/>
      <c r="I488" s="130" t="e">
        <f>VLOOKUP(H488,Presupuesto!$B$11:$C$565,2,0)</f>
        <v>#N/A</v>
      </c>
      <c r="J488" s="98" t="str">
        <f t="shared" si="21"/>
        <v>Desarrollo del Sistema de Educación Superior</v>
      </c>
      <c r="K488" s="98" t="s">
        <v>412</v>
      </c>
    </row>
    <row r="489" spans="3:11" x14ac:dyDescent="0.25">
      <c r="C489" s="141"/>
      <c r="D489" s="158"/>
      <c r="E489" s="123"/>
      <c r="F489" s="97">
        <f t="shared" si="20"/>
        <v>0</v>
      </c>
      <c r="G489" s="161"/>
      <c r="H489" s="142"/>
      <c r="I489" s="130" t="e">
        <f>VLOOKUP(H489,Presupuesto!$B$11:$C$565,2,0)</f>
        <v>#N/A</v>
      </c>
      <c r="J489" s="98" t="str">
        <f t="shared" si="21"/>
        <v>Desarrollo del Sistema de Educación Superior</v>
      </c>
      <c r="K489" s="98" t="s">
        <v>412</v>
      </c>
    </row>
    <row r="490" spans="3:11" x14ac:dyDescent="0.25">
      <c r="C490" s="141"/>
      <c r="D490" s="158"/>
      <c r="E490" s="123"/>
      <c r="F490" s="97">
        <f t="shared" si="20"/>
        <v>0</v>
      </c>
      <c r="G490" s="161"/>
      <c r="H490" s="142"/>
      <c r="I490" s="130" t="e">
        <f>VLOOKUP(H490,Presupuesto!$B$11:$C$565,2,0)</f>
        <v>#N/A</v>
      </c>
      <c r="J490" s="98" t="str">
        <f t="shared" si="21"/>
        <v>Desarrollo del Sistema de Educación Superior</v>
      </c>
      <c r="K490" s="98" t="s">
        <v>412</v>
      </c>
    </row>
    <row r="491" spans="3:11" x14ac:dyDescent="0.25">
      <c r="C491" s="141"/>
      <c r="D491" s="158"/>
      <c r="E491" s="123"/>
      <c r="F491" s="97">
        <f t="shared" si="20"/>
        <v>0</v>
      </c>
      <c r="G491" s="161"/>
      <c r="H491" s="142"/>
      <c r="I491" s="130" t="e">
        <f>VLOOKUP(H491,Presupuesto!$B$11:$C$565,2,0)</f>
        <v>#N/A</v>
      </c>
      <c r="J491" s="98" t="str">
        <f t="shared" si="21"/>
        <v>Desarrollo del Sistema de Educación Superior</v>
      </c>
      <c r="K491" s="98" t="s">
        <v>412</v>
      </c>
    </row>
    <row r="492" spans="3:11" x14ac:dyDescent="0.25">
      <c r="C492" s="141"/>
      <c r="D492" s="158"/>
      <c r="E492" s="123"/>
      <c r="F492" s="97">
        <f t="shared" si="20"/>
        <v>0</v>
      </c>
      <c r="G492" s="161"/>
      <c r="H492" s="142"/>
      <c r="I492" s="130" t="e">
        <f>VLOOKUP(H492,Presupuesto!$B$11:$C$565,2,0)</f>
        <v>#N/A</v>
      </c>
      <c r="J492" s="98" t="str">
        <f t="shared" si="21"/>
        <v>Desarrollo del Sistema de Educación Superior</v>
      </c>
      <c r="K492" s="98" t="s">
        <v>412</v>
      </c>
    </row>
    <row r="493" spans="3:11" x14ac:dyDescent="0.25">
      <c r="C493" s="141"/>
      <c r="D493" s="158"/>
      <c r="E493" s="123"/>
      <c r="F493" s="97">
        <f t="shared" si="20"/>
        <v>0</v>
      </c>
      <c r="G493" s="161"/>
      <c r="H493" s="142"/>
      <c r="I493" s="130" t="e">
        <f>VLOOKUP(H493,Presupuesto!$B$11:$C$565,2,0)</f>
        <v>#N/A</v>
      </c>
      <c r="J493" s="98" t="str">
        <f t="shared" si="21"/>
        <v>Desarrollo del Sistema de Educación Superior</v>
      </c>
      <c r="K493" s="98" t="s">
        <v>412</v>
      </c>
    </row>
    <row r="494" spans="3:11" x14ac:dyDescent="0.25">
      <c r="C494" s="141"/>
      <c r="D494" s="158"/>
      <c r="E494" s="123"/>
      <c r="F494" s="97">
        <f t="shared" si="20"/>
        <v>0</v>
      </c>
      <c r="G494" s="161"/>
      <c r="H494" s="142"/>
      <c r="I494" s="130" t="e">
        <f>VLOOKUP(H494,Presupuesto!$B$11:$C$565,2,0)</f>
        <v>#N/A</v>
      </c>
      <c r="J494" s="98" t="str">
        <f t="shared" si="21"/>
        <v>Desarrollo del Sistema de Educación Superior</v>
      </c>
      <c r="K494" s="98" t="s">
        <v>412</v>
      </c>
    </row>
    <row r="495" spans="3:11" x14ac:dyDescent="0.25">
      <c r="C495" s="141"/>
      <c r="D495" s="158"/>
      <c r="E495" s="123"/>
      <c r="F495" s="97">
        <f t="shared" si="20"/>
        <v>0</v>
      </c>
      <c r="G495" s="161"/>
      <c r="H495" s="142"/>
      <c r="I495" s="130" t="e">
        <f>VLOOKUP(H495,Presupuesto!$B$11:$C$565,2,0)</f>
        <v>#N/A</v>
      </c>
      <c r="J495" s="98" t="str">
        <f t="shared" si="21"/>
        <v>Desarrollo del Sistema de Educación Superior</v>
      </c>
      <c r="K495" s="98" t="s">
        <v>412</v>
      </c>
    </row>
    <row r="496" spans="3:11" x14ac:dyDescent="0.25">
      <c r="C496" s="141"/>
      <c r="D496" s="158"/>
      <c r="E496" s="123"/>
      <c r="F496" s="97">
        <f t="shared" si="20"/>
        <v>0</v>
      </c>
      <c r="G496" s="161"/>
      <c r="H496" s="142"/>
      <c r="I496" s="130" t="e">
        <f>VLOOKUP(H496,Presupuesto!$B$11:$C$565,2,0)</f>
        <v>#N/A</v>
      </c>
      <c r="J496" s="98" t="str">
        <f t="shared" si="21"/>
        <v>Desarrollo del Sistema de Educación Superior</v>
      </c>
      <c r="K496" s="98" t="s">
        <v>412</v>
      </c>
    </row>
    <row r="497" spans="3:11" x14ac:dyDescent="0.25">
      <c r="C497" s="141"/>
      <c r="D497" s="158"/>
      <c r="E497" s="123"/>
      <c r="F497" s="97">
        <f t="shared" si="20"/>
        <v>0</v>
      </c>
      <c r="G497" s="161"/>
      <c r="H497" s="142"/>
      <c r="I497" s="130" t="e">
        <f>VLOOKUP(H497,Presupuesto!$B$11:$C$565,2,0)</f>
        <v>#N/A</v>
      </c>
      <c r="J497" s="98" t="str">
        <f t="shared" si="21"/>
        <v>Desarrollo del Sistema de Educación Superior</v>
      </c>
      <c r="K497" s="98" t="s">
        <v>412</v>
      </c>
    </row>
    <row r="498" spans="3:11" x14ac:dyDescent="0.25">
      <c r="C498" s="141"/>
      <c r="D498" s="158"/>
      <c r="E498" s="123"/>
      <c r="F498" s="97">
        <f t="shared" si="20"/>
        <v>0</v>
      </c>
      <c r="G498" s="161"/>
      <c r="H498" s="142"/>
      <c r="I498" s="130" t="e">
        <f>VLOOKUP(H498,Presupuesto!$B$11:$C$565,2,0)</f>
        <v>#N/A</v>
      </c>
      <c r="J498" s="98" t="str">
        <f t="shared" si="21"/>
        <v>Desarrollo del Sistema de Educación Superior</v>
      </c>
      <c r="K498" s="98" t="s">
        <v>412</v>
      </c>
    </row>
    <row r="499" spans="3:11" x14ac:dyDescent="0.25">
      <c r="C499" s="143"/>
      <c r="D499" s="151"/>
      <c r="E499" s="118"/>
      <c r="F499" s="97">
        <f t="shared" si="20"/>
        <v>0</v>
      </c>
      <c r="G499" s="161"/>
      <c r="H499" s="144"/>
      <c r="I499" s="130" t="e">
        <f>VLOOKUP(H499,Presupuesto!$B$11:$C$565,2,0)</f>
        <v>#N/A</v>
      </c>
      <c r="J499" s="98" t="str">
        <f t="shared" si="21"/>
        <v>Desarrollo del Sistema de Educación Superior</v>
      </c>
      <c r="K499" s="98" t="s">
        <v>412</v>
      </c>
    </row>
    <row r="500" spans="3:11" x14ac:dyDescent="0.25">
      <c r="C500" s="143"/>
      <c r="D500" s="151"/>
      <c r="E500" s="118"/>
      <c r="F500" s="97">
        <f t="shared" si="20"/>
        <v>0</v>
      </c>
      <c r="G500" s="161"/>
      <c r="H500" s="144"/>
      <c r="I500" s="130" t="e">
        <f>VLOOKUP(H500,Presupuesto!$B$11:$C$565,2,0)</f>
        <v>#N/A</v>
      </c>
      <c r="J500" s="98" t="str">
        <f t="shared" si="21"/>
        <v>Desarrollo del Sistema de Educación Superior</v>
      </c>
      <c r="K500" s="98" t="s">
        <v>412</v>
      </c>
    </row>
    <row r="501" spans="3:11" x14ac:dyDescent="0.25">
      <c r="C501" s="143"/>
      <c r="D501" s="151"/>
      <c r="E501" s="118"/>
      <c r="F501" s="97">
        <f t="shared" si="20"/>
        <v>0</v>
      </c>
      <c r="G501" s="161"/>
      <c r="H501" s="144"/>
      <c r="I501" s="130" t="e">
        <f>VLOOKUP(H501,Presupuesto!$B$11:$C$565,2,0)</f>
        <v>#N/A</v>
      </c>
      <c r="J501" s="98" t="str">
        <f t="shared" si="21"/>
        <v>Desarrollo del Sistema de Educación Superior</v>
      </c>
      <c r="K501" s="98" t="s">
        <v>412</v>
      </c>
    </row>
    <row r="502" spans="3:11" x14ac:dyDescent="0.25">
      <c r="C502" s="143"/>
      <c r="D502" s="151"/>
      <c r="E502" s="118"/>
      <c r="F502" s="97">
        <f t="shared" si="20"/>
        <v>0</v>
      </c>
      <c r="G502" s="161"/>
      <c r="H502" s="144"/>
      <c r="I502" s="130" t="e">
        <f>VLOOKUP(H502,Presupuesto!$B$11:$C$565,2,0)</f>
        <v>#N/A</v>
      </c>
      <c r="J502" s="98" t="str">
        <f t="shared" si="21"/>
        <v>Desarrollo del Sistema de Educación Superior</v>
      </c>
      <c r="K502" s="98" t="s">
        <v>412</v>
      </c>
    </row>
    <row r="503" spans="3:11" x14ac:dyDescent="0.25">
      <c r="C503" s="143"/>
      <c r="D503" s="151"/>
      <c r="E503" s="118"/>
      <c r="F503" s="97">
        <f t="shared" si="20"/>
        <v>0</v>
      </c>
      <c r="G503" s="161"/>
      <c r="H503" s="144"/>
      <c r="I503" s="130" t="e">
        <f>VLOOKUP(H503,Presupuesto!$B$11:$C$565,2,0)</f>
        <v>#N/A</v>
      </c>
      <c r="J503" s="98" t="str">
        <f t="shared" si="21"/>
        <v>Desarrollo del Sistema de Educación Superior</v>
      </c>
      <c r="K503" s="98" t="s">
        <v>412</v>
      </c>
    </row>
    <row r="504" spans="3:11" x14ac:dyDescent="0.25">
      <c r="C504" s="143"/>
      <c r="D504" s="151"/>
      <c r="E504" s="118"/>
      <c r="F504" s="97">
        <f t="shared" si="20"/>
        <v>0</v>
      </c>
      <c r="G504" s="161"/>
      <c r="H504" s="144"/>
      <c r="I504" s="130" t="e">
        <f>VLOOKUP(H504,Presupuesto!$B$11:$C$565,2,0)</f>
        <v>#N/A</v>
      </c>
      <c r="J504" s="98" t="str">
        <f t="shared" si="21"/>
        <v>Desarrollo del Sistema de Educación Superior</v>
      </c>
      <c r="K504" s="98" t="s">
        <v>412</v>
      </c>
    </row>
    <row r="505" spans="3:11" x14ac:dyDescent="0.25">
      <c r="C505" s="143"/>
      <c r="D505" s="151"/>
      <c r="E505" s="118"/>
      <c r="F505" s="97">
        <f t="shared" si="20"/>
        <v>0</v>
      </c>
      <c r="G505" s="161"/>
      <c r="H505" s="144"/>
      <c r="I505" s="130" t="e">
        <f>VLOOKUP(H505,Presupuesto!$B$11:$C$565,2,0)</f>
        <v>#N/A</v>
      </c>
      <c r="J505" s="98" t="str">
        <f t="shared" si="21"/>
        <v>Desarrollo del Sistema de Educación Superior</v>
      </c>
      <c r="K505" s="98" t="s">
        <v>412</v>
      </c>
    </row>
    <row r="506" spans="3:11" x14ac:dyDescent="0.25">
      <c r="C506" s="143"/>
      <c r="D506" s="151"/>
      <c r="E506" s="118"/>
      <c r="F506" s="97">
        <f t="shared" si="20"/>
        <v>0</v>
      </c>
      <c r="G506" s="161"/>
      <c r="H506" s="144"/>
      <c r="I506" s="130" t="e">
        <f>VLOOKUP(H506,Presupuesto!$B$11:$C$565,2,0)</f>
        <v>#N/A</v>
      </c>
      <c r="J506" s="98" t="str">
        <f t="shared" si="21"/>
        <v>Desarrollo del Sistema de Educación Superior</v>
      </c>
      <c r="K506" s="98" t="s">
        <v>412</v>
      </c>
    </row>
    <row r="507" spans="3:11" x14ac:dyDescent="0.25">
      <c r="C507" s="145"/>
      <c r="D507" s="151"/>
      <c r="E507" s="118"/>
      <c r="F507" s="97">
        <f t="shared" si="20"/>
        <v>0</v>
      </c>
      <c r="G507" s="161"/>
      <c r="H507" s="146"/>
      <c r="I507" s="130" t="e">
        <f>VLOOKUP(H507,Presupuesto!$B$11:$C$565,2,0)</f>
        <v>#N/A</v>
      </c>
      <c r="J507" s="98" t="str">
        <f t="shared" si="21"/>
        <v>Desarrollo del Sistema de Educación Superior</v>
      </c>
      <c r="K507" s="98" t="s">
        <v>403</v>
      </c>
    </row>
    <row r="508" spans="3:11" x14ac:dyDescent="0.25">
      <c r="C508" s="145"/>
      <c r="D508" s="151"/>
      <c r="E508" s="118"/>
      <c r="F508" s="97">
        <f t="shared" si="20"/>
        <v>0</v>
      </c>
      <c r="G508" s="161"/>
      <c r="H508" s="146"/>
      <c r="I508" s="130" t="e">
        <f>VLOOKUP(H508,Presupuesto!$B$11:$C$565,2,0)</f>
        <v>#N/A</v>
      </c>
      <c r="J508" s="98" t="str">
        <f t="shared" si="21"/>
        <v>Desarrollo del Sistema de Educación Superior</v>
      </c>
      <c r="K508" s="98" t="s">
        <v>412</v>
      </c>
    </row>
    <row r="509" spans="3:11" x14ac:dyDescent="0.25">
      <c r="C509" s="145"/>
      <c r="D509" s="151"/>
      <c r="E509" s="118"/>
      <c r="F509" s="97">
        <f t="shared" si="20"/>
        <v>0</v>
      </c>
      <c r="G509" s="161"/>
      <c r="H509" s="146"/>
      <c r="I509" s="130" t="e">
        <f>VLOOKUP(H509,Presupuesto!$B$11:$C$565,2,0)</f>
        <v>#N/A</v>
      </c>
      <c r="J509" s="98" t="str">
        <f t="shared" si="21"/>
        <v>Desarrollo del Sistema de Educación Superior</v>
      </c>
      <c r="K509" s="98" t="s">
        <v>412</v>
      </c>
    </row>
    <row r="510" spans="3:11" x14ac:dyDescent="0.25">
      <c r="C510" s="145"/>
      <c r="D510" s="151"/>
      <c r="E510" s="118"/>
      <c r="F510" s="97">
        <f t="shared" si="20"/>
        <v>0</v>
      </c>
      <c r="G510" s="161"/>
      <c r="H510" s="146"/>
      <c r="I510" s="130" t="e">
        <f>VLOOKUP(H510,Presupuesto!$B$11:$C$565,2,0)</f>
        <v>#N/A</v>
      </c>
      <c r="J510" s="98" t="str">
        <f t="shared" si="21"/>
        <v>Desarrollo del Sistema de Educación Superior</v>
      </c>
      <c r="K510" s="98" t="s">
        <v>412</v>
      </c>
    </row>
    <row r="511" spans="3:11" ht="15.75" thickBot="1" x14ac:dyDescent="0.3">
      <c r="C511" s="147"/>
      <c r="D511" s="159"/>
      <c r="E511" s="103"/>
      <c r="F511" s="105">
        <f t="shared" si="20"/>
        <v>0</v>
      </c>
      <c r="G511" s="162"/>
      <c r="H511" s="148"/>
      <c r="I511" s="132" t="e">
        <f>VLOOKUP(H511,Presupuesto!$B$11:$C$565,2,0)</f>
        <v>#N/A</v>
      </c>
      <c r="J511" s="106" t="str">
        <f t="shared" si="21"/>
        <v>Desarrollo del Sistema de Educación Superior</v>
      </c>
      <c r="K511" s="124" t="s">
        <v>394</v>
      </c>
    </row>
    <row r="513" spans="3:11" ht="15.75" thickBot="1" x14ac:dyDescent="0.3"/>
    <row r="514" spans="3:11" ht="15.75" thickBot="1" x14ac:dyDescent="0.3">
      <c r="C514" s="157" t="s">
        <v>53</v>
      </c>
      <c r="D514" s="374">
        <f>SUM(F521:F555)</f>
        <v>0</v>
      </c>
      <c r="F514" s="70"/>
      <c r="G514" s="79"/>
      <c r="H514" s="70"/>
      <c r="I514" s="70"/>
    </row>
    <row r="515" spans="3:11" x14ac:dyDescent="0.25">
      <c r="C515" s="70"/>
      <c r="D515" s="31"/>
      <c r="E515" s="93"/>
      <c r="F515" s="93"/>
      <c r="G515" s="93"/>
      <c r="H515" s="76"/>
      <c r="I515" s="76"/>
      <c r="J515" s="76"/>
      <c r="K515" s="112"/>
    </row>
    <row r="516" spans="3:11" x14ac:dyDescent="0.25">
      <c r="C516" s="70"/>
      <c r="D516" s="31"/>
      <c r="E516" s="93"/>
      <c r="F516" s="93"/>
      <c r="G516" s="93"/>
      <c r="H516" s="76"/>
      <c r="I516" s="76"/>
      <c r="J516" s="76"/>
      <c r="K516" s="112"/>
    </row>
    <row r="517" spans="3:11" ht="15.75" x14ac:dyDescent="0.25">
      <c r="C517" s="202" t="s">
        <v>392</v>
      </c>
      <c r="D517" s="370"/>
      <c r="E517" s="93"/>
      <c r="F517" s="93"/>
      <c r="G517" s="93"/>
      <c r="H517" s="76"/>
      <c r="I517" s="76"/>
      <c r="J517" s="76"/>
      <c r="K517" s="112"/>
    </row>
    <row r="518" spans="3:11" ht="18.75" x14ac:dyDescent="0.25">
      <c r="C518" s="211" t="e">
        <f>IFERROR(VLOOKUP(D517,'1. Desarrollo e Innov. Curricu.'!$E:$F,2,FALSE),IFERROR(VLOOKUP(D517,'2. Investigación Científica'!$E:$F,2,FALSE),IFERROR(VLOOKUP(D517,'3. Vinculación Univ. Sociedad'!$E:$F,2,FALSE),IFERROR(VLOOKUP(D517,'4. Docencia y Profesorado Univ.'!$E:$F,2,FALSE),IFERROR(VLOOKUP(D517,'5. Estudiantes y Graduados'!$E:$F,2,FALSE),IFERROR(VLOOKUP(D517,'11. Gestion Administrativa'!$E:$F,2,FALSE),IFERROR(VLOOKUP(D517,'13. Gestión Académica'!$E:$F,2,FALSE),IFERROR(VLOOKUP(D517,'8. Asegura. de la Calid. y M'!$E:$F,2,FALSE),IFERROR(VLOOKUP(D517,'6. Gestión del Conocimiento'!$E:$F,2,FALSE),IFERROR(VLOOKUP(D517,'15. Gobernabilidad y Proceso...'!$E:$F,2,FALSE),IFERROR(VLOOKUP(D517,'12. Gestión del Talento Humano'!$E:$F,2,FALSE),IFERROR(VLOOKUP(D517,'14. Internacional... de la E.S.'!$E:$F,2,FALSE),IFERROR(VLOOKUP(D517,'10. Posgrado'!$E:$F,2,FALSE),IFERROR(VLOOKUP(D517,'17. Gestión TIC'!$E:$F,2,FALSE),IFERROR(VLOOKUP(D517,'16. Desa. del Sistema Educ.Sup.'!$E:$F,2,FALSE),IFERROR(VLOOKUP(D517,'9. Cultura de Inno. Insti...'!$E:$F,2,FALSE),VLOOKUP(D517,'7. Lo Esencial de la Reforma U.'!$E:$F,2,0)))))))))))))))))</f>
        <v>#N/A</v>
      </c>
      <c r="D518" s="31"/>
      <c r="E518" s="93"/>
      <c r="F518" s="93"/>
      <c r="G518" s="93"/>
      <c r="H518" s="76"/>
      <c r="I518" s="76"/>
      <c r="J518" s="76"/>
      <c r="K518" s="112"/>
    </row>
    <row r="519" spans="3:11" ht="15.75" thickBot="1" x14ac:dyDescent="0.3">
      <c r="F519" s="93"/>
      <c r="G519" s="76"/>
      <c r="H519" s="76"/>
      <c r="I519" s="76"/>
    </row>
    <row r="520" spans="3:11" ht="30.75" thickBot="1" x14ac:dyDescent="0.3">
      <c r="C520" s="129" t="s">
        <v>44</v>
      </c>
      <c r="D520" s="129" t="s">
        <v>55</v>
      </c>
      <c r="E520" s="136" t="s">
        <v>57</v>
      </c>
      <c r="F520" s="135" t="s">
        <v>27</v>
      </c>
      <c r="G520" s="133" t="s">
        <v>131</v>
      </c>
      <c r="H520" s="136" t="s">
        <v>46</v>
      </c>
      <c r="I520" s="133" t="s">
        <v>132</v>
      </c>
      <c r="J520" s="133" t="s">
        <v>410</v>
      </c>
      <c r="K520" s="133" t="s">
        <v>411</v>
      </c>
    </row>
    <row r="521" spans="3:11" x14ac:dyDescent="0.25">
      <c r="C521" s="221" t="s">
        <v>439</v>
      </c>
      <c r="D521" s="222"/>
      <c r="E521" s="220">
        <f>HLOOKUP(C521,$AH$2:$BU$3,2,0)</f>
        <v>620</v>
      </c>
      <c r="F521" s="97">
        <f t="shared" ref="F521:F555" si="22">D521*E521</f>
        <v>0</v>
      </c>
      <c r="G521" s="161"/>
      <c r="H521" s="142"/>
      <c r="I521" s="130" t="e">
        <f>VLOOKUP(H521,Presupuesto!$B$11:$C$565,2,0)</f>
        <v>#N/A</v>
      </c>
      <c r="J521" s="219" t="s">
        <v>1479</v>
      </c>
      <c r="K521" s="98" t="s">
        <v>394</v>
      </c>
    </row>
    <row r="522" spans="3:11" x14ac:dyDescent="0.25">
      <c r="C522" s="141"/>
      <c r="D522" s="158"/>
      <c r="E522" s="123"/>
      <c r="F522" s="97">
        <f t="shared" si="22"/>
        <v>0</v>
      </c>
      <c r="G522" s="161"/>
      <c r="H522" s="142"/>
      <c r="I522" s="130" t="e">
        <f>VLOOKUP(H522,Presupuesto!$B$11:$C$565,2,0)</f>
        <v>#N/A</v>
      </c>
      <c r="J522" s="98" t="str">
        <f>$J$521</f>
        <v>Desarrollo del Sistema de Educación Superior</v>
      </c>
      <c r="K522" s="98" t="s">
        <v>412</v>
      </c>
    </row>
    <row r="523" spans="3:11" x14ac:dyDescent="0.25">
      <c r="C523" s="141"/>
      <c r="D523" s="158"/>
      <c r="E523" s="123"/>
      <c r="F523" s="97">
        <f t="shared" si="22"/>
        <v>0</v>
      </c>
      <c r="G523" s="161"/>
      <c r="H523" s="142"/>
      <c r="I523" s="130" t="e">
        <f>VLOOKUP(H523,Presupuesto!$B$11:$C$565,2,0)</f>
        <v>#N/A</v>
      </c>
      <c r="J523" s="98" t="str">
        <f t="shared" ref="J523:J555" si="23">$J$521</f>
        <v>Desarrollo del Sistema de Educación Superior</v>
      </c>
      <c r="K523" s="98" t="s">
        <v>412</v>
      </c>
    </row>
    <row r="524" spans="3:11" x14ac:dyDescent="0.25">
      <c r="C524" s="141"/>
      <c r="D524" s="158"/>
      <c r="E524" s="123"/>
      <c r="F524" s="97">
        <f t="shared" si="22"/>
        <v>0</v>
      </c>
      <c r="G524" s="161"/>
      <c r="H524" s="142"/>
      <c r="I524" s="130" t="e">
        <f>VLOOKUP(H524,Presupuesto!$B$11:$C$565,2,0)</f>
        <v>#N/A</v>
      </c>
      <c r="J524" s="98" t="str">
        <f t="shared" si="23"/>
        <v>Desarrollo del Sistema de Educación Superior</v>
      </c>
      <c r="K524" s="98" t="s">
        <v>412</v>
      </c>
    </row>
    <row r="525" spans="3:11" x14ac:dyDescent="0.25">
      <c r="C525" s="141"/>
      <c r="D525" s="158"/>
      <c r="E525" s="123"/>
      <c r="F525" s="97">
        <f t="shared" si="22"/>
        <v>0</v>
      </c>
      <c r="G525" s="161"/>
      <c r="H525" s="142"/>
      <c r="I525" s="130" t="e">
        <f>VLOOKUP(H525,Presupuesto!$B$11:$C$565,2,0)</f>
        <v>#N/A</v>
      </c>
      <c r="J525" s="98" t="str">
        <f t="shared" si="23"/>
        <v>Desarrollo del Sistema de Educación Superior</v>
      </c>
      <c r="K525" s="98" t="s">
        <v>412</v>
      </c>
    </row>
    <row r="526" spans="3:11" x14ac:dyDescent="0.25">
      <c r="C526" s="141"/>
      <c r="D526" s="158"/>
      <c r="E526" s="123"/>
      <c r="F526" s="97">
        <f t="shared" si="22"/>
        <v>0</v>
      </c>
      <c r="G526" s="161"/>
      <c r="H526" s="142"/>
      <c r="I526" s="130" t="e">
        <f>VLOOKUP(H526,Presupuesto!$B$11:$C$565,2,0)</f>
        <v>#N/A</v>
      </c>
      <c r="J526" s="98" t="str">
        <f t="shared" si="23"/>
        <v>Desarrollo del Sistema de Educación Superior</v>
      </c>
      <c r="K526" s="98" t="s">
        <v>401</v>
      </c>
    </row>
    <row r="527" spans="3:11" x14ac:dyDescent="0.25">
      <c r="C527" s="141"/>
      <c r="D527" s="158"/>
      <c r="E527" s="123"/>
      <c r="F527" s="97">
        <f t="shared" si="22"/>
        <v>0</v>
      </c>
      <c r="G527" s="161"/>
      <c r="H527" s="142"/>
      <c r="I527" s="130" t="e">
        <f>VLOOKUP(H527,Presupuesto!$B$11:$C$565,2,0)</f>
        <v>#N/A</v>
      </c>
      <c r="J527" s="98" t="str">
        <f t="shared" si="23"/>
        <v>Desarrollo del Sistema de Educación Superior</v>
      </c>
      <c r="K527" s="98" t="s">
        <v>412</v>
      </c>
    </row>
    <row r="528" spans="3:11" x14ac:dyDescent="0.25">
      <c r="C528" s="141"/>
      <c r="D528" s="158"/>
      <c r="E528" s="123"/>
      <c r="F528" s="97">
        <f t="shared" si="22"/>
        <v>0</v>
      </c>
      <c r="G528" s="161"/>
      <c r="H528" s="142"/>
      <c r="I528" s="130" t="e">
        <f>VLOOKUP(H528,Presupuesto!$B$11:$C$565,2,0)</f>
        <v>#N/A</v>
      </c>
      <c r="J528" s="98" t="str">
        <f t="shared" si="23"/>
        <v>Desarrollo del Sistema de Educación Superior</v>
      </c>
      <c r="K528" s="98" t="s">
        <v>412</v>
      </c>
    </row>
    <row r="529" spans="3:11" x14ac:dyDescent="0.25">
      <c r="C529" s="141"/>
      <c r="D529" s="158"/>
      <c r="E529" s="123"/>
      <c r="F529" s="97">
        <f t="shared" si="22"/>
        <v>0</v>
      </c>
      <c r="G529" s="161"/>
      <c r="H529" s="142"/>
      <c r="I529" s="130" t="e">
        <f>VLOOKUP(H529,Presupuesto!$B$11:$C$565,2,0)</f>
        <v>#N/A</v>
      </c>
      <c r="J529" s="98" t="str">
        <f t="shared" si="23"/>
        <v>Desarrollo del Sistema de Educación Superior</v>
      </c>
      <c r="K529" s="98" t="s">
        <v>412</v>
      </c>
    </row>
    <row r="530" spans="3:11" x14ac:dyDescent="0.25">
      <c r="C530" s="141"/>
      <c r="D530" s="158"/>
      <c r="E530" s="123"/>
      <c r="F530" s="97">
        <f t="shared" si="22"/>
        <v>0</v>
      </c>
      <c r="G530" s="161"/>
      <c r="H530" s="142"/>
      <c r="I530" s="130" t="e">
        <f>VLOOKUP(H530,Presupuesto!$B$11:$C$565,2,0)</f>
        <v>#N/A</v>
      </c>
      <c r="J530" s="98" t="str">
        <f t="shared" si="23"/>
        <v>Desarrollo del Sistema de Educación Superior</v>
      </c>
      <c r="K530" s="98" t="s">
        <v>412</v>
      </c>
    </row>
    <row r="531" spans="3:11" x14ac:dyDescent="0.25">
      <c r="C531" s="141"/>
      <c r="D531" s="158"/>
      <c r="E531" s="123"/>
      <c r="F531" s="97">
        <f t="shared" si="22"/>
        <v>0</v>
      </c>
      <c r="G531" s="161"/>
      <c r="H531" s="142"/>
      <c r="I531" s="130" t="e">
        <f>VLOOKUP(H531,Presupuesto!$B$11:$C$565,2,0)</f>
        <v>#N/A</v>
      </c>
      <c r="J531" s="98" t="str">
        <f t="shared" si="23"/>
        <v>Desarrollo del Sistema de Educación Superior</v>
      </c>
      <c r="K531" s="98" t="s">
        <v>412</v>
      </c>
    </row>
    <row r="532" spans="3:11" x14ac:dyDescent="0.25">
      <c r="C532" s="141"/>
      <c r="D532" s="158"/>
      <c r="E532" s="123"/>
      <c r="F532" s="97">
        <f t="shared" si="22"/>
        <v>0</v>
      </c>
      <c r="G532" s="161"/>
      <c r="H532" s="142"/>
      <c r="I532" s="130" t="e">
        <f>VLOOKUP(H532,Presupuesto!$B$11:$C$565,2,0)</f>
        <v>#N/A</v>
      </c>
      <c r="J532" s="98" t="str">
        <f t="shared" si="23"/>
        <v>Desarrollo del Sistema de Educación Superior</v>
      </c>
      <c r="K532" s="98" t="s">
        <v>412</v>
      </c>
    </row>
    <row r="533" spans="3:11" x14ac:dyDescent="0.25">
      <c r="C533" s="141"/>
      <c r="D533" s="158"/>
      <c r="E533" s="123"/>
      <c r="F533" s="97">
        <f t="shared" si="22"/>
        <v>0</v>
      </c>
      <c r="G533" s="161"/>
      <c r="H533" s="142"/>
      <c r="I533" s="130" t="e">
        <f>VLOOKUP(H533,Presupuesto!$B$11:$C$565,2,0)</f>
        <v>#N/A</v>
      </c>
      <c r="J533" s="98" t="str">
        <f t="shared" si="23"/>
        <v>Desarrollo del Sistema de Educación Superior</v>
      </c>
      <c r="K533" s="98" t="s">
        <v>412</v>
      </c>
    </row>
    <row r="534" spans="3:11" x14ac:dyDescent="0.25">
      <c r="C534" s="141"/>
      <c r="D534" s="158"/>
      <c r="E534" s="123"/>
      <c r="F534" s="97">
        <f t="shared" si="22"/>
        <v>0</v>
      </c>
      <c r="G534" s="161"/>
      <c r="H534" s="142"/>
      <c r="I534" s="130" t="e">
        <f>VLOOKUP(H534,Presupuesto!$B$11:$C$565,2,0)</f>
        <v>#N/A</v>
      </c>
      <c r="J534" s="98" t="str">
        <f t="shared" si="23"/>
        <v>Desarrollo del Sistema de Educación Superior</v>
      </c>
      <c r="K534" s="98" t="s">
        <v>412</v>
      </c>
    </row>
    <row r="535" spans="3:11" x14ac:dyDescent="0.25">
      <c r="C535" s="141"/>
      <c r="D535" s="158"/>
      <c r="E535" s="123"/>
      <c r="F535" s="97">
        <f t="shared" si="22"/>
        <v>0</v>
      </c>
      <c r="G535" s="161"/>
      <c r="H535" s="142"/>
      <c r="I535" s="130" t="e">
        <f>VLOOKUP(H535,Presupuesto!$B$11:$C$565,2,0)</f>
        <v>#N/A</v>
      </c>
      <c r="J535" s="98" t="str">
        <f t="shared" si="23"/>
        <v>Desarrollo del Sistema de Educación Superior</v>
      </c>
      <c r="K535" s="98" t="s">
        <v>412</v>
      </c>
    </row>
    <row r="536" spans="3:11" x14ac:dyDescent="0.25">
      <c r="C536" s="141"/>
      <c r="D536" s="158"/>
      <c r="E536" s="123"/>
      <c r="F536" s="97">
        <f t="shared" si="22"/>
        <v>0</v>
      </c>
      <c r="G536" s="161"/>
      <c r="H536" s="142"/>
      <c r="I536" s="130" t="e">
        <f>VLOOKUP(H536,Presupuesto!$B$11:$C$565,2,0)</f>
        <v>#N/A</v>
      </c>
      <c r="J536" s="98" t="str">
        <f t="shared" si="23"/>
        <v>Desarrollo del Sistema de Educación Superior</v>
      </c>
      <c r="K536" s="98" t="s">
        <v>412</v>
      </c>
    </row>
    <row r="537" spans="3:11" x14ac:dyDescent="0.25">
      <c r="C537" s="141"/>
      <c r="D537" s="158"/>
      <c r="E537" s="123"/>
      <c r="F537" s="97">
        <f t="shared" si="22"/>
        <v>0</v>
      </c>
      <c r="G537" s="161"/>
      <c r="H537" s="142"/>
      <c r="I537" s="130" t="e">
        <f>VLOOKUP(H537,Presupuesto!$B$11:$C$565,2,0)</f>
        <v>#N/A</v>
      </c>
      <c r="J537" s="98" t="str">
        <f t="shared" si="23"/>
        <v>Desarrollo del Sistema de Educación Superior</v>
      </c>
      <c r="K537" s="98" t="s">
        <v>412</v>
      </c>
    </row>
    <row r="538" spans="3:11" x14ac:dyDescent="0.25">
      <c r="C538" s="141"/>
      <c r="D538" s="158"/>
      <c r="E538" s="123"/>
      <c r="F538" s="97">
        <f t="shared" si="22"/>
        <v>0</v>
      </c>
      <c r="G538" s="161"/>
      <c r="H538" s="142"/>
      <c r="I538" s="130" t="e">
        <f>VLOOKUP(H538,Presupuesto!$B$11:$C$565,2,0)</f>
        <v>#N/A</v>
      </c>
      <c r="J538" s="98" t="str">
        <f t="shared" si="23"/>
        <v>Desarrollo del Sistema de Educación Superior</v>
      </c>
      <c r="K538" s="98" t="s">
        <v>412</v>
      </c>
    </row>
    <row r="539" spans="3:11" x14ac:dyDescent="0.25">
      <c r="C539" s="141"/>
      <c r="D539" s="158"/>
      <c r="E539" s="123"/>
      <c r="F539" s="97">
        <f t="shared" si="22"/>
        <v>0</v>
      </c>
      <c r="G539" s="161"/>
      <c r="H539" s="142"/>
      <c r="I539" s="130" t="e">
        <f>VLOOKUP(H539,Presupuesto!$B$11:$C$565,2,0)</f>
        <v>#N/A</v>
      </c>
      <c r="J539" s="98" t="str">
        <f t="shared" si="23"/>
        <v>Desarrollo del Sistema de Educación Superior</v>
      </c>
      <c r="K539" s="98" t="s">
        <v>412</v>
      </c>
    </row>
    <row r="540" spans="3:11" x14ac:dyDescent="0.25">
      <c r="C540" s="141"/>
      <c r="D540" s="158"/>
      <c r="E540" s="123"/>
      <c r="F540" s="97">
        <f t="shared" si="22"/>
        <v>0</v>
      </c>
      <c r="G540" s="161"/>
      <c r="H540" s="142"/>
      <c r="I540" s="130" t="e">
        <f>VLOOKUP(H540,Presupuesto!$B$11:$C$565,2,0)</f>
        <v>#N/A</v>
      </c>
      <c r="J540" s="98" t="str">
        <f t="shared" si="23"/>
        <v>Desarrollo del Sistema de Educación Superior</v>
      </c>
      <c r="K540" s="98" t="s">
        <v>412</v>
      </c>
    </row>
    <row r="541" spans="3:11" x14ac:dyDescent="0.25">
      <c r="C541" s="141"/>
      <c r="D541" s="158"/>
      <c r="E541" s="123"/>
      <c r="F541" s="97">
        <f t="shared" si="22"/>
        <v>0</v>
      </c>
      <c r="G541" s="161"/>
      <c r="H541" s="142"/>
      <c r="I541" s="130" t="e">
        <f>VLOOKUP(H541,Presupuesto!$B$11:$C$565,2,0)</f>
        <v>#N/A</v>
      </c>
      <c r="J541" s="98" t="str">
        <f t="shared" si="23"/>
        <v>Desarrollo del Sistema de Educación Superior</v>
      </c>
      <c r="K541" s="98" t="s">
        <v>412</v>
      </c>
    </row>
    <row r="542" spans="3:11" x14ac:dyDescent="0.25">
      <c r="C542" s="141"/>
      <c r="D542" s="158"/>
      <c r="E542" s="123"/>
      <c r="F542" s="97">
        <f t="shared" si="22"/>
        <v>0</v>
      </c>
      <c r="G542" s="161"/>
      <c r="H542" s="142"/>
      <c r="I542" s="130" t="e">
        <f>VLOOKUP(H542,Presupuesto!$B$11:$C$565,2,0)</f>
        <v>#N/A</v>
      </c>
      <c r="J542" s="98" t="str">
        <f t="shared" si="23"/>
        <v>Desarrollo del Sistema de Educación Superior</v>
      </c>
      <c r="K542" s="98" t="s">
        <v>412</v>
      </c>
    </row>
    <row r="543" spans="3:11" x14ac:dyDescent="0.25">
      <c r="C543" s="143"/>
      <c r="D543" s="151"/>
      <c r="E543" s="118"/>
      <c r="F543" s="97">
        <f t="shared" si="22"/>
        <v>0</v>
      </c>
      <c r="G543" s="161"/>
      <c r="H543" s="144"/>
      <c r="I543" s="130" t="e">
        <f>VLOOKUP(H543,Presupuesto!$B$11:$C$565,2,0)</f>
        <v>#N/A</v>
      </c>
      <c r="J543" s="98" t="str">
        <f t="shared" si="23"/>
        <v>Desarrollo del Sistema de Educación Superior</v>
      </c>
      <c r="K543" s="98" t="s">
        <v>412</v>
      </c>
    </row>
    <row r="544" spans="3:11" x14ac:dyDescent="0.25">
      <c r="C544" s="143"/>
      <c r="D544" s="151"/>
      <c r="E544" s="118"/>
      <c r="F544" s="97">
        <f t="shared" si="22"/>
        <v>0</v>
      </c>
      <c r="G544" s="161"/>
      <c r="H544" s="144"/>
      <c r="I544" s="130" t="e">
        <f>VLOOKUP(H544,Presupuesto!$B$11:$C$565,2,0)</f>
        <v>#N/A</v>
      </c>
      <c r="J544" s="98" t="str">
        <f t="shared" si="23"/>
        <v>Desarrollo del Sistema de Educación Superior</v>
      </c>
      <c r="K544" s="98" t="s">
        <v>412</v>
      </c>
    </row>
    <row r="545" spans="3:11" x14ac:dyDescent="0.25">
      <c r="C545" s="143"/>
      <c r="D545" s="151"/>
      <c r="E545" s="118"/>
      <c r="F545" s="97">
        <f t="shared" si="22"/>
        <v>0</v>
      </c>
      <c r="G545" s="161"/>
      <c r="H545" s="144"/>
      <c r="I545" s="130" t="e">
        <f>VLOOKUP(H545,Presupuesto!$B$11:$C$565,2,0)</f>
        <v>#N/A</v>
      </c>
      <c r="J545" s="98" t="str">
        <f t="shared" si="23"/>
        <v>Desarrollo del Sistema de Educación Superior</v>
      </c>
      <c r="K545" s="98" t="s">
        <v>412</v>
      </c>
    </row>
    <row r="546" spans="3:11" x14ac:dyDescent="0.25">
      <c r="C546" s="143"/>
      <c r="D546" s="151"/>
      <c r="E546" s="118"/>
      <c r="F546" s="97">
        <f t="shared" si="22"/>
        <v>0</v>
      </c>
      <c r="G546" s="161"/>
      <c r="H546" s="144"/>
      <c r="I546" s="130" t="e">
        <f>VLOOKUP(H546,Presupuesto!$B$11:$C$565,2,0)</f>
        <v>#N/A</v>
      </c>
      <c r="J546" s="98" t="str">
        <f t="shared" si="23"/>
        <v>Desarrollo del Sistema de Educación Superior</v>
      </c>
      <c r="K546" s="98" t="s">
        <v>412</v>
      </c>
    </row>
    <row r="547" spans="3:11" x14ac:dyDescent="0.25">
      <c r="C547" s="143"/>
      <c r="D547" s="151"/>
      <c r="E547" s="118"/>
      <c r="F547" s="97">
        <f t="shared" si="22"/>
        <v>0</v>
      </c>
      <c r="G547" s="161"/>
      <c r="H547" s="144"/>
      <c r="I547" s="130" t="e">
        <f>VLOOKUP(H547,Presupuesto!$B$11:$C$565,2,0)</f>
        <v>#N/A</v>
      </c>
      <c r="J547" s="98" t="str">
        <f t="shared" si="23"/>
        <v>Desarrollo del Sistema de Educación Superior</v>
      </c>
      <c r="K547" s="98" t="s">
        <v>412</v>
      </c>
    </row>
    <row r="548" spans="3:11" x14ac:dyDescent="0.25">
      <c r="C548" s="143"/>
      <c r="D548" s="151"/>
      <c r="E548" s="118"/>
      <c r="F548" s="97">
        <f t="shared" si="22"/>
        <v>0</v>
      </c>
      <c r="G548" s="161"/>
      <c r="H548" s="144"/>
      <c r="I548" s="130" t="e">
        <f>VLOOKUP(H548,Presupuesto!$B$11:$C$565,2,0)</f>
        <v>#N/A</v>
      </c>
      <c r="J548" s="98" t="str">
        <f t="shared" si="23"/>
        <v>Desarrollo del Sistema de Educación Superior</v>
      </c>
      <c r="K548" s="98" t="s">
        <v>412</v>
      </c>
    </row>
    <row r="549" spans="3:11" x14ac:dyDescent="0.25">
      <c r="C549" s="143"/>
      <c r="D549" s="151"/>
      <c r="E549" s="118"/>
      <c r="F549" s="97">
        <f t="shared" si="22"/>
        <v>0</v>
      </c>
      <c r="G549" s="161"/>
      <c r="H549" s="144"/>
      <c r="I549" s="130" t="e">
        <f>VLOOKUP(H549,Presupuesto!$B$11:$C$565,2,0)</f>
        <v>#N/A</v>
      </c>
      <c r="J549" s="98" t="str">
        <f t="shared" si="23"/>
        <v>Desarrollo del Sistema de Educación Superior</v>
      </c>
      <c r="K549" s="98" t="s">
        <v>412</v>
      </c>
    </row>
    <row r="550" spans="3:11" x14ac:dyDescent="0.25">
      <c r="C550" s="143"/>
      <c r="D550" s="151"/>
      <c r="E550" s="118"/>
      <c r="F550" s="97">
        <f t="shared" si="22"/>
        <v>0</v>
      </c>
      <c r="G550" s="161"/>
      <c r="H550" s="144"/>
      <c r="I550" s="130" t="e">
        <f>VLOOKUP(H550,Presupuesto!$B$11:$C$565,2,0)</f>
        <v>#N/A</v>
      </c>
      <c r="J550" s="98" t="str">
        <f t="shared" si="23"/>
        <v>Desarrollo del Sistema de Educación Superior</v>
      </c>
      <c r="K550" s="98" t="s">
        <v>412</v>
      </c>
    </row>
    <row r="551" spans="3:11" x14ac:dyDescent="0.25">
      <c r="C551" s="145"/>
      <c r="D551" s="151"/>
      <c r="E551" s="118"/>
      <c r="F551" s="97">
        <f t="shared" si="22"/>
        <v>0</v>
      </c>
      <c r="G551" s="161"/>
      <c r="H551" s="146"/>
      <c r="I551" s="130" t="e">
        <f>VLOOKUP(H551,Presupuesto!$B$11:$C$565,2,0)</f>
        <v>#N/A</v>
      </c>
      <c r="J551" s="98" t="str">
        <f t="shared" si="23"/>
        <v>Desarrollo del Sistema de Educación Superior</v>
      </c>
      <c r="K551" s="98" t="s">
        <v>403</v>
      </c>
    </row>
    <row r="552" spans="3:11" x14ac:dyDescent="0.25">
      <c r="C552" s="145"/>
      <c r="D552" s="151"/>
      <c r="E552" s="118"/>
      <c r="F552" s="97">
        <f t="shared" si="22"/>
        <v>0</v>
      </c>
      <c r="G552" s="161"/>
      <c r="H552" s="146"/>
      <c r="I552" s="130" t="e">
        <f>VLOOKUP(H552,Presupuesto!$B$11:$C$565,2,0)</f>
        <v>#N/A</v>
      </c>
      <c r="J552" s="98" t="str">
        <f t="shared" si="23"/>
        <v>Desarrollo del Sistema de Educación Superior</v>
      </c>
      <c r="K552" s="98" t="s">
        <v>412</v>
      </c>
    </row>
    <row r="553" spans="3:11" x14ac:dyDescent="0.25">
      <c r="C553" s="145"/>
      <c r="D553" s="151"/>
      <c r="E553" s="118"/>
      <c r="F553" s="97">
        <f t="shared" si="22"/>
        <v>0</v>
      </c>
      <c r="G553" s="161"/>
      <c r="H553" s="146"/>
      <c r="I553" s="130" t="e">
        <f>VLOOKUP(H553,Presupuesto!$B$11:$C$565,2,0)</f>
        <v>#N/A</v>
      </c>
      <c r="J553" s="98" t="str">
        <f t="shared" si="23"/>
        <v>Desarrollo del Sistema de Educación Superior</v>
      </c>
      <c r="K553" s="98" t="s">
        <v>412</v>
      </c>
    </row>
    <row r="554" spans="3:11" x14ac:dyDescent="0.25">
      <c r="C554" s="145"/>
      <c r="D554" s="151"/>
      <c r="E554" s="118"/>
      <c r="F554" s="97">
        <f t="shared" si="22"/>
        <v>0</v>
      </c>
      <c r="G554" s="161"/>
      <c r="H554" s="146"/>
      <c r="I554" s="130" t="e">
        <f>VLOOKUP(H554,Presupuesto!$B$11:$C$565,2,0)</f>
        <v>#N/A</v>
      </c>
      <c r="J554" s="98" t="str">
        <f t="shared" si="23"/>
        <v>Desarrollo del Sistema de Educación Superior</v>
      </c>
      <c r="K554" s="98" t="s">
        <v>412</v>
      </c>
    </row>
    <row r="555" spans="3:11" ht="15.75" thickBot="1" x14ac:dyDescent="0.3">
      <c r="C555" s="147"/>
      <c r="D555" s="159"/>
      <c r="E555" s="103"/>
      <c r="F555" s="105">
        <f t="shared" si="22"/>
        <v>0</v>
      </c>
      <c r="G555" s="162"/>
      <c r="H555" s="148"/>
      <c r="I555" s="132" t="e">
        <f>VLOOKUP(H555,Presupuesto!$B$11:$C$565,2,0)</f>
        <v>#N/A</v>
      </c>
      <c r="J555" s="106" t="str">
        <f t="shared" si="23"/>
        <v>Desarrollo del Sistema de Educación Superior</v>
      </c>
      <c r="K555" s="124" t="s">
        <v>394</v>
      </c>
    </row>
    <row r="557" spans="3:11" ht="15.75" thickBot="1" x14ac:dyDescent="0.3">
      <c r="F557" s="90"/>
      <c r="G557" s="89"/>
      <c r="H557" s="90"/>
      <c r="I557" s="90"/>
    </row>
    <row r="558" spans="3:11" ht="15.75" thickBot="1" x14ac:dyDescent="0.3">
      <c r="C558" s="157" t="s">
        <v>53</v>
      </c>
      <c r="D558" s="374">
        <f>SUM(F565:F599)</f>
        <v>0</v>
      </c>
      <c r="F558" s="70"/>
      <c r="G558" s="79"/>
      <c r="H558" s="70"/>
      <c r="I558" s="70"/>
    </row>
    <row r="559" spans="3:11" x14ac:dyDescent="0.25">
      <c r="C559" s="70"/>
      <c r="D559" s="31"/>
      <c r="E559" s="93"/>
      <c r="F559" s="93"/>
      <c r="G559" s="93"/>
      <c r="H559" s="76"/>
      <c r="I559" s="76"/>
      <c r="J559" s="76"/>
      <c r="K559" s="112"/>
    </row>
    <row r="560" spans="3:11" x14ac:dyDescent="0.25">
      <c r="C560" s="70"/>
      <c r="D560" s="31"/>
      <c r="E560" s="93"/>
      <c r="F560" s="93"/>
      <c r="G560" s="93"/>
      <c r="H560" s="76"/>
      <c r="I560" s="76"/>
      <c r="J560" s="76"/>
      <c r="K560" s="112"/>
    </row>
    <row r="561" spans="3:11" ht="15.75" x14ac:dyDescent="0.25">
      <c r="C561" s="202" t="s">
        <v>392</v>
      </c>
      <c r="D561" s="370"/>
      <c r="E561" s="93"/>
      <c r="F561" s="93"/>
      <c r="G561" s="93"/>
      <c r="H561" s="76"/>
      <c r="I561" s="76"/>
      <c r="J561" s="76"/>
      <c r="K561" s="112"/>
    </row>
    <row r="562" spans="3:11" ht="18.75" x14ac:dyDescent="0.25">
      <c r="C562" s="211" t="e">
        <f>IFERROR(VLOOKUP(D561,'1. Desarrollo e Innov. Curricu.'!$E:$F,2,FALSE),IFERROR(VLOOKUP(D561,'2. Investigación Científica'!$E:$F,2,FALSE),IFERROR(VLOOKUP(D561,'3. Vinculación Univ. Sociedad'!$E:$F,2,FALSE),IFERROR(VLOOKUP(D561,'4. Docencia y Profesorado Univ.'!$E:$F,2,FALSE),IFERROR(VLOOKUP(D561,'5. Estudiantes y Graduados'!$E:$F,2,FALSE),IFERROR(VLOOKUP(D561,'11. Gestion Administrativa'!$E:$F,2,FALSE),IFERROR(VLOOKUP(D561,'13. Gestión Académica'!$E:$F,2,FALSE),IFERROR(VLOOKUP(D561,'8. Asegura. de la Calid. y M'!$E:$F,2,FALSE),IFERROR(VLOOKUP(D561,'6. Gestión del Conocimiento'!$E:$F,2,FALSE),IFERROR(VLOOKUP(D561,'15. Gobernabilidad y Proceso...'!$E:$F,2,FALSE),IFERROR(VLOOKUP(D561,'12. Gestión del Talento Humano'!$E:$F,2,FALSE),IFERROR(VLOOKUP(D561,'14. Internacional... de la E.S.'!$E:$F,2,FALSE),IFERROR(VLOOKUP(D561,'10. Posgrado'!$E:$F,2,FALSE),IFERROR(VLOOKUP(D561,'17. Gestión TIC'!$E:$F,2,FALSE),IFERROR(VLOOKUP(D561,'16. Desa. del Sistema Educ.Sup.'!$E:$F,2,FALSE),IFERROR(VLOOKUP(D561,'9. Cultura de Inno. Insti...'!$E:$F,2,FALSE),VLOOKUP(D561,'7. Lo Esencial de la Reforma U.'!$E:$F,2,0)))))))))))))))))</f>
        <v>#N/A</v>
      </c>
      <c r="D562" s="31"/>
      <c r="E562" s="93"/>
      <c r="F562" s="93"/>
      <c r="G562" s="93"/>
      <c r="H562" s="76"/>
      <c r="I562" s="76"/>
      <c r="J562" s="76"/>
      <c r="K562" s="112"/>
    </row>
    <row r="563" spans="3:11" ht="15.75" thickBot="1" x14ac:dyDescent="0.3">
      <c r="F563" s="93"/>
      <c r="G563" s="76"/>
      <c r="H563" s="76"/>
      <c r="I563" s="76"/>
    </row>
    <row r="564" spans="3:11" ht="30.75" thickBot="1" x14ac:dyDescent="0.3">
      <c r="C564" s="129" t="s">
        <v>44</v>
      </c>
      <c r="D564" s="129" t="s">
        <v>55</v>
      </c>
      <c r="E564" s="136" t="s">
        <v>57</v>
      </c>
      <c r="F564" s="135" t="s">
        <v>27</v>
      </c>
      <c r="G564" s="133" t="s">
        <v>131</v>
      </c>
      <c r="H564" s="136" t="s">
        <v>46</v>
      </c>
      <c r="I564" s="133" t="s">
        <v>132</v>
      </c>
      <c r="J564" s="133" t="s">
        <v>410</v>
      </c>
      <c r="K564" s="133" t="s">
        <v>411</v>
      </c>
    </row>
    <row r="565" spans="3:11" x14ac:dyDescent="0.25">
      <c r="C565" s="221" t="s">
        <v>439</v>
      </c>
      <c r="D565" s="222"/>
      <c r="E565" s="220">
        <f>HLOOKUP(C565,$AH$2:$BU$3,2,0)</f>
        <v>620</v>
      </c>
      <c r="F565" s="97">
        <f t="shared" ref="F565:F599" si="24">D565*E565</f>
        <v>0</v>
      </c>
      <c r="G565" s="161"/>
      <c r="H565" s="142"/>
      <c r="I565" s="130" t="e">
        <f>VLOOKUP(H565,Presupuesto!$B$11:$C$565,2,0)</f>
        <v>#N/A</v>
      </c>
      <c r="J565" s="219" t="s">
        <v>1479</v>
      </c>
      <c r="K565" s="98" t="s">
        <v>394</v>
      </c>
    </row>
    <row r="566" spans="3:11" x14ac:dyDescent="0.25">
      <c r="C566" s="141"/>
      <c r="D566" s="158"/>
      <c r="E566" s="123"/>
      <c r="F566" s="97">
        <f t="shared" si="24"/>
        <v>0</v>
      </c>
      <c r="G566" s="161"/>
      <c r="H566" s="142"/>
      <c r="I566" s="130" t="e">
        <f>VLOOKUP(H566,Presupuesto!$B$11:$C$565,2,0)</f>
        <v>#N/A</v>
      </c>
      <c r="J566" s="98" t="str">
        <f>$J$565</f>
        <v>Desarrollo del Sistema de Educación Superior</v>
      </c>
      <c r="K566" s="98" t="s">
        <v>412</v>
      </c>
    </row>
    <row r="567" spans="3:11" x14ac:dyDescent="0.25">
      <c r="C567" s="141"/>
      <c r="D567" s="158"/>
      <c r="E567" s="123"/>
      <c r="F567" s="97">
        <f t="shared" si="24"/>
        <v>0</v>
      </c>
      <c r="G567" s="161"/>
      <c r="H567" s="142"/>
      <c r="I567" s="130" t="e">
        <f>VLOOKUP(H567,Presupuesto!$B$11:$C$565,2,0)</f>
        <v>#N/A</v>
      </c>
      <c r="J567" s="98" t="str">
        <f t="shared" ref="J567:J599" si="25">$J$565</f>
        <v>Desarrollo del Sistema de Educación Superior</v>
      </c>
      <c r="K567" s="98" t="s">
        <v>412</v>
      </c>
    </row>
    <row r="568" spans="3:11" x14ac:dyDescent="0.25">
      <c r="C568" s="141"/>
      <c r="D568" s="158"/>
      <c r="E568" s="123"/>
      <c r="F568" s="97">
        <f t="shared" si="24"/>
        <v>0</v>
      </c>
      <c r="G568" s="161"/>
      <c r="H568" s="142"/>
      <c r="I568" s="130" t="e">
        <f>VLOOKUP(H568,Presupuesto!$B$11:$C$565,2,0)</f>
        <v>#N/A</v>
      </c>
      <c r="J568" s="98" t="str">
        <f t="shared" si="25"/>
        <v>Desarrollo del Sistema de Educación Superior</v>
      </c>
      <c r="K568" s="98" t="s">
        <v>412</v>
      </c>
    </row>
    <row r="569" spans="3:11" x14ac:dyDescent="0.25">
      <c r="C569" s="141"/>
      <c r="D569" s="158"/>
      <c r="E569" s="123"/>
      <c r="F569" s="97">
        <f t="shared" si="24"/>
        <v>0</v>
      </c>
      <c r="G569" s="161"/>
      <c r="H569" s="142"/>
      <c r="I569" s="130" t="e">
        <f>VLOOKUP(H569,Presupuesto!$B$11:$C$565,2,0)</f>
        <v>#N/A</v>
      </c>
      <c r="J569" s="98" t="str">
        <f t="shared" si="25"/>
        <v>Desarrollo del Sistema de Educación Superior</v>
      </c>
      <c r="K569" s="98" t="s">
        <v>412</v>
      </c>
    </row>
    <row r="570" spans="3:11" x14ac:dyDescent="0.25">
      <c r="C570" s="141"/>
      <c r="D570" s="158"/>
      <c r="E570" s="123"/>
      <c r="F570" s="97">
        <f t="shared" si="24"/>
        <v>0</v>
      </c>
      <c r="G570" s="161"/>
      <c r="H570" s="142"/>
      <c r="I570" s="130" t="e">
        <f>VLOOKUP(H570,Presupuesto!$B$11:$C$565,2,0)</f>
        <v>#N/A</v>
      </c>
      <c r="J570" s="98" t="str">
        <f t="shared" si="25"/>
        <v>Desarrollo del Sistema de Educación Superior</v>
      </c>
      <c r="K570" s="98" t="s">
        <v>401</v>
      </c>
    </row>
    <row r="571" spans="3:11" x14ac:dyDescent="0.25">
      <c r="C571" s="141"/>
      <c r="D571" s="158"/>
      <c r="E571" s="123"/>
      <c r="F571" s="97">
        <f t="shared" si="24"/>
        <v>0</v>
      </c>
      <c r="G571" s="161"/>
      <c r="H571" s="142"/>
      <c r="I571" s="130" t="e">
        <f>VLOOKUP(H571,Presupuesto!$B$11:$C$565,2,0)</f>
        <v>#N/A</v>
      </c>
      <c r="J571" s="98" t="str">
        <f t="shared" si="25"/>
        <v>Desarrollo del Sistema de Educación Superior</v>
      </c>
      <c r="K571" s="98" t="s">
        <v>412</v>
      </c>
    </row>
    <row r="572" spans="3:11" x14ac:dyDescent="0.25">
      <c r="C572" s="141"/>
      <c r="D572" s="158"/>
      <c r="E572" s="123"/>
      <c r="F572" s="97">
        <f t="shared" si="24"/>
        <v>0</v>
      </c>
      <c r="G572" s="161"/>
      <c r="H572" s="142"/>
      <c r="I572" s="130" t="e">
        <f>VLOOKUP(H572,Presupuesto!$B$11:$C$565,2,0)</f>
        <v>#N/A</v>
      </c>
      <c r="J572" s="98" t="str">
        <f t="shared" si="25"/>
        <v>Desarrollo del Sistema de Educación Superior</v>
      </c>
      <c r="K572" s="98" t="s">
        <v>412</v>
      </c>
    </row>
    <row r="573" spans="3:11" x14ac:dyDescent="0.25">
      <c r="C573" s="141"/>
      <c r="D573" s="158"/>
      <c r="E573" s="123"/>
      <c r="F573" s="97">
        <f t="shared" si="24"/>
        <v>0</v>
      </c>
      <c r="G573" s="161"/>
      <c r="H573" s="142"/>
      <c r="I573" s="130" t="e">
        <f>VLOOKUP(H573,Presupuesto!$B$11:$C$565,2,0)</f>
        <v>#N/A</v>
      </c>
      <c r="J573" s="98" t="str">
        <f t="shared" si="25"/>
        <v>Desarrollo del Sistema de Educación Superior</v>
      </c>
      <c r="K573" s="98" t="s">
        <v>412</v>
      </c>
    </row>
    <row r="574" spans="3:11" x14ac:dyDescent="0.25">
      <c r="C574" s="141"/>
      <c r="D574" s="158"/>
      <c r="E574" s="123"/>
      <c r="F574" s="97">
        <f t="shared" si="24"/>
        <v>0</v>
      </c>
      <c r="G574" s="161"/>
      <c r="H574" s="142"/>
      <c r="I574" s="130" t="e">
        <f>VLOOKUP(H574,Presupuesto!$B$11:$C$565,2,0)</f>
        <v>#N/A</v>
      </c>
      <c r="J574" s="98" t="str">
        <f t="shared" si="25"/>
        <v>Desarrollo del Sistema de Educación Superior</v>
      </c>
      <c r="K574" s="98" t="s">
        <v>412</v>
      </c>
    </row>
    <row r="575" spans="3:11" x14ac:dyDescent="0.25">
      <c r="C575" s="141"/>
      <c r="D575" s="158"/>
      <c r="E575" s="123"/>
      <c r="F575" s="97">
        <f t="shared" si="24"/>
        <v>0</v>
      </c>
      <c r="G575" s="161"/>
      <c r="H575" s="142"/>
      <c r="I575" s="130" t="e">
        <f>VLOOKUP(H575,Presupuesto!$B$11:$C$565,2,0)</f>
        <v>#N/A</v>
      </c>
      <c r="J575" s="98" t="str">
        <f t="shared" si="25"/>
        <v>Desarrollo del Sistema de Educación Superior</v>
      </c>
      <c r="K575" s="98" t="s">
        <v>412</v>
      </c>
    </row>
    <row r="576" spans="3:11" x14ac:dyDescent="0.25">
      <c r="C576" s="141"/>
      <c r="D576" s="158"/>
      <c r="E576" s="123"/>
      <c r="F576" s="97">
        <f t="shared" si="24"/>
        <v>0</v>
      </c>
      <c r="G576" s="161"/>
      <c r="H576" s="142"/>
      <c r="I576" s="130" t="e">
        <f>VLOOKUP(H576,Presupuesto!$B$11:$C$565,2,0)</f>
        <v>#N/A</v>
      </c>
      <c r="J576" s="98" t="str">
        <f t="shared" si="25"/>
        <v>Desarrollo del Sistema de Educación Superior</v>
      </c>
      <c r="K576" s="98" t="s">
        <v>412</v>
      </c>
    </row>
    <row r="577" spans="3:11" x14ac:dyDescent="0.25">
      <c r="C577" s="141"/>
      <c r="D577" s="158"/>
      <c r="E577" s="123"/>
      <c r="F577" s="97">
        <f t="shared" si="24"/>
        <v>0</v>
      </c>
      <c r="G577" s="161"/>
      <c r="H577" s="142"/>
      <c r="I577" s="130" t="e">
        <f>VLOOKUP(H577,Presupuesto!$B$11:$C$565,2,0)</f>
        <v>#N/A</v>
      </c>
      <c r="J577" s="98" t="str">
        <f t="shared" si="25"/>
        <v>Desarrollo del Sistema de Educación Superior</v>
      </c>
      <c r="K577" s="98" t="s">
        <v>412</v>
      </c>
    </row>
    <row r="578" spans="3:11" x14ac:dyDescent="0.25">
      <c r="C578" s="141"/>
      <c r="D578" s="158"/>
      <c r="E578" s="123"/>
      <c r="F578" s="97">
        <f t="shared" si="24"/>
        <v>0</v>
      </c>
      <c r="G578" s="161"/>
      <c r="H578" s="142"/>
      <c r="I578" s="130" t="e">
        <f>VLOOKUP(H578,Presupuesto!$B$11:$C$565,2,0)</f>
        <v>#N/A</v>
      </c>
      <c r="J578" s="98" t="str">
        <f t="shared" si="25"/>
        <v>Desarrollo del Sistema de Educación Superior</v>
      </c>
      <c r="K578" s="98" t="s">
        <v>412</v>
      </c>
    </row>
    <row r="579" spans="3:11" x14ac:dyDescent="0.25">
      <c r="C579" s="141"/>
      <c r="D579" s="158"/>
      <c r="E579" s="123"/>
      <c r="F579" s="97">
        <f t="shared" si="24"/>
        <v>0</v>
      </c>
      <c r="G579" s="161"/>
      <c r="H579" s="142"/>
      <c r="I579" s="130" t="e">
        <f>VLOOKUP(H579,Presupuesto!$B$11:$C$565,2,0)</f>
        <v>#N/A</v>
      </c>
      <c r="J579" s="98" t="str">
        <f t="shared" si="25"/>
        <v>Desarrollo del Sistema de Educación Superior</v>
      </c>
      <c r="K579" s="98" t="s">
        <v>412</v>
      </c>
    </row>
    <row r="580" spans="3:11" x14ac:dyDescent="0.25">
      <c r="C580" s="141"/>
      <c r="D580" s="158"/>
      <c r="E580" s="123"/>
      <c r="F580" s="97">
        <f t="shared" si="24"/>
        <v>0</v>
      </c>
      <c r="G580" s="161"/>
      <c r="H580" s="142"/>
      <c r="I580" s="130" t="e">
        <f>VLOOKUP(H580,Presupuesto!$B$11:$C$565,2,0)</f>
        <v>#N/A</v>
      </c>
      <c r="J580" s="98" t="str">
        <f t="shared" si="25"/>
        <v>Desarrollo del Sistema de Educación Superior</v>
      </c>
      <c r="K580" s="98" t="s">
        <v>412</v>
      </c>
    </row>
    <row r="581" spans="3:11" x14ac:dyDescent="0.25">
      <c r="C581" s="141"/>
      <c r="D581" s="158"/>
      <c r="E581" s="123"/>
      <c r="F581" s="97">
        <f t="shared" si="24"/>
        <v>0</v>
      </c>
      <c r="G581" s="161"/>
      <c r="H581" s="142"/>
      <c r="I581" s="130" t="e">
        <f>VLOOKUP(H581,Presupuesto!$B$11:$C$565,2,0)</f>
        <v>#N/A</v>
      </c>
      <c r="J581" s="98" t="str">
        <f t="shared" si="25"/>
        <v>Desarrollo del Sistema de Educación Superior</v>
      </c>
      <c r="K581" s="98" t="s">
        <v>412</v>
      </c>
    </row>
    <row r="582" spans="3:11" x14ac:dyDescent="0.25">
      <c r="C582" s="141"/>
      <c r="D582" s="158"/>
      <c r="E582" s="123"/>
      <c r="F582" s="97">
        <f t="shared" si="24"/>
        <v>0</v>
      </c>
      <c r="G582" s="161"/>
      <c r="H582" s="142"/>
      <c r="I582" s="130" t="e">
        <f>VLOOKUP(H582,Presupuesto!$B$11:$C$565,2,0)</f>
        <v>#N/A</v>
      </c>
      <c r="J582" s="98" t="str">
        <f t="shared" si="25"/>
        <v>Desarrollo del Sistema de Educación Superior</v>
      </c>
      <c r="K582" s="98" t="s">
        <v>412</v>
      </c>
    </row>
    <row r="583" spans="3:11" x14ac:dyDescent="0.25">
      <c r="C583" s="141"/>
      <c r="D583" s="158"/>
      <c r="E583" s="123"/>
      <c r="F583" s="97">
        <f t="shared" si="24"/>
        <v>0</v>
      </c>
      <c r="G583" s="161"/>
      <c r="H583" s="142"/>
      <c r="I583" s="130" t="e">
        <f>VLOOKUP(H583,Presupuesto!$B$11:$C$565,2,0)</f>
        <v>#N/A</v>
      </c>
      <c r="J583" s="98" t="str">
        <f t="shared" si="25"/>
        <v>Desarrollo del Sistema de Educación Superior</v>
      </c>
      <c r="K583" s="98" t="s">
        <v>412</v>
      </c>
    </row>
    <row r="584" spans="3:11" x14ac:dyDescent="0.25">
      <c r="C584" s="141"/>
      <c r="D584" s="158"/>
      <c r="E584" s="123"/>
      <c r="F584" s="97">
        <f t="shared" si="24"/>
        <v>0</v>
      </c>
      <c r="G584" s="161"/>
      <c r="H584" s="142"/>
      <c r="I584" s="130" t="e">
        <f>VLOOKUP(H584,Presupuesto!$B$11:$C$565,2,0)</f>
        <v>#N/A</v>
      </c>
      <c r="J584" s="98" t="str">
        <f t="shared" si="25"/>
        <v>Desarrollo del Sistema de Educación Superior</v>
      </c>
      <c r="K584" s="98" t="s">
        <v>412</v>
      </c>
    </row>
    <row r="585" spans="3:11" x14ac:dyDescent="0.25">
      <c r="C585" s="141"/>
      <c r="D585" s="158"/>
      <c r="E585" s="123"/>
      <c r="F585" s="97">
        <f t="shared" si="24"/>
        <v>0</v>
      </c>
      <c r="G585" s="161"/>
      <c r="H585" s="142"/>
      <c r="I585" s="130" t="e">
        <f>VLOOKUP(H585,Presupuesto!$B$11:$C$565,2,0)</f>
        <v>#N/A</v>
      </c>
      <c r="J585" s="98" t="str">
        <f t="shared" si="25"/>
        <v>Desarrollo del Sistema de Educación Superior</v>
      </c>
      <c r="K585" s="98" t="s">
        <v>412</v>
      </c>
    </row>
    <row r="586" spans="3:11" x14ac:dyDescent="0.25">
      <c r="C586" s="141"/>
      <c r="D586" s="158"/>
      <c r="E586" s="123"/>
      <c r="F586" s="97">
        <f t="shared" si="24"/>
        <v>0</v>
      </c>
      <c r="G586" s="161"/>
      <c r="H586" s="142"/>
      <c r="I586" s="130" t="e">
        <f>VLOOKUP(H586,Presupuesto!$B$11:$C$565,2,0)</f>
        <v>#N/A</v>
      </c>
      <c r="J586" s="98" t="str">
        <f t="shared" si="25"/>
        <v>Desarrollo del Sistema de Educación Superior</v>
      </c>
      <c r="K586" s="98" t="s">
        <v>412</v>
      </c>
    </row>
    <row r="587" spans="3:11" x14ac:dyDescent="0.25">
      <c r="C587" s="143"/>
      <c r="D587" s="151"/>
      <c r="E587" s="118"/>
      <c r="F587" s="97">
        <f t="shared" si="24"/>
        <v>0</v>
      </c>
      <c r="G587" s="161"/>
      <c r="H587" s="144"/>
      <c r="I587" s="130" t="e">
        <f>VLOOKUP(H587,Presupuesto!$B$11:$C$565,2,0)</f>
        <v>#N/A</v>
      </c>
      <c r="J587" s="98" t="str">
        <f t="shared" si="25"/>
        <v>Desarrollo del Sistema de Educación Superior</v>
      </c>
      <c r="K587" s="98" t="s">
        <v>412</v>
      </c>
    </row>
    <row r="588" spans="3:11" x14ac:dyDescent="0.25">
      <c r="C588" s="143"/>
      <c r="D588" s="151"/>
      <c r="E588" s="118"/>
      <c r="F588" s="97">
        <f t="shared" si="24"/>
        <v>0</v>
      </c>
      <c r="G588" s="161"/>
      <c r="H588" s="144"/>
      <c r="I588" s="130" t="e">
        <f>VLOOKUP(H588,Presupuesto!$B$11:$C$565,2,0)</f>
        <v>#N/A</v>
      </c>
      <c r="J588" s="98" t="str">
        <f t="shared" si="25"/>
        <v>Desarrollo del Sistema de Educación Superior</v>
      </c>
      <c r="K588" s="98" t="s">
        <v>412</v>
      </c>
    </row>
    <row r="589" spans="3:11" x14ac:dyDescent="0.25">
      <c r="C589" s="143"/>
      <c r="D589" s="151"/>
      <c r="E589" s="118"/>
      <c r="F589" s="97">
        <f t="shared" si="24"/>
        <v>0</v>
      </c>
      <c r="G589" s="161"/>
      <c r="H589" s="144"/>
      <c r="I589" s="130" t="e">
        <f>VLOOKUP(H589,Presupuesto!$B$11:$C$565,2,0)</f>
        <v>#N/A</v>
      </c>
      <c r="J589" s="98" t="str">
        <f t="shared" si="25"/>
        <v>Desarrollo del Sistema de Educación Superior</v>
      </c>
      <c r="K589" s="98" t="s">
        <v>412</v>
      </c>
    </row>
    <row r="590" spans="3:11" x14ac:dyDescent="0.25">
      <c r="C590" s="143"/>
      <c r="D590" s="151"/>
      <c r="E590" s="118"/>
      <c r="F590" s="97">
        <f t="shared" si="24"/>
        <v>0</v>
      </c>
      <c r="G590" s="161"/>
      <c r="H590" s="144"/>
      <c r="I590" s="130" t="e">
        <f>VLOOKUP(H590,Presupuesto!$B$11:$C$565,2,0)</f>
        <v>#N/A</v>
      </c>
      <c r="J590" s="98" t="str">
        <f t="shared" si="25"/>
        <v>Desarrollo del Sistema de Educación Superior</v>
      </c>
      <c r="K590" s="98" t="s">
        <v>412</v>
      </c>
    </row>
    <row r="591" spans="3:11" x14ac:dyDescent="0.25">
      <c r="C591" s="143"/>
      <c r="D591" s="151"/>
      <c r="E591" s="118"/>
      <c r="F591" s="97">
        <f t="shared" si="24"/>
        <v>0</v>
      </c>
      <c r="G591" s="161"/>
      <c r="H591" s="144"/>
      <c r="I591" s="130" t="e">
        <f>VLOOKUP(H591,Presupuesto!$B$11:$C$565,2,0)</f>
        <v>#N/A</v>
      </c>
      <c r="J591" s="98" t="str">
        <f t="shared" si="25"/>
        <v>Desarrollo del Sistema de Educación Superior</v>
      </c>
      <c r="K591" s="98" t="s">
        <v>412</v>
      </c>
    </row>
    <row r="592" spans="3:11" x14ac:dyDescent="0.25">
      <c r="C592" s="143"/>
      <c r="D592" s="151"/>
      <c r="E592" s="118"/>
      <c r="F592" s="97">
        <f t="shared" si="24"/>
        <v>0</v>
      </c>
      <c r="G592" s="161"/>
      <c r="H592" s="144"/>
      <c r="I592" s="130" t="e">
        <f>VLOOKUP(H592,Presupuesto!$B$11:$C$565,2,0)</f>
        <v>#N/A</v>
      </c>
      <c r="J592" s="98" t="str">
        <f t="shared" si="25"/>
        <v>Desarrollo del Sistema de Educación Superior</v>
      </c>
      <c r="K592" s="98" t="s">
        <v>412</v>
      </c>
    </row>
    <row r="593" spans="3:11" x14ac:dyDescent="0.25">
      <c r="C593" s="143"/>
      <c r="D593" s="151"/>
      <c r="E593" s="118"/>
      <c r="F593" s="97">
        <f t="shared" si="24"/>
        <v>0</v>
      </c>
      <c r="G593" s="161"/>
      <c r="H593" s="144"/>
      <c r="I593" s="130" t="e">
        <f>VLOOKUP(H593,Presupuesto!$B$11:$C$565,2,0)</f>
        <v>#N/A</v>
      </c>
      <c r="J593" s="98" t="str">
        <f t="shared" si="25"/>
        <v>Desarrollo del Sistema de Educación Superior</v>
      </c>
      <c r="K593" s="98" t="s">
        <v>412</v>
      </c>
    </row>
    <row r="594" spans="3:11" x14ac:dyDescent="0.25">
      <c r="C594" s="143"/>
      <c r="D594" s="151"/>
      <c r="E594" s="118"/>
      <c r="F594" s="97">
        <f t="shared" si="24"/>
        <v>0</v>
      </c>
      <c r="G594" s="161"/>
      <c r="H594" s="144"/>
      <c r="I594" s="130" t="e">
        <f>VLOOKUP(H594,Presupuesto!$B$11:$C$565,2,0)</f>
        <v>#N/A</v>
      </c>
      <c r="J594" s="98" t="str">
        <f t="shared" si="25"/>
        <v>Desarrollo del Sistema de Educación Superior</v>
      </c>
      <c r="K594" s="98" t="s">
        <v>412</v>
      </c>
    </row>
    <row r="595" spans="3:11" x14ac:dyDescent="0.25">
      <c r="C595" s="145"/>
      <c r="D595" s="151"/>
      <c r="E595" s="118"/>
      <c r="F595" s="97">
        <f t="shared" si="24"/>
        <v>0</v>
      </c>
      <c r="G595" s="161"/>
      <c r="H595" s="146"/>
      <c r="I595" s="130" t="e">
        <f>VLOOKUP(H595,Presupuesto!$B$11:$C$565,2,0)</f>
        <v>#N/A</v>
      </c>
      <c r="J595" s="98" t="str">
        <f t="shared" si="25"/>
        <v>Desarrollo del Sistema de Educación Superior</v>
      </c>
      <c r="K595" s="98" t="s">
        <v>403</v>
      </c>
    </row>
    <row r="596" spans="3:11" x14ac:dyDescent="0.25">
      <c r="C596" s="145"/>
      <c r="D596" s="151"/>
      <c r="E596" s="118"/>
      <c r="F596" s="97">
        <f t="shared" si="24"/>
        <v>0</v>
      </c>
      <c r="G596" s="161"/>
      <c r="H596" s="146"/>
      <c r="I596" s="130" t="e">
        <f>VLOOKUP(H596,Presupuesto!$B$11:$C$565,2,0)</f>
        <v>#N/A</v>
      </c>
      <c r="J596" s="98" t="str">
        <f t="shared" si="25"/>
        <v>Desarrollo del Sistema de Educación Superior</v>
      </c>
      <c r="K596" s="98" t="s">
        <v>412</v>
      </c>
    </row>
    <row r="597" spans="3:11" x14ac:dyDescent="0.25">
      <c r="C597" s="145"/>
      <c r="D597" s="151"/>
      <c r="E597" s="118"/>
      <c r="F597" s="97">
        <f t="shared" si="24"/>
        <v>0</v>
      </c>
      <c r="G597" s="161"/>
      <c r="H597" s="146"/>
      <c r="I597" s="130" t="e">
        <f>VLOOKUP(H597,Presupuesto!$B$11:$C$565,2,0)</f>
        <v>#N/A</v>
      </c>
      <c r="J597" s="98" t="str">
        <f t="shared" si="25"/>
        <v>Desarrollo del Sistema de Educación Superior</v>
      </c>
      <c r="K597" s="98" t="s">
        <v>412</v>
      </c>
    </row>
    <row r="598" spans="3:11" x14ac:dyDescent="0.25">
      <c r="C598" s="145"/>
      <c r="D598" s="151"/>
      <c r="E598" s="118"/>
      <c r="F598" s="97">
        <f t="shared" si="24"/>
        <v>0</v>
      </c>
      <c r="G598" s="161"/>
      <c r="H598" s="146"/>
      <c r="I598" s="130" t="e">
        <f>VLOOKUP(H598,Presupuesto!$B$11:$C$565,2,0)</f>
        <v>#N/A</v>
      </c>
      <c r="J598" s="98" t="str">
        <f t="shared" si="25"/>
        <v>Desarrollo del Sistema de Educación Superior</v>
      </c>
      <c r="K598" s="98" t="s">
        <v>412</v>
      </c>
    </row>
    <row r="599" spans="3:11" ht="15.75" thickBot="1" x14ac:dyDescent="0.3">
      <c r="C599" s="147"/>
      <c r="D599" s="159"/>
      <c r="E599" s="103"/>
      <c r="F599" s="105">
        <f t="shared" si="24"/>
        <v>0</v>
      </c>
      <c r="G599" s="162"/>
      <c r="H599" s="148"/>
      <c r="I599" s="132" t="e">
        <f>VLOOKUP(H599,Presupuesto!$B$11:$C$565,2,0)</f>
        <v>#N/A</v>
      </c>
      <c r="J599" s="106" t="str">
        <f t="shared" si="25"/>
        <v>Desarrollo del Sistema de Educación Superior</v>
      </c>
      <c r="K599" s="124" t="s">
        <v>394</v>
      </c>
    </row>
    <row r="601" spans="3:11" ht="15.75" thickBot="1" x14ac:dyDescent="0.3"/>
    <row r="602" spans="3:11" ht="15.75" thickBot="1" x14ac:dyDescent="0.3">
      <c r="C602" s="157" t="s">
        <v>53</v>
      </c>
      <c r="D602" s="374">
        <f>SUM(F609:F643)</f>
        <v>0</v>
      </c>
      <c r="F602" s="70"/>
      <c r="G602" s="79"/>
      <c r="H602" s="70"/>
      <c r="I602" s="70"/>
    </row>
    <row r="603" spans="3:11" x14ac:dyDescent="0.25">
      <c r="C603" s="70"/>
      <c r="D603" s="31"/>
      <c r="E603" s="93"/>
      <c r="F603" s="93"/>
      <c r="G603" s="93"/>
      <c r="H603" s="76"/>
      <c r="I603" s="76"/>
      <c r="J603" s="76"/>
      <c r="K603" s="112"/>
    </row>
    <row r="604" spans="3:11" x14ac:dyDescent="0.25">
      <c r="C604" s="70"/>
      <c r="D604" s="31"/>
      <c r="E604" s="93"/>
      <c r="F604" s="93"/>
      <c r="G604" s="93"/>
      <c r="H604" s="76"/>
      <c r="I604" s="76"/>
      <c r="J604" s="76"/>
      <c r="K604" s="112"/>
    </row>
    <row r="605" spans="3:11" ht="15.75" x14ac:dyDescent="0.25">
      <c r="C605" s="202" t="s">
        <v>392</v>
      </c>
      <c r="D605" s="370"/>
      <c r="E605" s="93"/>
      <c r="F605" s="93"/>
      <c r="G605" s="93"/>
      <c r="H605" s="76"/>
      <c r="I605" s="76"/>
      <c r="J605" s="76"/>
      <c r="K605" s="112"/>
    </row>
    <row r="606" spans="3:11" ht="18.75" x14ac:dyDescent="0.25">
      <c r="C606" s="211" t="e">
        <f>IFERROR(VLOOKUP(D605,'1. Desarrollo e Innov. Curricu.'!$E:$F,2,FALSE),IFERROR(VLOOKUP(D605,'2. Investigación Científica'!$E:$F,2,FALSE),IFERROR(VLOOKUP(D605,'3. Vinculación Univ. Sociedad'!$E:$F,2,FALSE),IFERROR(VLOOKUP(D605,'4. Docencia y Profesorado Univ.'!$E:$F,2,FALSE),IFERROR(VLOOKUP(D605,'5. Estudiantes y Graduados'!$E:$F,2,FALSE),IFERROR(VLOOKUP(D605,'11. Gestion Administrativa'!$E:$F,2,FALSE),IFERROR(VLOOKUP(D605,'13. Gestión Académica'!$E:$F,2,FALSE),IFERROR(VLOOKUP(D605,'8. Asegura. de la Calid. y M'!$E:$F,2,FALSE),IFERROR(VLOOKUP(D605,'6. Gestión del Conocimiento'!$E:$F,2,FALSE),IFERROR(VLOOKUP(D605,'15. Gobernabilidad y Proceso...'!$E:$F,2,FALSE),IFERROR(VLOOKUP(D605,'12. Gestión del Talento Humano'!$E:$F,2,FALSE),IFERROR(VLOOKUP(D605,'14. Internacional... de la E.S.'!$E:$F,2,FALSE),IFERROR(VLOOKUP(D605,'10. Posgrado'!$E:$F,2,FALSE),IFERROR(VLOOKUP(D605,'17. Gestión TIC'!$E:$F,2,FALSE),IFERROR(VLOOKUP(D605,'16. Desa. del Sistema Educ.Sup.'!$E:$F,2,FALSE),IFERROR(VLOOKUP(D605,'9. Cultura de Inno. Insti...'!$E:$F,2,FALSE),VLOOKUP(D605,'7. Lo Esencial de la Reforma U.'!$E:$F,2,0)))))))))))))))))</f>
        <v>#N/A</v>
      </c>
      <c r="D606" s="31"/>
      <c r="E606" s="93"/>
      <c r="F606" s="93"/>
      <c r="G606" s="93"/>
      <c r="H606" s="76"/>
      <c r="I606" s="76"/>
      <c r="J606" s="76"/>
      <c r="K606" s="112"/>
    </row>
    <row r="607" spans="3:11" ht="15.75" thickBot="1" x14ac:dyDescent="0.3">
      <c r="F607" s="93"/>
      <c r="G607" s="76"/>
      <c r="H607" s="76"/>
      <c r="I607" s="76"/>
    </row>
    <row r="608" spans="3:11" ht="30.75" thickBot="1" x14ac:dyDescent="0.3">
      <c r="C608" s="129" t="s">
        <v>44</v>
      </c>
      <c r="D608" s="129" t="s">
        <v>55</v>
      </c>
      <c r="E608" s="136" t="s">
        <v>57</v>
      </c>
      <c r="F608" s="135" t="s">
        <v>27</v>
      </c>
      <c r="G608" s="133" t="s">
        <v>131</v>
      </c>
      <c r="H608" s="136" t="s">
        <v>46</v>
      </c>
      <c r="I608" s="133" t="s">
        <v>132</v>
      </c>
      <c r="J608" s="133" t="s">
        <v>410</v>
      </c>
      <c r="K608" s="133" t="s">
        <v>411</v>
      </c>
    </row>
    <row r="609" spans="3:11" x14ac:dyDescent="0.25">
      <c r="C609" s="221" t="s">
        <v>439</v>
      </c>
      <c r="D609" s="222"/>
      <c r="E609" s="220">
        <f>HLOOKUP(C609,$AH$2:$BU$3,2,0)</f>
        <v>620</v>
      </c>
      <c r="F609" s="97">
        <f t="shared" ref="F609:F643" si="26">D609*E609</f>
        <v>0</v>
      </c>
      <c r="G609" s="161"/>
      <c r="H609" s="142"/>
      <c r="I609" s="130" t="e">
        <f>VLOOKUP(H609,Presupuesto!$B$11:$C$565,2,0)</f>
        <v>#N/A</v>
      </c>
      <c r="J609" s="219" t="s">
        <v>1479</v>
      </c>
      <c r="K609" s="98" t="s">
        <v>394</v>
      </c>
    </row>
    <row r="610" spans="3:11" x14ac:dyDescent="0.25">
      <c r="C610" s="141"/>
      <c r="D610" s="158"/>
      <c r="E610" s="123"/>
      <c r="F610" s="97">
        <f t="shared" si="26"/>
        <v>0</v>
      </c>
      <c r="G610" s="161"/>
      <c r="H610" s="142"/>
      <c r="I610" s="130" t="e">
        <f>VLOOKUP(H610,Presupuesto!$B$11:$C$565,2,0)</f>
        <v>#N/A</v>
      </c>
      <c r="J610" s="98" t="str">
        <f>$J$609</f>
        <v>Desarrollo del Sistema de Educación Superior</v>
      </c>
      <c r="K610" s="98" t="s">
        <v>412</v>
      </c>
    </row>
    <row r="611" spans="3:11" x14ac:dyDescent="0.25">
      <c r="C611" s="141"/>
      <c r="D611" s="158"/>
      <c r="E611" s="123"/>
      <c r="F611" s="97">
        <f t="shared" si="26"/>
        <v>0</v>
      </c>
      <c r="G611" s="161"/>
      <c r="H611" s="142"/>
      <c r="I611" s="130" t="e">
        <f>VLOOKUP(H611,Presupuesto!$B$11:$C$565,2,0)</f>
        <v>#N/A</v>
      </c>
      <c r="J611" s="98" t="str">
        <f t="shared" ref="J611:J643" si="27">$J$609</f>
        <v>Desarrollo del Sistema de Educación Superior</v>
      </c>
      <c r="K611" s="98" t="s">
        <v>412</v>
      </c>
    </row>
    <row r="612" spans="3:11" x14ac:dyDescent="0.25">
      <c r="C612" s="141"/>
      <c r="D612" s="158"/>
      <c r="E612" s="123"/>
      <c r="F612" s="97">
        <f t="shared" si="26"/>
        <v>0</v>
      </c>
      <c r="G612" s="161"/>
      <c r="H612" s="142"/>
      <c r="I612" s="130" t="e">
        <f>VLOOKUP(H612,Presupuesto!$B$11:$C$565,2,0)</f>
        <v>#N/A</v>
      </c>
      <c r="J612" s="98" t="str">
        <f t="shared" si="27"/>
        <v>Desarrollo del Sistema de Educación Superior</v>
      </c>
      <c r="K612" s="98" t="s">
        <v>412</v>
      </c>
    </row>
    <row r="613" spans="3:11" x14ac:dyDescent="0.25">
      <c r="C613" s="141"/>
      <c r="D613" s="158"/>
      <c r="E613" s="123"/>
      <c r="F613" s="97">
        <f t="shared" si="26"/>
        <v>0</v>
      </c>
      <c r="G613" s="161"/>
      <c r="H613" s="142"/>
      <c r="I613" s="130" t="e">
        <f>VLOOKUP(H613,Presupuesto!$B$11:$C$565,2,0)</f>
        <v>#N/A</v>
      </c>
      <c r="J613" s="98" t="str">
        <f t="shared" si="27"/>
        <v>Desarrollo del Sistema de Educación Superior</v>
      </c>
      <c r="K613" s="98" t="s">
        <v>412</v>
      </c>
    </row>
    <row r="614" spans="3:11" x14ac:dyDescent="0.25">
      <c r="C614" s="141"/>
      <c r="D614" s="158"/>
      <c r="E614" s="123"/>
      <c r="F614" s="97">
        <f t="shared" si="26"/>
        <v>0</v>
      </c>
      <c r="G614" s="161"/>
      <c r="H614" s="142"/>
      <c r="I614" s="130" t="e">
        <f>VLOOKUP(H614,Presupuesto!$B$11:$C$565,2,0)</f>
        <v>#N/A</v>
      </c>
      <c r="J614" s="98" t="str">
        <f t="shared" si="27"/>
        <v>Desarrollo del Sistema de Educación Superior</v>
      </c>
      <c r="K614" s="98" t="s">
        <v>401</v>
      </c>
    </row>
    <row r="615" spans="3:11" x14ac:dyDescent="0.25">
      <c r="C615" s="141"/>
      <c r="D615" s="158"/>
      <c r="E615" s="123"/>
      <c r="F615" s="97">
        <f t="shared" si="26"/>
        <v>0</v>
      </c>
      <c r="G615" s="161"/>
      <c r="H615" s="142"/>
      <c r="I615" s="130" t="e">
        <f>VLOOKUP(H615,Presupuesto!$B$11:$C$565,2,0)</f>
        <v>#N/A</v>
      </c>
      <c r="J615" s="98" t="str">
        <f t="shared" si="27"/>
        <v>Desarrollo del Sistema de Educación Superior</v>
      </c>
      <c r="K615" s="98" t="s">
        <v>412</v>
      </c>
    </row>
    <row r="616" spans="3:11" x14ac:dyDescent="0.25">
      <c r="C616" s="141"/>
      <c r="D616" s="158"/>
      <c r="E616" s="123"/>
      <c r="F616" s="97">
        <f t="shared" si="26"/>
        <v>0</v>
      </c>
      <c r="G616" s="161"/>
      <c r="H616" s="142"/>
      <c r="I616" s="130" t="e">
        <f>VLOOKUP(H616,Presupuesto!$B$11:$C$565,2,0)</f>
        <v>#N/A</v>
      </c>
      <c r="J616" s="98" t="str">
        <f t="shared" si="27"/>
        <v>Desarrollo del Sistema de Educación Superior</v>
      </c>
      <c r="K616" s="98" t="s">
        <v>412</v>
      </c>
    </row>
    <row r="617" spans="3:11" x14ac:dyDescent="0.25">
      <c r="C617" s="141"/>
      <c r="D617" s="158"/>
      <c r="E617" s="123"/>
      <c r="F617" s="97">
        <f t="shared" si="26"/>
        <v>0</v>
      </c>
      <c r="G617" s="161"/>
      <c r="H617" s="142"/>
      <c r="I617" s="130" t="e">
        <f>VLOOKUP(H617,Presupuesto!$B$11:$C$565,2,0)</f>
        <v>#N/A</v>
      </c>
      <c r="J617" s="98" t="str">
        <f t="shared" si="27"/>
        <v>Desarrollo del Sistema de Educación Superior</v>
      </c>
      <c r="K617" s="98" t="s">
        <v>412</v>
      </c>
    </row>
    <row r="618" spans="3:11" x14ac:dyDescent="0.25">
      <c r="C618" s="141"/>
      <c r="D618" s="158"/>
      <c r="E618" s="123"/>
      <c r="F618" s="97">
        <f t="shared" si="26"/>
        <v>0</v>
      </c>
      <c r="G618" s="161"/>
      <c r="H618" s="142"/>
      <c r="I618" s="130" t="e">
        <f>VLOOKUP(H618,Presupuesto!$B$11:$C$565,2,0)</f>
        <v>#N/A</v>
      </c>
      <c r="J618" s="98" t="str">
        <f t="shared" si="27"/>
        <v>Desarrollo del Sistema de Educación Superior</v>
      </c>
      <c r="K618" s="98" t="s">
        <v>412</v>
      </c>
    </row>
    <row r="619" spans="3:11" x14ac:dyDescent="0.25">
      <c r="C619" s="141"/>
      <c r="D619" s="158"/>
      <c r="E619" s="123"/>
      <c r="F619" s="97">
        <f t="shared" si="26"/>
        <v>0</v>
      </c>
      <c r="G619" s="161"/>
      <c r="H619" s="142"/>
      <c r="I619" s="130" t="e">
        <f>VLOOKUP(H619,Presupuesto!$B$11:$C$565,2,0)</f>
        <v>#N/A</v>
      </c>
      <c r="J619" s="98" t="str">
        <f t="shared" si="27"/>
        <v>Desarrollo del Sistema de Educación Superior</v>
      </c>
      <c r="K619" s="98" t="s">
        <v>412</v>
      </c>
    </row>
    <row r="620" spans="3:11" x14ac:dyDescent="0.25">
      <c r="C620" s="141"/>
      <c r="D620" s="158"/>
      <c r="E620" s="123"/>
      <c r="F620" s="97">
        <f t="shared" si="26"/>
        <v>0</v>
      </c>
      <c r="G620" s="161"/>
      <c r="H620" s="142"/>
      <c r="I620" s="130" t="e">
        <f>VLOOKUP(H620,Presupuesto!$B$11:$C$565,2,0)</f>
        <v>#N/A</v>
      </c>
      <c r="J620" s="98" t="str">
        <f t="shared" si="27"/>
        <v>Desarrollo del Sistema de Educación Superior</v>
      </c>
      <c r="K620" s="98" t="s">
        <v>412</v>
      </c>
    </row>
    <row r="621" spans="3:11" x14ac:dyDescent="0.25">
      <c r="C621" s="141"/>
      <c r="D621" s="158"/>
      <c r="E621" s="123"/>
      <c r="F621" s="97">
        <f t="shared" si="26"/>
        <v>0</v>
      </c>
      <c r="G621" s="161"/>
      <c r="H621" s="142"/>
      <c r="I621" s="130" t="e">
        <f>VLOOKUP(H621,Presupuesto!$B$11:$C$565,2,0)</f>
        <v>#N/A</v>
      </c>
      <c r="J621" s="98" t="str">
        <f t="shared" si="27"/>
        <v>Desarrollo del Sistema de Educación Superior</v>
      </c>
      <c r="K621" s="98" t="s">
        <v>412</v>
      </c>
    </row>
    <row r="622" spans="3:11" x14ac:dyDescent="0.25">
      <c r="C622" s="141"/>
      <c r="D622" s="158"/>
      <c r="E622" s="123"/>
      <c r="F622" s="97">
        <f t="shared" si="26"/>
        <v>0</v>
      </c>
      <c r="G622" s="161"/>
      <c r="H622" s="142"/>
      <c r="I622" s="130" t="e">
        <f>VLOOKUP(H622,Presupuesto!$B$11:$C$565,2,0)</f>
        <v>#N/A</v>
      </c>
      <c r="J622" s="98" t="str">
        <f t="shared" si="27"/>
        <v>Desarrollo del Sistema de Educación Superior</v>
      </c>
      <c r="K622" s="98" t="s">
        <v>412</v>
      </c>
    </row>
    <row r="623" spans="3:11" x14ac:dyDescent="0.25">
      <c r="C623" s="141"/>
      <c r="D623" s="158"/>
      <c r="E623" s="123"/>
      <c r="F623" s="97">
        <f t="shared" si="26"/>
        <v>0</v>
      </c>
      <c r="G623" s="161"/>
      <c r="H623" s="142"/>
      <c r="I623" s="130" t="e">
        <f>VLOOKUP(H623,Presupuesto!$B$11:$C$565,2,0)</f>
        <v>#N/A</v>
      </c>
      <c r="J623" s="98" t="str">
        <f t="shared" si="27"/>
        <v>Desarrollo del Sistema de Educación Superior</v>
      </c>
      <c r="K623" s="98" t="s">
        <v>412</v>
      </c>
    </row>
    <row r="624" spans="3:11" x14ac:dyDescent="0.25">
      <c r="C624" s="141"/>
      <c r="D624" s="158"/>
      <c r="E624" s="123"/>
      <c r="F624" s="97">
        <f t="shared" si="26"/>
        <v>0</v>
      </c>
      <c r="G624" s="161"/>
      <c r="H624" s="142"/>
      <c r="I624" s="130" t="e">
        <f>VLOOKUP(H624,Presupuesto!$B$11:$C$565,2,0)</f>
        <v>#N/A</v>
      </c>
      <c r="J624" s="98" t="str">
        <f t="shared" si="27"/>
        <v>Desarrollo del Sistema de Educación Superior</v>
      </c>
      <c r="K624" s="98" t="s">
        <v>412</v>
      </c>
    </row>
    <row r="625" spans="3:11" x14ac:dyDescent="0.25">
      <c r="C625" s="141"/>
      <c r="D625" s="158"/>
      <c r="E625" s="123"/>
      <c r="F625" s="97">
        <f t="shared" si="26"/>
        <v>0</v>
      </c>
      <c r="G625" s="161"/>
      <c r="H625" s="142"/>
      <c r="I625" s="130" t="e">
        <f>VLOOKUP(H625,Presupuesto!$B$11:$C$565,2,0)</f>
        <v>#N/A</v>
      </c>
      <c r="J625" s="98" t="str">
        <f t="shared" si="27"/>
        <v>Desarrollo del Sistema de Educación Superior</v>
      </c>
      <c r="K625" s="98" t="s">
        <v>412</v>
      </c>
    </row>
    <row r="626" spans="3:11" x14ac:dyDescent="0.25">
      <c r="C626" s="141"/>
      <c r="D626" s="158"/>
      <c r="E626" s="123"/>
      <c r="F626" s="97">
        <f t="shared" si="26"/>
        <v>0</v>
      </c>
      <c r="G626" s="161"/>
      <c r="H626" s="142"/>
      <c r="I626" s="130" t="e">
        <f>VLOOKUP(H626,Presupuesto!$B$11:$C$565,2,0)</f>
        <v>#N/A</v>
      </c>
      <c r="J626" s="98" t="str">
        <f t="shared" si="27"/>
        <v>Desarrollo del Sistema de Educación Superior</v>
      </c>
      <c r="K626" s="98" t="s">
        <v>412</v>
      </c>
    </row>
    <row r="627" spans="3:11" x14ac:dyDescent="0.25">
      <c r="C627" s="141"/>
      <c r="D627" s="158"/>
      <c r="E627" s="123"/>
      <c r="F627" s="97">
        <f t="shared" si="26"/>
        <v>0</v>
      </c>
      <c r="G627" s="161"/>
      <c r="H627" s="142"/>
      <c r="I627" s="130" t="e">
        <f>VLOOKUP(H627,Presupuesto!$B$11:$C$565,2,0)</f>
        <v>#N/A</v>
      </c>
      <c r="J627" s="98" t="str">
        <f t="shared" si="27"/>
        <v>Desarrollo del Sistema de Educación Superior</v>
      </c>
      <c r="K627" s="98" t="s">
        <v>412</v>
      </c>
    </row>
    <row r="628" spans="3:11" x14ac:dyDescent="0.25">
      <c r="C628" s="141"/>
      <c r="D628" s="158"/>
      <c r="E628" s="123"/>
      <c r="F628" s="97">
        <f t="shared" si="26"/>
        <v>0</v>
      </c>
      <c r="G628" s="161"/>
      <c r="H628" s="142"/>
      <c r="I628" s="130" t="e">
        <f>VLOOKUP(H628,Presupuesto!$B$11:$C$565,2,0)</f>
        <v>#N/A</v>
      </c>
      <c r="J628" s="98" t="str">
        <f t="shared" si="27"/>
        <v>Desarrollo del Sistema de Educación Superior</v>
      </c>
      <c r="K628" s="98" t="s">
        <v>412</v>
      </c>
    </row>
    <row r="629" spans="3:11" x14ac:dyDescent="0.25">
      <c r="C629" s="141"/>
      <c r="D629" s="158"/>
      <c r="E629" s="123"/>
      <c r="F629" s="97">
        <f t="shared" si="26"/>
        <v>0</v>
      </c>
      <c r="G629" s="161"/>
      <c r="H629" s="142"/>
      <c r="I629" s="130" t="e">
        <f>VLOOKUP(H629,Presupuesto!$B$11:$C$565,2,0)</f>
        <v>#N/A</v>
      </c>
      <c r="J629" s="98" t="str">
        <f t="shared" si="27"/>
        <v>Desarrollo del Sistema de Educación Superior</v>
      </c>
      <c r="K629" s="98" t="s">
        <v>412</v>
      </c>
    </row>
    <row r="630" spans="3:11" x14ac:dyDescent="0.25">
      <c r="C630" s="141"/>
      <c r="D630" s="158"/>
      <c r="E630" s="123"/>
      <c r="F630" s="97">
        <f t="shared" si="26"/>
        <v>0</v>
      </c>
      <c r="G630" s="161"/>
      <c r="H630" s="142"/>
      <c r="I630" s="130" t="e">
        <f>VLOOKUP(H630,Presupuesto!$B$11:$C$565,2,0)</f>
        <v>#N/A</v>
      </c>
      <c r="J630" s="98" t="str">
        <f t="shared" si="27"/>
        <v>Desarrollo del Sistema de Educación Superior</v>
      </c>
      <c r="K630" s="98" t="s">
        <v>412</v>
      </c>
    </row>
    <row r="631" spans="3:11" x14ac:dyDescent="0.25">
      <c r="C631" s="143"/>
      <c r="D631" s="151"/>
      <c r="E631" s="118"/>
      <c r="F631" s="97">
        <f t="shared" si="26"/>
        <v>0</v>
      </c>
      <c r="G631" s="161"/>
      <c r="H631" s="144"/>
      <c r="I631" s="130" t="e">
        <f>VLOOKUP(H631,Presupuesto!$B$11:$C$565,2,0)</f>
        <v>#N/A</v>
      </c>
      <c r="J631" s="98" t="str">
        <f t="shared" si="27"/>
        <v>Desarrollo del Sistema de Educación Superior</v>
      </c>
      <c r="K631" s="98" t="s">
        <v>412</v>
      </c>
    </row>
    <row r="632" spans="3:11" x14ac:dyDescent="0.25">
      <c r="C632" s="143"/>
      <c r="D632" s="151"/>
      <c r="E632" s="118"/>
      <c r="F632" s="97">
        <f t="shared" si="26"/>
        <v>0</v>
      </c>
      <c r="G632" s="161"/>
      <c r="H632" s="144"/>
      <c r="I632" s="130" t="e">
        <f>VLOOKUP(H632,Presupuesto!$B$11:$C$565,2,0)</f>
        <v>#N/A</v>
      </c>
      <c r="J632" s="98" t="str">
        <f t="shared" si="27"/>
        <v>Desarrollo del Sistema de Educación Superior</v>
      </c>
      <c r="K632" s="98" t="s">
        <v>412</v>
      </c>
    </row>
    <row r="633" spans="3:11" x14ac:dyDescent="0.25">
      <c r="C633" s="143"/>
      <c r="D633" s="151"/>
      <c r="E633" s="118"/>
      <c r="F633" s="97">
        <f t="shared" si="26"/>
        <v>0</v>
      </c>
      <c r="G633" s="161"/>
      <c r="H633" s="144"/>
      <c r="I633" s="130" t="e">
        <f>VLOOKUP(H633,Presupuesto!$B$11:$C$565,2,0)</f>
        <v>#N/A</v>
      </c>
      <c r="J633" s="98" t="str">
        <f t="shared" si="27"/>
        <v>Desarrollo del Sistema de Educación Superior</v>
      </c>
      <c r="K633" s="98" t="s">
        <v>412</v>
      </c>
    </row>
    <row r="634" spans="3:11" x14ac:dyDescent="0.25">
      <c r="C634" s="143"/>
      <c r="D634" s="151"/>
      <c r="E634" s="118"/>
      <c r="F634" s="97">
        <f t="shared" si="26"/>
        <v>0</v>
      </c>
      <c r="G634" s="161"/>
      <c r="H634" s="144"/>
      <c r="I634" s="130" t="e">
        <f>VLOOKUP(H634,Presupuesto!$B$11:$C$565,2,0)</f>
        <v>#N/A</v>
      </c>
      <c r="J634" s="98" t="str">
        <f t="shared" si="27"/>
        <v>Desarrollo del Sistema de Educación Superior</v>
      </c>
      <c r="K634" s="98" t="s">
        <v>412</v>
      </c>
    </row>
    <row r="635" spans="3:11" x14ac:dyDescent="0.25">
      <c r="C635" s="143"/>
      <c r="D635" s="151"/>
      <c r="E635" s="118"/>
      <c r="F635" s="97">
        <f t="shared" si="26"/>
        <v>0</v>
      </c>
      <c r="G635" s="161"/>
      <c r="H635" s="144"/>
      <c r="I635" s="130" t="e">
        <f>VLOOKUP(H635,Presupuesto!$B$11:$C$565,2,0)</f>
        <v>#N/A</v>
      </c>
      <c r="J635" s="98" t="str">
        <f t="shared" si="27"/>
        <v>Desarrollo del Sistema de Educación Superior</v>
      </c>
      <c r="K635" s="98" t="s">
        <v>412</v>
      </c>
    </row>
    <row r="636" spans="3:11" x14ac:dyDescent="0.25">
      <c r="C636" s="143"/>
      <c r="D636" s="151"/>
      <c r="E636" s="118"/>
      <c r="F636" s="97">
        <f t="shared" si="26"/>
        <v>0</v>
      </c>
      <c r="G636" s="161"/>
      <c r="H636" s="144"/>
      <c r="I636" s="130" t="e">
        <f>VLOOKUP(H636,Presupuesto!$B$11:$C$565,2,0)</f>
        <v>#N/A</v>
      </c>
      <c r="J636" s="98" t="str">
        <f t="shared" si="27"/>
        <v>Desarrollo del Sistema de Educación Superior</v>
      </c>
      <c r="K636" s="98" t="s">
        <v>412</v>
      </c>
    </row>
    <row r="637" spans="3:11" x14ac:dyDescent="0.25">
      <c r="C637" s="143"/>
      <c r="D637" s="151"/>
      <c r="E637" s="118"/>
      <c r="F637" s="97">
        <f t="shared" si="26"/>
        <v>0</v>
      </c>
      <c r="G637" s="161"/>
      <c r="H637" s="144"/>
      <c r="I637" s="130" t="e">
        <f>VLOOKUP(H637,Presupuesto!$B$11:$C$565,2,0)</f>
        <v>#N/A</v>
      </c>
      <c r="J637" s="98" t="str">
        <f t="shared" si="27"/>
        <v>Desarrollo del Sistema de Educación Superior</v>
      </c>
      <c r="K637" s="98" t="s">
        <v>412</v>
      </c>
    </row>
    <row r="638" spans="3:11" x14ac:dyDescent="0.25">
      <c r="C638" s="143"/>
      <c r="D638" s="151"/>
      <c r="E638" s="118"/>
      <c r="F638" s="97">
        <f t="shared" si="26"/>
        <v>0</v>
      </c>
      <c r="G638" s="161"/>
      <c r="H638" s="144"/>
      <c r="I638" s="130" t="e">
        <f>VLOOKUP(H638,Presupuesto!$B$11:$C$565,2,0)</f>
        <v>#N/A</v>
      </c>
      <c r="J638" s="98" t="str">
        <f t="shared" si="27"/>
        <v>Desarrollo del Sistema de Educación Superior</v>
      </c>
      <c r="K638" s="98" t="s">
        <v>412</v>
      </c>
    </row>
    <row r="639" spans="3:11" x14ac:dyDescent="0.25">
      <c r="C639" s="145"/>
      <c r="D639" s="151"/>
      <c r="E639" s="118"/>
      <c r="F639" s="97">
        <f t="shared" si="26"/>
        <v>0</v>
      </c>
      <c r="G639" s="161"/>
      <c r="H639" s="146"/>
      <c r="I639" s="130" t="e">
        <f>VLOOKUP(H639,Presupuesto!$B$11:$C$565,2,0)</f>
        <v>#N/A</v>
      </c>
      <c r="J639" s="98" t="str">
        <f t="shared" si="27"/>
        <v>Desarrollo del Sistema de Educación Superior</v>
      </c>
      <c r="K639" s="98" t="s">
        <v>403</v>
      </c>
    </row>
    <row r="640" spans="3:11" x14ac:dyDescent="0.25">
      <c r="C640" s="145"/>
      <c r="D640" s="151"/>
      <c r="E640" s="118"/>
      <c r="F640" s="97">
        <f t="shared" si="26"/>
        <v>0</v>
      </c>
      <c r="G640" s="161"/>
      <c r="H640" s="146"/>
      <c r="I640" s="130" t="e">
        <f>VLOOKUP(H640,Presupuesto!$B$11:$C$565,2,0)</f>
        <v>#N/A</v>
      </c>
      <c r="J640" s="98" t="str">
        <f t="shared" si="27"/>
        <v>Desarrollo del Sistema de Educación Superior</v>
      </c>
      <c r="K640" s="98" t="s">
        <v>412</v>
      </c>
    </row>
    <row r="641" spans="3:11" x14ac:dyDescent="0.25">
      <c r="C641" s="145"/>
      <c r="D641" s="151"/>
      <c r="E641" s="118"/>
      <c r="F641" s="97">
        <f t="shared" si="26"/>
        <v>0</v>
      </c>
      <c r="G641" s="161"/>
      <c r="H641" s="146"/>
      <c r="I641" s="130" t="e">
        <f>VLOOKUP(H641,Presupuesto!$B$11:$C$565,2,0)</f>
        <v>#N/A</v>
      </c>
      <c r="J641" s="98" t="str">
        <f t="shared" si="27"/>
        <v>Desarrollo del Sistema de Educación Superior</v>
      </c>
      <c r="K641" s="98" t="s">
        <v>412</v>
      </c>
    </row>
    <row r="642" spans="3:11" x14ac:dyDescent="0.25">
      <c r="C642" s="145"/>
      <c r="D642" s="151"/>
      <c r="E642" s="118"/>
      <c r="F642" s="97">
        <f t="shared" si="26"/>
        <v>0</v>
      </c>
      <c r="G642" s="161"/>
      <c r="H642" s="146"/>
      <c r="I642" s="130" t="e">
        <f>VLOOKUP(H642,Presupuesto!$B$11:$C$565,2,0)</f>
        <v>#N/A</v>
      </c>
      <c r="J642" s="98" t="str">
        <f t="shared" si="27"/>
        <v>Desarrollo del Sistema de Educación Superior</v>
      </c>
      <c r="K642" s="98" t="s">
        <v>412</v>
      </c>
    </row>
    <row r="643" spans="3:11" ht="15.75" thickBot="1" x14ac:dyDescent="0.3">
      <c r="C643" s="147"/>
      <c r="D643" s="159"/>
      <c r="E643" s="103"/>
      <c r="F643" s="105">
        <f t="shared" si="26"/>
        <v>0</v>
      </c>
      <c r="G643" s="162"/>
      <c r="H643" s="148"/>
      <c r="I643" s="132" t="e">
        <f>VLOOKUP(H643,Presupuesto!$B$11:$C$565,2,0)</f>
        <v>#N/A</v>
      </c>
      <c r="J643" s="106" t="str">
        <f t="shared" si="27"/>
        <v>Desarrollo del Sistema de Educación Superior</v>
      </c>
      <c r="K643" s="124" t="s">
        <v>394</v>
      </c>
    </row>
    <row r="645" spans="3:11" ht="15.75" thickBot="1" x14ac:dyDescent="0.3">
      <c r="F645" s="90"/>
      <c r="G645" s="89"/>
      <c r="H645" s="90"/>
      <c r="I645" s="90"/>
    </row>
    <row r="646" spans="3:11" ht="15.75" thickBot="1" x14ac:dyDescent="0.3">
      <c r="C646" s="157" t="s">
        <v>53</v>
      </c>
      <c r="D646" s="374">
        <f>SUM(F653:F687)</f>
        <v>0</v>
      </c>
      <c r="F646" s="70"/>
      <c r="G646" s="79"/>
      <c r="H646" s="70"/>
      <c r="I646" s="70"/>
    </row>
    <row r="647" spans="3:11" x14ac:dyDescent="0.25">
      <c r="C647" s="70"/>
      <c r="D647" s="31"/>
      <c r="E647" s="93"/>
      <c r="F647" s="93"/>
      <c r="G647" s="93"/>
      <c r="H647" s="76"/>
      <c r="I647" s="76"/>
      <c r="J647" s="76"/>
      <c r="K647" s="112"/>
    </row>
    <row r="648" spans="3:11" x14ac:dyDescent="0.25">
      <c r="C648" s="70"/>
      <c r="D648" s="31"/>
      <c r="E648" s="93"/>
      <c r="F648" s="93"/>
      <c r="G648" s="93"/>
      <c r="H648" s="76"/>
      <c r="I648" s="76"/>
      <c r="J648" s="76"/>
      <c r="K648" s="112"/>
    </row>
    <row r="649" spans="3:11" ht="15.75" x14ac:dyDescent="0.25">
      <c r="C649" s="202" t="s">
        <v>392</v>
      </c>
      <c r="D649" s="370"/>
      <c r="E649" s="93"/>
      <c r="F649" s="93"/>
      <c r="G649" s="93"/>
      <c r="H649" s="76"/>
      <c r="I649" s="76"/>
      <c r="J649" s="76"/>
      <c r="K649" s="112"/>
    </row>
    <row r="650" spans="3:11" ht="18.75" x14ac:dyDescent="0.25">
      <c r="C650" s="211" t="e">
        <f>IFERROR(VLOOKUP(D649,'1. Desarrollo e Innov. Curricu.'!$E:$F,2,FALSE),IFERROR(VLOOKUP(D649,'2. Investigación Científica'!$E:$F,2,FALSE),IFERROR(VLOOKUP(D649,'3. Vinculación Univ. Sociedad'!$E:$F,2,FALSE),IFERROR(VLOOKUP(D649,'4. Docencia y Profesorado Univ.'!$E:$F,2,FALSE),IFERROR(VLOOKUP(D649,'5. Estudiantes y Graduados'!$E:$F,2,FALSE),IFERROR(VLOOKUP(D649,'11. Gestion Administrativa'!$E:$F,2,FALSE),IFERROR(VLOOKUP(D649,'13. Gestión Académica'!$E:$F,2,FALSE),IFERROR(VLOOKUP(D649,'8. Asegura. de la Calid. y M'!$E:$F,2,FALSE),IFERROR(VLOOKUP(D649,'6. Gestión del Conocimiento'!$E:$F,2,FALSE),IFERROR(VLOOKUP(D649,'15. Gobernabilidad y Proceso...'!$E:$F,2,FALSE),IFERROR(VLOOKUP(D649,'12. Gestión del Talento Humano'!$E:$F,2,FALSE),IFERROR(VLOOKUP(D649,'14. Internacional... de la E.S.'!$E:$F,2,FALSE),IFERROR(VLOOKUP(D649,'10. Posgrado'!$E:$F,2,FALSE),IFERROR(VLOOKUP(D649,'17. Gestión TIC'!$E:$F,2,FALSE),IFERROR(VLOOKUP(D649,'16. Desa. del Sistema Educ.Sup.'!$E:$F,2,FALSE),IFERROR(VLOOKUP(D649,'9. Cultura de Inno. Insti...'!$E:$F,2,FALSE),VLOOKUP(D649,'7. Lo Esencial de la Reforma U.'!$E:$F,2,0)))))))))))))))))</f>
        <v>#N/A</v>
      </c>
      <c r="D650" s="31"/>
      <c r="E650" s="93"/>
      <c r="F650" s="93"/>
      <c r="G650" s="93"/>
      <c r="H650" s="76"/>
      <c r="I650" s="76"/>
      <c r="J650" s="76"/>
      <c r="K650" s="112"/>
    </row>
    <row r="651" spans="3:11" ht="15.75" thickBot="1" x14ac:dyDescent="0.3">
      <c r="F651" s="93"/>
      <c r="G651" s="76"/>
      <c r="H651" s="76"/>
      <c r="I651" s="76"/>
    </row>
    <row r="652" spans="3:11" ht="30.75" thickBot="1" x14ac:dyDescent="0.3">
      <c r="C652" s="129" t="s">
        <v>44</v>
      </c>
      <c r="D652" s="129" t="s">
        <v>55</v>
      </c>
      <c r="E652" s="136" t="s">
        <v>57</v>
      </c>
      <c r="F652" s="135" t="s">
        <v>27</v>
      </c>
      <c r="G652" s="133" t="s">
        <v>131</v>
      </c>
      <c r="H652" s="136" t="s">
        <v>46</v>
      </c>
      <c r="I652" s="133" t="s">
        <v>132</v>
      </c>
      <c r="J652" s="133" t="s">
        <v>410</v>
      </c>
      <c r="K652" s="133" t="s">
        <v>411</v>
      </c>
    </row>
    <row r="653" spans="3:11" x14ac:dyDescent="0.25">
      <c r="C653" s="221" t="s">
        <v>439</v>
      </c>
      <c r="D653" s="222"/>
      <c r="E653" s="220">
        <f>HLOOKUP(C653,$AH$2:$BU$3,2,0)</f>
        <v>620</v>
      </c>
      <c r="F653" s="97">
        <f t="shared" ref="F653:F687" si="28">D653*E653</f>
        <v>0</v>
      </c>
      <c r="G653" s="161"/>
      <c r="H653" s="142"/>
      <c r="I653" s="130" t="e">
        <f>VLOOKUP(H653,Presupuesto!$B$11:$C$565,2,0)</f>
        <v>#N/A</v>
      </c>
      <c r="J653" s="219" t="s">
        <v>1479</v>
      </c>
      <c r="K653" s="98" t="s">
        <v>394</v>
      </c>
    </row>
    <row r="654" spans="3:11" x14ac:dyDescent="0.25">
      <c r="C654" s="141"/>
      <c r="D654" s="158"/>
      <c r="E654" s="123"/>
      <c r="F654" s="97">
        <f t="shared" si="28"/>
        <v>0</v>
      </c>
      <c r="G654" s="161"/>
      <c r="H654" s="142"/>
      <c r="I654" s="130" t="e">
        <f>VLOOKUP(H654,Presupuesto!$B$11:$C$565,2,0)</f>
        <v>#N/A</v>
      </c>
      <c r="J654" s="98" t="str">
        <f>$J$653</f>
        <v>Desarrollo del Sistema de Educación Superior</v>
      </c>
      <c r="K654" s="98" t="s">
        <v>412</v>
      </c>
    </row>
    <row r="655" spans="3:11" x14ac:dyDescent="0.25">
      <c r="C655" s="141"/>
      <c r="D655" s="158"/>
      <c r="E655" s="123"/>
      <c r="F655" s="97">
        <f t="shared" si="28"/>
        <v>0</v>
      </c>
      <c r="G655" s="161"/>
      <c r="H655" s="142"/>
      <c r="I655" s="130" t="e">
        <f>VLOOKUP(H655,Presupuesto!$B$11:$C$565,2,0)</f>
        <v>#N/A</v>
      </c>
      <c r="J655" s="98" t="str">
        <f t="shared" ref="J655:J687" si="29">$J$653</f>
        <v>Desarrollo del Sistema de Educación Superior</v>
      </c>
      <c r="K655" s="98" t="s">
        <v>412</v>
      </c>
    </row>
    <row r="656" spans="3:11" x14ac:dyDescent="0.25">
      <c r="C656" s="141"/>
      <c r="D656" s="158"/>
      <c r="E656" s="123"/>
      <c r="F656" s="97">
        <f t="shared" si="28"/>
        <v>0</v>
      </c>
      <c r="G656" s="161"/>
      <c r="H656" s="142"/>
      <c r="I656" s="130" t="e">
        <f>VLOOKUP(H656,Presupuesto!$B$11:$C$565,2,0)</f>
        <v>#N/A</v>
      </c>
      <c r="J656" s="98" t="str">
        <f t="shared" si="29"/>
        <v>Desarrollo del Sistema de Educación Superior</v>
      </c>
      <c r="K656" s="98" t="s">
        <v>412</v>
      </c>
    </row>
    <row r="657" spans="3:11" x14ac:dyDescent="0.25">
      <c r="C657" s="141"/>
      <c r="D657" s="158"/>
      <c r="E657" s="123"/>
      <c r="F657" s="97">
        <f t="shared" si="28"/>
        <v>0</v>
      </c>
      <c r="G657" s="161"/>
      <c r="H657" s="142"/>
      <c r="I657" s="130" t="e">
        <f>VLOOKUP(H657,Presupuesto!$B$11:$C$565,2,0)</f>
        <v>#N/A</v>
      </c>
      <c r="J657" s="98" t="str">
        <f t="shared" si="29"/>
        <v>Desarrollo del Sistema de Educación Superior</v>
      </c>
      <c r="K657" s="98" t="s">
        <v>412</v>
      </c>
    </row>
    <row r="658" spans="3:11" x14ac:dyDescent="0.25">
      <c r="C658" s="141"/>
      <c r="D658" s="158"/>
      <c r="E658" s="123"/>
      <c r="F658" s="97">
        <f t="shared" si="28"/>
        <v>0</v>
      </c>
      <c r="G658" s="161"/>
      <c r="H658" s="142"/>
      <c r="I658" s="130" t="e">
        <f>VLOOKUP(H658,Presupuesto!$B$11:$C$565,2,0)</f>
        <v>#N/A</v>
      </c>
      <c r="J658" s="98" t="str">
        <f t="shared" si="29"/>
        <v>Desarrollo del Sistema de Educación Superior</v>
      </c>
      <c r="K658" s="98" t="s">
        <v>401</v>
      </c>
    </row>
    <row r="659" spans="3:11" x14ac:dyDescent="0.25">
      <c r="C659" s="141"/>
      <c r="D659" s="158"/>
      <c r="E659" s="123"/>
      <c r="F659" s="97">
        <f t="shared" si="28"/>
        <v>0</v>
      </c>
      <c r="G659" s="161"/>
      <c r="H659" s="142"/>
      <c r="I659" s="130" t="e">
        <f>VLOOKUP(H659,Presupuesto!$B$11:$C$565,2,0)</f>
        <v>#N/A</v>
      </c>
      <c r="J659" s="98" t="str">
        <f t="shared" si="29"/>
        <v>Desarrollo del Sistema de Educación Superior</v>
      </c>
      <c r="K659" s="98" t="s">
        <v>412</v>
      </c>
    </row>
    <row r="660" spans="3:11" x14ac:dyDescent="0.25">
      <c r="C660" s="141"/>
      <c r="D660" s="158"/>
      <c r="E660" s="123"/>
      <c r="F660" s="97">
        <f t="shared" si="28"/>
        <v>0</v>
      </c>
      <c r="G660" s="161"/>
      <c r="H660" s="142"/>
      <c r="I660" s="130" t="e">
        <f>VLOOKUP(H660,Presupuesto!$B$11:$C$565,2,0)</f>
        <v>#N/A</v>
      </c>
      <c r="J660" s="98" t="str">
        <f t="shared" si="29"/>
        <v>Desarrollo del Sistema de Educación Superior</v>
      </c>
      <c r="K660" s="98" t="s">
        <v>412</v>
      </c>
    </row>
    <row r="661" spans="3:11" x14ac:dyDescent="0.25">
      <c r="C661" s="141"/>
      <c r="D661" s="158"/>
      <c r="E661" s="123"/>
      <c r="F661" s="97">
        <f t="shared" si="28"/>
        <v>0</v>
      </c>
      <c r="G661" s="161"/>
      <c r="H661" s="142"/>
      <c r="I661" s="130" t="e">
        <f>VLOOKUP(H661,Presupuesto!$B$11:$C$565,2,0)</f>
        <v>#N/A</v>
      </c>
      <c r="J661" s="98" t="str">
        <f t="shared" si="29"/>
        <v>Desarrollo del Sistema de Educación Superior</v>
      </c>
      <c r="K661" s="98" t="s">
        <v>412</v>
      </c>
    </row>
    <row r="662" spans="3:11" x14ac:dyDescent="0.25">
      <c r="C662" s="141"/>
      <c r="D662" s="158"/>
      <c r="E662" s="123"/>
      <c r="F662" s="97">
        <f t="shared" si="28"/>
        <v>0</v>
      </c>
      <c r="G662" s="161"/>
      <c r="H662" s="142"/>
      <c r="I662" s="130" t="e">
        <f>VLOOKUP(H662,Presupuesto!$B$11:$C$565,2,0)</f>
        <v>#N/A</v>
      </c>
      <c r="J662" s="98" t="str">
        <f t="shared" si="29"/>
        <v>Desarrollo del Sistema de Educación Superior</v>
      </c>
      <c r="K662" s="98" t="s">
        <v>412</v>
      </c>
    </row>
    <row r="663" spans="3:11" x14ac:dyDescent="0.25">
      <c r="C663" s="141"/>
      <c r="D663" s="158"/>
      <c r="E663" s="123"/>
      <c r="F663" s="97">
        <f t="shared" si="28"/>
        <v>0</v>
      </c>
      <c r="G663" s="161"/>
      <c r="H663" s="142"/>
      <c r="I663" s="130" t="e">
        <f>VLOOKUP(H663,Presupuesto!$B$11:$C$565,2,0)</f>
        <v>#N/A</v>
      </c>
      <c r="J663" s="98" t="str">
        <f t="shared" si="29"/>
        <v>Desarrollo del Sistema de Educación Superior</v>
      </c>
      <c r="K663" s="98" t="s">
        <v>412</v>
      </c>
    </row>
    <row r="664" spans="3:11" x14ac:dyDescent="0.25">
      <c r="C664" s="141"/>
      <c r="D664" s="158"/>
      <c r="E664" s="123"/>
      <c r="F664" s="97">
        <f t="shared" si="28"/>
        <v>0</v>
      </c>
      <c r="G664" s="161"/>
      <c r="H664" s="142"/>
      <c r="I664" s="130" t="e">
        <f>VLOOKUP(H664,Presupuesto!$B$11:$C$565,2,0)</f>
        <v>#N/A</v>
      </c>
      <c r="J664" s="98" t="str">
        <f t="shared" si="29"/>
        <v>Desarrollo del Sistema de Educación Superior</v>
      </c>
      <c r="K664" s="98" t="s">
        <v>412</v>
      </c>
    </row>
    <row r="665" spans="3:11" x14ac:dyDescent="0.25">
      <c r="C665" s="141"/>
      <c r="D665" s="158"/>
      <c r="E665" s="123"/>
      <c r="F665" s="97">
        <f t="shared" si="28"/>
        <v>0</v>
      </c>
      <c r="G665" s="161"/>
      <c r="H665" s="142"/>
      <c r="I665" s="130" t="e">
        <f>VLOOKUP(H665,Presupuesto!$B$11:$C$565,2,0)</f>
        <v>#N/A</v>
      </c>
      <c r="J665" s="98" t="str">
        <f t="shared" si="29"/>
        <v>Desarrollo del Sistema de Educación Superior</v>
      </c>
      <c r="K665" s="98" t="s">
        <v>412</v>
      </c>
    </row>
    <row r="666" spans="3:11" x14ac:dyDescent="0.25">
      <c r="C666" s="141"/>
      <c r="D666" s="158"/>
      <c r="E666" s="123"/>
      <c r="F666" s="97">
        <f t="shared" si="28"/>
        <v>0</v>
      </c>
      <c r="G666" s="161"/>
      <c r="H666" s="142"/>
      <c r="I666" s="130" t="e">
        <f>VLOOKUP(H666,Presupuesto!$B$11:$C$565,2,0)</f>
        <v>#N/A</v>
      </c>
      <c r="J666" s="98" t="str">
        <f t="shared" si="29"/>
        <v>Desarrollo del Sistema de Educación Superior</v>
      </c>
      <c r="K666" s="98" t="s">
        <v>412</v>
      </c>
    </row>
    <row r="667" spans="3:11" x14ac:dyDescent="0.25">
      <c r="C667" s="141"/>
      <c r="D667" s="158"/>
      <c r="E667" s="123"/>
      <c r="F667" s="97">
        <f t="shared" si="28"/>
        <v>0</v>
      </c>
      <c r="G667" s="161"/>
      <c r="H667" s="142"/>
      <c r="I667" s="130" t="e">
        <f>VLOOKUP(H667,Presupuesto!$B$11:$C$565,2,0)</f>
        <v>#N/A</v>
      </c>
      <c r="J667" s="98" t="str">
        <f t="shared" si="29"/>
        <v>Desarrollo del Sistema de Educación Superior</v>
      </c>
      <c r="K667" s="98" t="s">
        <v>412</v>
      </c>
    </row>
    <row r="668" spans="3:11" x14ac:dyDescent="0.25">
      <c r="C668" s="141"/>
      <c r="D668" s="158"/>
      <c r="E668" s="123"/>
      <c r="F668" s="97">
        <f t="shared" si="28"/>
        <v>0</v>
      </c>
      <c r="G668" s="161"/>
      <c r="H668" s="142"/>
      <c r="I668" s="130" t="e">
        <f>VLOOKUP(H668,Presupuesto!$B$11:$C$565,2,0)</f>
        <v>#N/A</v>
      </c>
      <c r="J668" s="98" t="str">
        <f t="shared" si="29"/>
        <v>Desarrollo del Sistema de Educación Superior</v>
      </c>
      <c r="K668" s="98" t="s">
        <v>412</v>
      </c>
    </row>
    <row r="669" spans="3:11" x14ac:dyDescent="0.25">
      <c r="C669" s="141"/>
      <c r="D669" s="158"/>
      <c r="E669" s="123"/>
      <c r="F669" s="97">
        <f t="shared" si="28"/>
        <v>0</v>
      </c>
      <c r="G669" s="161"/>
      <c r="H669" s="142"/>
      <c r="I669" s="130" t="e">
        <f>VLOOKUP(H669,Presupuesto!$B$11:$C$565,2,0)</f>
        <v>#N/A</v>
      </c>
      <c r="J669" s="98" t="str">
        <f t="shared" si="29"/>
        <v>Desarrollo del Sistema de Educación Superior</v>
      </c>
      <c r="K669" s="98" t="s">
        <v>412</v>
      </c>
    </row>
    <row r="670" spans="3:11" x14ac:dyDescent="0.25">
      <c r="C670" s="141"/>
      <c r="D670" s="158"/>
      <c r="E670" s="123"/>
      <c r="F670" s="97">
        <f t="shared" si="28"/>
        <v>0</v>
      </c>
      <c r="G670" s="161"/>
      <c r="H670" s="142"/>
      <c r="I670" s="130" t="e">
        <f>VLOOKUP(H670,Presupuesto!$B$11:$C$565,2,0)</f>
        <v>#N/A</v>
      </c>
      <c r="J670" s="98" t="str">
        <f t="shared" si="29"/>
        <v>Desarrollo del Sistema de Educación Superior</v>
      </c>
      <c r="K670" s="98" t="s">
        <v>412</v>
      </c>
    </row>
    <row r="671" spans="3:11" x14ac:dyDescent="0.25">
      <c r="C671" s="141"/>
      <c r="D671" s="158"/>
      <c r="E671" s="123"/>
      <c r="F671" s="97">
        <f t="shared" si="28"/>
        <v>0</v>
      </c>
      <c r="G671" s="161"/>
      <c r="H671" s="142"/>
      <c r="I671" s="130" t="e">
        <f>VLOOKUP(H671,Presupuesto!$B$11:$C$565,2,0)</f>
        <v>#N/A</v>
      </c>
      <c r="J671" s="98" t="str">
        <f t="shared" si="29"/>
        <v>Desarrollo del Sistema de Educación Superior</v>
      </c>
      <c r="K671" s="98" t="s">
        <v>412</v>
      </c>
    </row>
    <row r="672" spans="3:11" x14ac:dyDescent="0.25">
      <c r="C672" s="141"/>
      <c r="D672" s="158"/>
      <c r="E672" s="123"/>
      <c r="F672" s="97">
        <f t="shared" si="28"/>
        <v>0</v>
      </c>
      <c r="G672" s="161"/>
      <c r="H672" s="142"/>
      <c r="I672" s="130" t="e">
        <f>VLOOKUP(H672,Presupuesto!$B$11:$C$565,2,0)</f>
        <v>#N/A</v>
      </c>
      <c r="J672" s="98" t="str">
        <f t="shared" si="29"/>
        <v>Desarrollo del Sistema de Educación Superior</v>
      </c>
      <c r="K672" s="98" t="s">
        <v>412</v>
      </c>
    </row>
    <row r="673" spans="3:11" x14ac:dyDescent="0.25">
      <c r="C673" s="141"/>
      <c r="D673" s="158"/>
      <c r="E673" s="123"/>
      <c r="F673" s="97">
        <f t="shared" si="28"/>
        <v>0</v>
      </c>
      <c r="G673" s="161"/>
      <c r="H673" s="142"/>
      <c r="I673" s="130" t="e">
        <f>VLOOKUP(H673,Presupuesto!$B$11:$C$565,2,0)</f>
        <v>#N/A</v>
      </c>
      <c r="J673" s="98" t="str">
        <f t="shared" si="29"/>
        <v>Desarrollo del Sistema de Educación Superior</v>
      </c>
      <c r="K673" s="98" t="s">
        <v>412</v>
      </c>
    </row>
    <row r="674" spans="3:11" x14ac:dyDescent="0.25">
      <c r="C674" s="141"/>
      <c r="D674" s="158"/>
      <c r="E674" s="123"/>
      <c r="F674" s="97">
        <f t="shared" si="28"/>
        <v>0</v>
      </c>
      <c r="G674" s="161"/>
      <c r="H674" s="142"/>
      <c r="I674" s="130" t="e">
        <f>VLOOKUP(H674,Presupuesto!$B$11:$C$565,2,0)</f>
        <v>#N/A</v>
      </c>
      <c r="J674" s="98" t="str">
        <f t="shared" si="29"/>
        <v>Desarrollo del Sistema de Educación Superior</v>
      </c>
      <c r="K674" s="98" t="s">
        <v>412</v>
      </c>
    </row>
    <row r="675" spans="3:11" x14ac:dyDescent="0.25">
      <c r="C675" s="143"/>
      <c r="D675" s="151"/>
      <c r="E675" s="118"/>
      <c r="F675" s="97">
        <f t="shared" si="28"/>
        <v>0</v>
      </c>
      <c r="G675" s="161"/>
      <c r="H675" s="144"/>
      <c r="I675" s="130" t="e">
        <f>VLOOKUP(H675,Presupuesto!$B$11:$C$565,2,0)</f>
        <v>#N/A</v>
      </c>
      <c r="J675" s="98" t="str">
        <f t="shared" si="29"/>
        <v>Desarrollo del Sistema de Educación Superior</v>
      </c>
      <c r="K675" s="98" t="s">
        <v>412</v>
      </c>
    </row>
    <row r="676" spans="3:11" x14ac:dyDescent="0.25">
      <c r="C676" s="143"/>
      <c r="D676" s="151"/>
      <c r="E676" s="118"/>
      <c r="F676" s="97">
        <f t="shared" si="28"/>
        <v>0</v>
      </c>
      <c r="G676" s="161"/>
      <c r="H676" s="144"/>
      <c r="I676" s="130" t="e">
        <f>VLOOKUP(H676,Presupuesto!$B$11:$C$565,2,0)</f>
        <v>#N/A</v>
      </c>
      <c r="J676" s="98" t="str">
        <f t="shared" si="29"/>
        <v>Desarrollo del Sistema de Educación Superior</v>
      </c>
      <c r="K676" s="98" t="s">
        <v>412</v>
      </c>
    </row>
    <row r="677" spans="3:11" x14ac:dyDescent="0.25">
      <c r="C677" s="143"/>
      <c r="D677" s="151"/>
      <c r="E677" s="118"/>
      <c r="F677" s="97">
        <f t="shared" si="28"/>
        <v>0</v>
      </c>
      <c r="G677" s="161"/>
      <c r="H677" s="144"/>
      <c r="I677" s="130" t="e">
        <f>VLOOKUP(H677,Presupuesto!$B$11:$C$565,2,0)</f>
        <v>#N/A</v>
      </c>
      <c r="J677" s="98" t="str">
        <f t="shared" si="29"/>
        <v>Desarrollo del Sistema de Educación Superior</v>
      </c>
      <c r="K677" s="98" t="s">
        <v>412</v>
      </c>
    </row>
    <row r="678" spans="3:11" x14ac:dyDescent="0.25">
      <c r="C678" s="143"/>
      <c r="D678" s="151"/>
      <c r="E678" s="118"/>
      <c r="F678" s="97">
        <f t="shared" si="28"/>
        <v>0</v>
      </c>
      <c r="G678" s="161"/>
      <c r="H678" s="144"/>
      <c r="I678" s="130" t="e">
        <f>VLOOKUP(H678,Presupuesto!$B$11:$C$565,2,0)</f>
        <v>#N/A</v>
      </c>
      <c r="J678" s="98" t="str">
        <f t="shared" si="29"/>
        <v>Desarrollo del Sistema de Educación Superior</v>
      </c>
      <c r="K678" s="98" t="s">
        <v>412</v>
      </c>
    </row>
    <row r="679" spans="3:11" x14ac:dyDescent="0.25">
      <c r="C679" s="143"/>
      <c r="D679" s="151"/>
      <c r="E679" s="118"/>
      <c r="F679" s="97">
        <f t="shared" si="28"/>
        <v>0</v>
      </c>
      <c r="G679" s="161"/>
      <c r="H679" s="144"/>
      <c r="I679" s="130" t="e">
        <f>VLOOKUP(H679,Presupuesto!$B$11:$C$565,2,0)</f>
        <v>#N/A</v>
      </c>
      <c r="J679" s="98" t="str">
        <f t="shared" si="29"/>
        <v>Desarrollo del Sistema de Educación Superior</v>
      </c>
      <c r="K679" s="98" t="s">
        <v>412</v>
      </c>
    </row>
    <row r="680" spans="3:11" x14ac:dyDescent="0.25">
      <c r="C680" s="143"/>
      <c r="D680" s="151"/>
      <c r="E680" s="118"/>
      <c r="F680" s="97">
        <f t="shared" si="28"/>
        <v>0</v>
      </c>
      <c r="G680" s="161"/>
      <c r="H680" s="144"/>
      <c r="I680" s="130" t="e">
        <f>VLOOKUP(H680,Presupuesto!$B$11:$C$565,2,0)</f>
        <v>#N/A</v>
      </c>
      <c r="J680" s="98" t="str">
        <f t="shared" si="29"/>
        <v>Desarrollo del Sistema de Educación Superior</v>
      </c>
      <c r="K680" s="98" t="s">
        <v>412</v>
      </c>
    </row>
    <row r="681" spans="3:11" x14ac:dyDescent="0.25">
      <c r="C681" s="143"/>
      <c r="D681" s="151"/>
      <c r="E681" s="118"/>
      <c r="F681" s="97">
        <f t="shared" si="28"/>
        <v>0</v>
      </c>
      <c r="G681" s="161"/>
      <c r="H681" s="144"/>
      <c r="I681" s="130" t="e">
        <f>VLOOKUP(H681,Presupuesto!$B$11:$C$565,2,0)</f>
        <v>#N/A</v>
      </c>
      <c r="J681" s="98" t="str">
        <f t="shared" si="29"/>
        <v>Desarrollo del Sistema de Educación Superior</v>
      </c>
      <c r="K681" s="98" t="s">
        <v>412</v>
      </c>
    </row>
    <row r="682" spans="3:11" x14ac:dyDescent="0.25">
      <c r="C682" s="143"/>
      <c r="D682" s="151"/>
      <c r="E682" s="118"/>
      <c r="F682" s="97">
        <f t="shared" si="28"/>
        <v>0</v>
      </c>
      <c r="G682" s="161"/>
      <c r="H682" s="144"/>
      <c r="I682" s="130" t="e">
        <f>VLOOKUP(H682,Presupuesto!$B$11:$C$565,2,0)</f>
        <v>#N/A</v>
      </c>
      <c r="J682" s="98" t="str">
        <f t="shared" si="29"/>
        <v>Desarrollo del Sistema de Educación Superior</v>
      </c>
      <c r="K682" s="98" t="s">
        <v>412</v>
      </c>
    </row>
    <row r="683" spans="3:11" x14ac:dyDescent="0.25">
      <c r="C683" s="145"/>
      <c r="D683" s="151"/>
      <c r="E683" s="118"/>
      <c r="F683" s="97">
        <f t="shared" si="28"/>
        <v>0</v>
      </c>
      <c r="G683" s="161"/>
      <c r="H683" s="146"/>
      <c r="I683" s="130" t="e">
        <f>VLOOKUP(H683,Presupuesto!$B$11:$C$565,2,0)</f>
        <v>#N/A</v>
      </c>
      <c r="J683" s="98" t="str">
        <f t="shared" si="29"/>
        <v>Desarrollo del Sistema de Educación Superior</v>
      </c>
      <c r="K683" s="98" t="s">
        <v>403</v>
      </c>
    </row>
    <row r="684" spans="3:11" x14ac:dyDescent="0.25">
      <c r="C684" s="145"/>
      <c r="D684" s="151"/>
      <c r="E684" s="118"/>
      <c r="F684" s="97">
        <f t="shared" si="28"/>
        <v>0</v>
      </c>
      <c r="G684" s="161"/>
      <c r="H684" s="146"/>
      <c r="I684" s="130" t="e">
        <f>VLOOKUP(H684,Presupuesto!$B$11:$C$565,2,0)</f>
        <v>#N/A</v>
      </c>
      <c r="J684" s="98" t="str">
        <f t="shared" si="29"/>
        <v>Desarrollo del Sistema de Educación Superior</v>
      </c>
      <c r="K684" s="98" t="s">
        <v>412</v>
      </c>
    </row>
    <row r="685" spans="3:11" x14ac:dyDescent="0.25">
      <c r="C685" s="145"/>
      <c r="D685" s="151"/>
      <c r="E685" s="118"/>
      <c r="F685" s="97">
        <f t="shared" si="28"/>
        <v>0</v>
      </c>
      <c r="G685" s="161"/>
      <c r="H685" s="146"/>
      <c r="I685" s="130" t="e">
        <f>VLOOKUP(H685,Presupuesto!$B$11:$C$565,2,0)</f>
        <v>#N/A</v>
      </c>
      <c r="J685" s="98" t="str">
        <f t="shared" si="29"/>
        <v>Desarrollo del Sistema de Educación Superior</v>
      </c>
      <c r="K685" s="98" t="s">
        <v>412</v>
      </c>
    </row>
    <row r="686" spans="3:11" x14ac:dyDescent="0.25">
      <c r="C686" s="145"/>
      <c r="D686" s="151"/>
      <c r="E686" s="118"/>
      <c r="F686" s="97">
        <f t="shared" si="28"/>
        <v>0</v>
      </c>
      <c r="G686" s="161"/>
      <c r="H686" s="146"/>
      <c r="I686" s="130" t="e">
        <f>VLOOKUP(H686,Presupuesto!$B$11:$C$565,2,0)</f>
        <v>#N/A</v>
      </c>
      <c r="J686" s="98" t="str">
        <f t="shared" si="29"/>
        <v>Desarrollo del Sistema de Educación Superior</v>
      </c>
      <c r="K686" s="98" t="s">
        <v>412</v>
      </c>
    </row>
    <row r="687" spans="3:11" ht="15.75" thickBot="1" x14ac:dyDescent="0.3">
      <c r="C687" s="147"/>
      <c r="D687" s="159"/>
      <c r="E687" s="103"/>
      <c r="F687" s="105">
        <f t="shared" si="28"/>
        <v>0</v>
      </c>
      <c r="G687" s="162"/>
      <c r="H687" s="148"/>
      <c r="I687" s="132" t="e">
        <f>VLOOKUP(H687,Presupuesto!$B$11:$C$565,2,0)</f>
        <v>#N/A</v>
      </c>
      <c r="J687" s="106" t="str">
        <f t="shared" si="29"/>
        <v>Desarrollo del Sistema de Educación Superior</v>
      </c>
      <c r="K687" s="124" t="s">
        <v>394</v>
      </c>
    </row>
    <row r="689" spans="3:11" ht="15.75" thickBot="1" x14ac:dyDescent="0.3"/>
    <row r="690" spans="3:11" ht="15.75" thickBot="1" x14ac:dyDescent="0.3">
      <c r="C690" s="157" t="s">
        <v>53</v>
      </c>
      <c r="D690" s="374">
        <f>SUM(F697:F731)</f>
        <v>0</v>
      </c>
      <c r="F690" s="70"/>
      <c r="G690" s="79"/>
      <c r="H690" s="70"/>
      <c r="I690" s="70"/>
    </row>
    <row r="691" spans="3:11" x14ac:dyDescent="0.25">
      <c r="C691" s="70"/>
      <c r="D691" s="31"/>
      <c r="E691" s="93"/>
      <c r="F691" s="93"/>
      <c r="G691" s="93"/>
      <c r="H691" s="76"/>
      <c r="I691" s="76"/>
      <c r="J691" s="76"/>
      <c r="K691" s="112"/>
    </row>
    <row r="692" spans="3:11" x14ac:dyDescent="0.25">
      <c r="C692" s="70"/>
      <c r="D692" s="31"/>
      <c r="E692" s="93"/>
      <c r="F692" s="93"/>
      <c r="G692" s="93"/>
      <c r="H692" s="76"/>
      <c r="I692" s="76"/>
      <c r="J692" s="76"/>
      <c r="K692" s="112"/>
    </row>
    <row r="693" spans="3:11" ht="15.75" x14ac:dyDescent="0.25">
      <c r="C693" s="202" t="s">
        <v>392</v>
      </c>
      <c r="D693" s="370"/>
      <c r="E693" s="93"/>
      <c r="F693" s="93"/>
      <c r="G693" s="93"/>
      <c r="H693" s="76"/>
      <c r="I693" s="76"/>
      <c r="J693" s="76"/>
      <c r="K693" s="112"/>
    </row>
    <row r="694" spans="3:11" ht="18.75" x14ac:dyDescent="0.25">
      <c r="C694" s="211" t="e">
        <f>IFERROR(VLOOKUP(D693,'1. Desarrollo e Innov. Curricu.'!$E:$F,2,FALSE),IFERROR(VLOOKUP(D693,'2. Investigación Científica'!$E:$F,2,FALSE),IFERROR(VLOOKUP(D693,'3. Vinculación Univ. Sociedad'!$E:$F,2,FALSE),IFERROR(VLOOKUP(D693,'4. Docencia y Profesorado Univ.'!$E:$F,2,FALSE),IFERROR(VLOOKUP(D693,'5. Estudiantes y Graduados'!$E:$F,2,FALSE),IFERROR(VLOOKUP(D693,'11. Gestion Administrativa'!$E:$F,2,FALSE),IFERROR(VLOOKUP(D693,'13. Gestión Académica'!$E:$F,2,FALSE),IFERROR(VLOOKUP(D693,'8. Asegura. de la Calid. y M'!$E:$F,2,FALSE),IFERROR(VLOOKUP(D693,'6. Gestión del Conocimiento'!$E:$F,2,FALSE),IFERROR(VLOOKUP(D693,'15. Gobernabilidad y Proceso...'!$E:$F,2,FALSE),IFERROR(VLOOKUP(D693,'12. Gestión del Talento Humano'!$E:$F,2,FALSE),IFERROR(VLOOKUP(D693,'14. Internacional... de la E.S.'!$E:$F,2,FALSE),IFERROR(VLOOKUP(D693,'10. Posgrado'!$E:$F,2,FALSE),IFERROR(VLOOKUP(D693,'17. Gestión TIC'!$E:$F,2,FALSE),IFERROR(VLOOKUP(D693,'16. Desa. del Sistema Educ.Sup.'!$E:$F,2,FALSE),IFERROR(VLOOKUP(D693,'9. Cultura de Inno. Insti...'!$E:$F,2,FALSE),VLOOKUP(D693,'7. Lo Esencial de la Reforma U.'!$E:$F,2,0)))))))))))))))))</f>
        <v>#N/A</v>
      </c>
      <c r="D694" s="31"/>
      <c r="E694" s="93"/>
      <c r="F694" s="93"/>
      <c r="G694" s="93"/>
      <c r="H694" s="76"/>
      <c r="I694" s="76"/>
      <c r="J694" s="76"/>
      <c r="K694" s="112"/>
    </row>
    <row r="695" spans="3:11" ht="15.75" thickBot="1" x14ac:dyDescent="0.3">
      <c r="F695" s="93"/>
      <c r="G695" s="76"/>
      <c r="H695" s="76"/>
      <c r="I695" s="76"/>
    </row>
    <row r="696" spans="3:11" ht="30.75" thickBot="1" x14ac:dyDescent="0.3">
      <c r="C696" s="129" t="s">
        <v>44</v>
      </c>
      <c r="D696" s="129" t="s">
        <v>55</v>
      </c>
      <c r="E696" s="136" t="s">
        <v>57</v>
      </c>
      <c r="F696" s="135" t="s">
        <v>27</v>
      </c>
      <c r="G696" s="133" t="s">
        <v>131</v>
      </c>
      <c r="H696" s="136" t="s">
        <v>46</v>
      </c>
      <c r="I696" s="133" t="s">
        <v>132</v>
      </c>
      <c r="J696" s="133" t="s">
        <v>410</v>
      </c>
      <c r="K696" s="133" t="s">
        <v>411</v>
      </c>
    </row>
    <row r="697" spans="3:11" x14ac:dyDescent="0.25">
      <c r="C697" s="221" t="s">
        <v>439</v>
      </c>
      <c r="D697" s="222"/>
      <c r="E697" s="220">
        <f>HLOOKUP(C697,$AH$2:$BU$3,2,0)</f>
        <v>620</v>
      </c>
      <c r="F697" s="97">
        <f t="shared" ref="F697:F731" si="30">D697*E697</f>
        <v>0</v>
      </c>
      <c r="G697" s="161"/>
      <c r="H697" s="142"/>
      <c r="I697" s="130" t="e">
        <f>VLOOKUP(H697,Presupuesto!$B$11:$C$565,2,0)</f>
        <v>#N/A</v>
      </c>
      <c r="J697" s="219" t="s">
        <v>1479</v>
      </c>
      <c r="K697" s="98" t="s">
        <v>394</v>
      </c>
    </row>
    <row r="698" spans="3:11" x14ac:dyDescent="0.25">
      <c r="C698" s="141"/>
      <c r="D698" s="158"/>
      <c r="E698" s="123"/>
      <c r="F698" s="97">
        <f t="shared" si="30"/>
        <v>0</v>
      </c>
      <c r="G698" s="161"/>
      <c r="H698" s="142"/>
      <c r="I698" s="130" t="e">
        <f>VLOOKUP(H698,Presupuesto!$B$11:$C$565,2,0)</f>
        <v>#N/A</v>
      </c>
      <c r="J698" s="98" t="str">
        <f>$J$697</f>
        <v>Desarrollo del Sistema de Educación Superior</v>
      </c>
      <c r="K698" s="98" t="s">
        <v>412</v>
      </c>
    </row>
    <row r="699" spans="3:11" x14ac:dyDescent="0.25">
      <c r="C699" s="141"/>
      <c r="D699" s="158"/>
      <c r="E699" s="123"/>
      <c r="F699" s="97">
        <f t="shared" si="30"/>
        <v>0</v>
      </c>
      <c r="G699" s="161"/>
      <c r="H699" s="142"/>
      <c r="I699" s="130" t="e">
        <f>VLOOKUP(H699,Presupuesto!$B$11:$C$565,2,0)</f>
        <v>#N/A</v>
      </c>
      <c r="J699" s="98" t="str">
        <f t="shared" ref="J699:J731" si="31">$J$697</f>
        <v>Desarrollo del Sistema de Educación Superior</v>
      </c>
      <c r="K699" s="98" t="s">
        <v>412</v>
      </c>
    </row>
    <row r="700" spans="3:11" x14ac:dyDescent="0.25">
      <c r="C700" s="141"/>
      <c r="D700" s="158"/>
      <c r="E700" s="123"/>
      <c r="F700" s="97">
        <f t="shared" si="30"/>
        <v>0</v>
      </c>
      <c r="G700" s="161"/>
      <c r="H700" s="142"/>
      <c r="I700" s="130" t="e">
        <f>VLOOKUP(H700,Presupuesto!$B$11:$C$565,2,0)</f>
        <v>#N/A</v>
      </c>
      <c r="J700" s="98" t="str">
        <f t="shared" si="31"/>
        <v>Desarrollo del Sistema de Educación Superior</v>
      </c>
      <c r="K700" s="98" t="s">
        <v>412</v>
      </c>
    </row>
    <row r="701" spans="3:11" x14ac:dyDescent="0.25">
      <c r="C701" s="141"/>
      <c r="D701" s="158"/>
      <c r="E701" s="123"/>
      <c r="F701" s="97">
        <f t="shared" si="30"/>
        <v>0</v>
      </c>
      <c r="G701" s="161"/>
      <c r="H701" s="142"/>
      <c r="I701" s="130" t="e">
        <f>VLOOKUP(H701,Presupuesto!$B$11:$C$565,2,0)</f>
        <v>#N/A</v>
      </c>
      <c r="J701" s="98" t="str">
        <f t="shared" si="31"/>
        <v>Desarrollo del Sistema de Educación Superior</v>
      </c>
      <c r="K701" s="98" t="s">
        <v>412</v>
      </c>
    </row>
    <row r="702" spans="3:11" x14ac:dyDescent="0.25">
      <c r="C702" s="141"/>
      <c r="D702" s="158"/>
      <c r="E702" s="123"/>
      <c r="F702" s="97">
        <f t="shared" si="30"/>
        <v>0</v>
      </c>
      <c r="G702" s="161"/>
      <c r="H702" s="142"/>
      <c r="I702" s="130" t="e">
        <f>VLOOKUP(H702,Presupuesto!$B$11:$C$565,2,0)</f>
        <v>#N/A</v>
      </c>
      <c r="J702" s="98" t="str">
        <f t="shared" si="31"/>
        <v>Desarrollo del Sistema de Educación Superior</v>
      </c>
      <c r="K702" s="98" t="s">
        <v>401</v>
      </c>
    </row>
    <row r="703" spans="3:11" x14ac:dyDescent="0.25">
      <c r="C703" s="141"/>
      <c r="D703" s="158"/>
      <c r="E703" s="123"/>
      <c r="F703" s="97">
        <f t="shared" si="30"/>
        <v>0</v>
      </c>
      <c r="G703" s="161"/>
      <c r="H703" s="142"/>
      <c r="I703" s="130" t="e">
        <f>VLOOKUP(H703,Presupuesto!$B$11:$C$565,2,0)</f>
        <v>#N/A</v>
      </c>
      <c r="J703" s="98" t="str">
        <f t="shared" si="31"/>
        <v>Desarrollo del Sistema de Educación Superior</v>
      </c>
      <c r="K703" s="98" t="s">
        <v>412</v>
      </c>
    </row>
    <row r="704" spans="3:11" x14ac:dyDescent="0.25">
      <c r="C704" s="141"/>
      <c r="D704" s="158"/>
      <c r="E704" s="123"/>
      <c r="F704" s="97">
        <f t="shared" si="30"/>
        <v>0</v>
      </c>
      <c r="G704" s="161"/>
      <c r="H704" s="142"/>
      <c r="I704" s="130" t="e">
        <f>VLOOKUP(H704,Presupuesto!$B$11:$C$565,2,0)</f>
        <v>#N/A</v>
      </c>
      <c r="J704" s="98" t="str">
        <f t="shared" si="31"/>
        <v>Desarrollo del Sistema de Educación Superior</v>
      </c>
      <c r="K704" s="98" t="s">
        <v>412</v>
      </c>
    </row>
    <row r="705" spans="3:11" x14ac:dyDescent="0.25">
      <c r="C705" s="141"/>
      <c r="D705" s="158"/>
      <c r="E705" s="123"/>
      <c r="F705" s="97">
        <f t="shared" si="30"/>
        <v>0</v>
      </c>
      <c r="G705" s="161"/>
      <c r="H705" s="142"/>
      <c r="I705" s="130" t="e">
        <f>VLOOKUP(H705,Presupuesto!$B$11:$C$565,2,0)</f>
        <v>#N/A</v>
      </c>
      <c r="J705" s="98" t="str">
        <f t="shared" si="31"/>
        <v>Desarrollo del Sistema de Educación Superior</v>
      </c>
      <c r="K705" s="98" t="s">
        <v>412</v>
      </c>
    </row>
    <row r="706" spans="3:11" x14ac:dyDescent="0.25">
      <c r="C706" s="141"/>
      <c r="D706" s="158"/>
      <c r="E706" s="123"/>
      <c r="F706" s="97">
        <f t="shared" si="30"/>
        <v>0</v>
      </c>
      <c r="G706" s="161"/>
      <c r="H706" s="142"/>
      <c r="I706" s="130" t="e">
        <f>VLOOKUP(H706,Presupuesto!$B$11:$C$565,2,0)</f>
        <v>#N/A</v>
      </c>
      <c r="J706" s="98" t="str">
        <f t="shared" si="31"/>
        <v>Desarrollo del Sistema de Educación Superior</v>
      </c>
      <c r="K706" s="98" t="s">
        <v>412</v>
      </c>
    </row>
    <row r="707" spans="3:11" x14ac:dyDescent="0.25">
      <c r="C707" s="141"/>
      <c r="D707" s="158"/>
      <c r="E707" s="123"/>
      <c r="F707" s="97">
        <f t="shared" si="30"/>
        <v>0</v>
      </c>
      <c r="G707" s="161"/>
      <c r="H707" s="142"/>
      <c r="I707" s="130" t="e">
        <f>VLOOKUP(H707,Presupuesto!$B$11:$C$565,2,0)</f>
        <v>#N/A</v>
      </c>
      <c r="J707" s="98" t="str">
        <f t="shared" si="31"/>
        <v>Desarrollo del Sistema de Educación Superior</v>
      </c>
      <c r="K707" s="98" t="s">
        <v>412</v>
      </c>
    </row>
    <row r="708" spans="3:11" x14ac:dyDescent="0.25">
      <c r="C708" s="141"/>
      <c r="D708" s="158"/>
      <c r="E708" s="123"/>
      <c r="F708" s="97">
        <f t="shared" si="30"/>
        <v>0</v>
      </c>
      <c r="G708" s="161"/>
      <c r="H708" s="142"/>
      <c r="I708" s="130" t="e">
        <f>VLOOKUP(H708,Presupuesto!$B$11:$C$565,2,0)</f>
        <v>#N/A</v>
      </c>
      <c r="J708" s="98" t="str">
        <f t="shared" si="31"/>
        <v>Desarrollo del Sistema de Educación Superior</v>
      </c>
      <c r="K708" s="98" t="s">
        <v>412</v>
      </c>
    </row>
    <row r="709" spans="3:11" x14ac:dyDescent="0.25">
      <c r="C709" s="141"/>
      <c r="D709" s="158"/>
      <c r="E709" s="123"/>
      <c r="F709" s="97">
        <f t="shared" si="30"/>
        <v>0</v>
      </c>
      <c r="G709" s="161"/>
      <c r="H709" s="142"/>
      <c r="I709" s="130" t="e">
        <f>VLOOKUP(H709,Presupuesto!$B$11:$C$565,2,0)</f>
        <v>#N/A</v>
      </c>
      <c r="J709" s="98" t="str">
        <f t="shared" si="31"/>
        <v>Desarrollo del Sistema de Educación Superior</v>
      </c>
      <c r="K709" s="98" t="s">
        <v>412</v>
      </c>
    </row>
    <row r="710" spans="3:11" x14ac:dyDescent="0.25">
      <c r="C710" s="141"/>
      <c r="D710" s="158"/>
      <c r="E710" s="123"/>
      <c r="F710" s="97">
        <f t="shared" si="30"/>
        <v>0</v>
      </c>
      <c r="G710" s="161"/>
      <c r="H710" s="142"/>
      <c r="I710" s="130" t="e">
        <f>VLOOKUP(H710,Presupuesto!$B$11:$C$565,2,0)</f>
        <v>#N/A</v>
      </c>
      <c r="J710" s="98" t="str">
        <f t="shared" si="31"/>
        <v>Desarrollo del Sistema de Educación Superior</v>
      </c>
      <c r="K710" s="98" t="s">
        <v>412</v>
      </c>
    </row>
    <row r="711" spans="3:11" x14ac:dyDescent="0.25">
      <c r="C711" s="141"/>
      <c r="D711" s="158"/>
      <c r="E711" s="123"/>
      <c r="F711" s="97">
        <f t="shared" si="30"/>
        <v>0</v>
      </c>
      <c r="G711" s="161"/>
      <c r="H711" s="142"/>
      <c r="I711" s="130" t="e">
        <f>VLOOKUP(H711,Presupuesto!$B$11:$C$565,2,0)</f>
        <v>#N/A</v>
      </c>
      <c r="J711" s="98" t="str">
        <f t="shared" si="31"/>
        <v>Desarrollo del Sistema de Educación Superior</v>
      </c>
      <c r="K711" s="98" t="s">
        <v>412</v>
      </c>
    </row>
    <row r="712" spans="3:11" x14ac:dyDescent="0.25">
      <c r="C712" s="141"/>
      <c r="D712" s="158"/>
      <c r="E712" s="123"/>
      <c r="F712" s="97">
        <f t="shared" si="30"/>
        <v>0</v>
      </c>
      <c r="G712" s="161"/>
      <c r="H712" s="142"/>
      <c r="I712" s="130" t="e">
        <f>VLOOKUP(H712,Presupuesto!$B$11:$C$565,2,0)</f>
        <v>#N/A</v>
      </c>
      <c r="J712" s="98" t="str">
        <f t="shared" si="31"/>
        <v>Desarrollo del Sistema de Educación Superior</v>
      </c>
      <c r="K712" s="98" t="s">
        <v>412</v>
      </c>
    </row>
    <row r="713" spans="3:11" x14ac:dyDescent="0.25">
      <c r="C713" s="141"/>
      <c r="D713" s="158"/>
      <c r="E713" s="123"/>
      <c r="F713" s="97">
        <f t="shared" si="30"/>
        <v>0</v>
      </c>
      <c r="G713" s="161"/>
      <c r="H713" s="142"/>
      <c r="I713" s="130" t="e">
        <f>VLOOKUP(H713,Presupuesto!$B$11:$C$565,2,0)</f>
        <v>#N/A</v>
      </c>
      <c r="J713" s="98" t="str">
        <f t="shared" si="31"/>
        <v>Desarrollo del Sistema de Educación Superior</v>
      </c>
      <c r="K713" s="98" t="s">
        <v>412</v>
      </c>
    </row>
    <row r="714" spans="3:11" x14ac:dyDescent="0.25">
      <c r="C714" s="141"/>
      <c r="D714" s="158"/>
      <c r="E714" s="123"/>
      <c r="F714" s="97">
        <f t="shared" si="30"/>
        <v>0</v>
      </c>
      <c r="G714" s="161"/>
      <c r="H714" s="142"/>
      <c r="I714" s="130" t="e">
        <f>VLOOKUP(H714,Presupuesto!$B$11:$C$565,2,0)</f>
        <v>#N/A</v>
      </c>
      <c r="J714" s="98" t="str">
        <f t="shared" si="31"/>
        <v>Desarrollo del Sistema de Educación Superior</v>
      </c>
      <c r="K714" s="98" t="s">
        <v>412</v>
      </c>
    </row>
    <row r="715" spans="3:11" x14ac:dyDescent="0.25">
      <c r="C715" s="141"/>
      <c r="D715" s="158"/>
      <c r="E715" s="123"/>
      <c r="F715" s="97">
        <f t="shared" si="30"/>
        <v>0</v>
      </c>
      <c r="G715" s="161"/>
      <c r="H715" s="142"/>
      <c r="I715" s="130" t="e">
        <f>VLOOKUP(H715,Presupuesto!$B$11:$C$565,2,0)</f>
        <v>#N/A</v>
      </c>
      <c r="J715" s="98" t="str">
        <f t="shared" si="31"/>
        <v>Desarrollo del Sistema de Educación Superior</v>
      </c>
      <c r="K715" s="98" t="s">
        <v>412</v>
      </c>
    </row>
    <row r="716" spans="3:11" x14ac:dyDescent="0.25">
      <c r="C716" s="141"/>
      <c r="D716" s="158"/>
      <c r="E716" s="123"/>
      <c r="F716" s="97">
        <f t="shared" si="30"/>
        <v>0</v>
      </c>
      <c r="G716" s="161"/>
      <c r="H716" s="142"/>
      <c r="I716" s="130" t="e">
        <f>VLOOKUP(H716,Presupuesto!$B$11:$C$565,2,0)</f>
        <v>#N/A</v>
      </c>
      <c r="J716" s="98" t="str">
        <f t="shared" si="31"/>
        <v>Desarrollo del Sistema de Educación Superior</v>
      </c>
      <c r="K716" s="98" t="s">
        <v>412</v>
      </c>
    </row>
    <row r="717" spans="3:11" x14ac:dyDescent="0.25">
      <c r="C717" s="141"/>
      <c r="D717" s="158"/>
      <c r="E717" s="123"/>
      <c r="F717" s="97">
        <f t="shared" si="30"/>
        <v>0</v>
      </c>
      <c r="G717" s="161"/>
      <c r="H717" s="142"/>
      <c r="I717" s="130" t="e">
        <f>VLOOKUP(H717,Presupuesto!$B$11:$C$565,2,0)</f>
        <v>#N/A</v>
      </c>
      <c r="J717" s="98" t="str">
        <f t="shared" si="31"/>
        <v>Desarrollo del Sistema de Educación Superior</v>
      </c>
      <c r="K717" s="98" t="s">
        <v>412</v>
      </c>
    </row>
    <row r="718" spans="3:11" x14ac:dyDescent="0.25">
      <c r="C718" s="141"/>
      <c r="D718" s="158"/>
      <c r="E718" s="123"/>
      <c r="F718" s="97">
        <f t="shared" si="30"/>
        <v>0</v>
      </c>
      <c r="G718" s="161"/>
      <c r="H718" s="142"/>
      <c r="I718" s="130" t="e">
        <f>VLOOKUP(H718,Presupuesto!$B$11:$C$565,2,0)</f>
        <v>#N/A</v>
      </c>
      <c r="J718" s="98" t="str">
        <f t="shared" si="31"/>
        <v>Desarrollo del Sistema de Educación Superior</v>
      </c>
      <c r="K718" s="98" t="s">
        <v>412</v>
      </c>
    </row>
    <row r="719" spans="3:11" x14ac:dyDescent="0.25">
      <c r="C719" s="143"/>
      <c r="D719" s="151"/>
      <c r="E719" s="118"/>
      <c r="F719" s="97">
        <f t="shared" si="30"/>
        <v>0</v>
      </c>
      <c r="G719" s="161"/>
      <c r="H719" s="144"/>
      <c r="I719" s="130" t="e">
        <f>VLOOKUP(H719,Presupuesto!$B$11:$C$565,2,0)</f>
        <v>#N/A</v>
      </c>
      <c r="J719" s="98" t="str">
        <f t="shared" si="31"/>
        <v>Desarrollo del Sistema de Educación Superior</v>
      </c>
      <c r="K719" s="98" t="s">
        <v>412</v>
      </c>
    </row>
    <row r="720" spans="3:11" x14ac:dyDescent="0.25">
      <c r="C720" s="143"/>
      <c r="D720" s="151"/>
      <c r="E720" s="118"/>
      <c r="F720" s="97">
        <f t="shared" si="30"/>
        <v>0</v>
      </c>
      <c r="G720" s="161"/>
      <c r="H720" s="144"/>
      <c r="I720" s="130" t="e">
        <f>VLOOKUP(H720,Presupuesto!$B$11:$C$565,2,0)</f>
        <v>#N/A</v>
      </c>
      <c r="J720" s="98" t="str">
        <f t="shared" si="31"/>
        <v>Desarrollo del Sistema de Educación Superior</v>
      </c>
      <c r="K720" s="98" t="s">
        <v>412</v>
      </c>
    </row>
    <row r="721" spans="3:11" x14ac:dyDescent="0.25">
      <c r="C721" s="143"/>
      <c r="D721" s="151"/>
      <c r="E721" s="118"/>
      <c r="F721" s="97">
        <f t="shared" si="30"/>
        <v>0</v>
      </c>
      <c r="G721" s="161"/>
      <c r="H721" s="144"/>
      <c r="I721" s="130" t="e">
        <f>VLOOKUP(H721,Presupuesto!$B$11:$C$565,2,0)</f>
        <v>#N/A</v>
      </c>
      <c r="J721" s="98" t="str">
        <f t="shared" si="31"/>
        <v>Desarrollo del Sistema de Educación Superior</v>
      </c>
      <c r="K721" s="98" t="s">
        <v>412</v>
      </c>
    </row>
    <row r="722" spans="3:11" x14ac:dyDescent="0.25">
      <c r="C722" s="143"/>
      <c r="D722" s="151"/>
      <c r="E722" s="118"/>
      <c r="F722" s="97">
        <f t="shared" si="30"/>
        <v>0</v>
      </c>
      <c r="G722" s="161"/>
      <c r="H722" s="144"/>
      <c r="I722" s="130" t="e">
        <f>VLOOKUP(H722,Presupuesto!$B$11:$C$565,2,0)</f>
        <v>#N/A</v>
      </c>
      <c r="J722" s="98" t="str">
        <f t="shared" si="31"/>
        <v>Desarrollo del Sistema de Educación Superior</v>
      </c>
      <c r="K722" s="98" t="s">
        <v>412</v>
      </c>
    </row>
    <row r="723" spans="3:11" x14ac:dyDescent="0.25">
      <c r="C723" s="143"/>
      <c r="D723" s="151"/>
      <c r="E723" s="118"/>
      <c r="F723" s="97">
        <f t="shared" si="30"/>
        <v>0</v>
      </c>
      <c r="G723" s="161"/>
      <c r="H723" s="144"/>
      <c r="I723" s="130" t="e">
        <f>VLOOKUP(H723,Presupuesto!$B$11:$C$565,2,0)</f>
        <v>#N/A</v>
      </c>
      <c r="J723" s="98" t="str">
        <f t="shared" si="31"/>
        <v>Desarrollo del Sistema de Educación Superior</v>
      </c>
      <c r="K723" s="98" t="s">
        <v>412</v>
      </c>
    </row>
    <row r="724" spans="3:11" x14ac:dyDescent="0.25">
      <c r="C724" s="143"/>
      <c r="D724" s="151"/>
      <c r="E724" s="118"/>
      <c r="F724" s="97">
        <f t="shared" si="30"/>
        <v>0</v>
      </c>
      <c r="G724" s="161"/>
      <c r="H724" s="144"/>
      <c r="I724" s="130" t="e">
        <f>VLOOKUP(H724,Presupuesto!$B$11:$C$565,2,0)</f>
        <v>#N/A</v>
      </c>
      <c r="J724" s="98" t="str">
        <f t="shared" si="31"/>
        <v>Desarrollo del Sistema de Educación Superior</v>
      </c>
      <c r="K724" s="98" t="s">
        <v>412</v>
      </c>
    </row>
    <row r="725" spans="3:11" x14ac:dyDescent="0.25">
      <c r="C725" s="143"/>
      <c r="D725" s="151"/>
      <c r="E725" s="118"/>
      <c r="F725" s="97">
        <f t="shared" si="30"/>
        <v>0</v>
      </c>
      <c r="G725" s="161"/>
      <c r="H725" s="144"/>
      <c r="I725" s="130" t="e">
        <f>VLOOKUP(H725,Presupuesto!$B$11:$C$565,2,0)</f>
        <v>#N/A</v>
      </c>
      <c r="J725" s="98" t="str">
        <f t="shared" si="31"/>
        <v>Desarrollo del Sistema de Educación Superior</v>
      </c>
      <c r="K725" s="98" t="s">
        <v>412</v>
      </c>
    </row>
    <row r="726" spans="3:11" x14ac:dyDescent="0.25">
      <c r="C726" s="143"/>
      <c r="D726" s="151"/>
      <c r="E726" s="118"/>
      <c r="F726" s="97">
        <f t="shared" si="30"/>
        <v>0</v>
      </c>
      <c r="G726" s="161"/>
      <c r="H726" s="144"/>
      <c r="I726" s="130" t="e">
        <f>VLOOKUP(H726,Presupuesto!$B$11:$C$565,2,0)</f>
        <v>#N/A</v>
      </c>
      <c r="J726" s="98" t="str">
        <f t="shared" si="31"/>
        <v>Desarrollo del Sistema de Educación Superior</v>
      </c>
      <c r="K726" s="98" t="s">
        <v>412</v>
      </c>
    </row>
    <row r="727" spans="3:11" x14ac:dyDescent="0.25">
      <c r="C727" s="145"/>
      <c r="D727" s="151"/>
      <c r="E727" s="118"/>
      <c r="F727" s="97">
        <f t="shared" si="30"/>
        <v>0</v>
      </c>
      <c r="G727" s="161"/>
      <c r="H727" s="146"/>
      <c r="I727" s="130" t="e">
        <f>VLOOKUP(H727,Presupuesto!$B$11:$C$565,2,0)</f>
        <v>#N/A</v>
      </c>
      <c r="J727" s="98" t="str">
        <f t="shared" si="31"/>
        <v>Desarrollo del Sistema de Educación Superior</v>
      </c>
      <c r="K727" s="98" t="s">
        <v>403</v>
      </c>
    </row>
    <row r="728" spans="3:11" x14ac:dyDescent="0.25">
      <c r="C728" s="145"/>
      <c r="D728" s="151"/>
      <c r="E728" s="118"/>
      <c r="F728" s="97">
        <f t="shared" si="30"/>
        <v>0</v>
      </c>
      <c r="G728" s="161"/>
      <c r="H728" s="146"/>
      <c r="I728" s="130" t="e">
        <f>VLOOKUP(H728,Presupuesto!$B$11:$C$565,2,0)</f>
        <v>#N/A</v>
      </c>
      <c r="J728" s="98" t="str">
        <f t="shared" si="31"/>
        <v>Desarrollo del Sistema de Educación Superior</v>
      </c>
      <c r="K728" s="98" t="s">
        <v>412</v>
      </c>
    </row>
    <row r="729" spans="3:11" x14ac:dyDescent="0.25">
      <c r="C729" s="145"/>
      <c r="D729" s="151"/>
      <c r="E729" s="118"/>
      <c r="F729" s="97">
        <f t="shared" si="30"/>
        <v>0</v>
      </c>
      <c r="G729" s="161"/>
      <c r="H729" s="146"/>
      <c r="I729" s="130" t="e">
        <f>VLOOKUP(H729,Presupuesto!$B$11:$C$565,2,0)</f>
        <v>#N/A</v>
      </c>
      <c r="J729" s="98" t="str">
        <f t="shared" si="31"/>
        <v>Desarrollo del Sistema de Educación Superior</v>
      </c>
      <c r="K729" s="98" t="s">
        <v>412</v>
      </c>
    </row>
    <row r="730" spans="3:11" x14ac:dyDescent="0.25">
      <c r="C730" s="145"/>
      <c r="D730" s="151"/>
      <c r="E730" s="118"/>
      <c r="F730" s="97">
        <f t="shared" si="30"/>
        <v>0</v>
      </c>
      <c r="G730" s="161"/>
      <c r="H730" s="146"/>
      <c r="I730" s="130" t="e">
        <f>VLOOKUP(H730,Presupuesto!$B$11:$C$565,2,0)</f>
        <v>#N/A</v>
      </c>
      <c r="J730" s="98" t="str">
        <f t="shared" si="31"/>
        <v>Desarrollo del Sistema de Educación Superior</v>
      </c>
      <c r="K730" s="98" t="s">
        <v>412</v>
      </c>
    </row>
    <row r="731" spans="3:11" ht="15.75" thickBot="1" x14ac:dyDescent="0.3">
      <c r="C731" s="147"/>
      <c r="D731" s="159"/>
      <c r="E731" s="103"/>
      <c r="F731" s="105">
        <f t="shared" si="30"/>
        <v>0</v>
      </c>
      <c r="G731" s="162"/>
      <c r="H731" s="148"/>
      <c r="I731" s="132" t="e">
        <f>VLOOKUP(H731,Presupuesto!$B$11:$C$565,2,0)</f>
        <v>#N/A</v>
      </c>
      <c r="J731" s="106" t="str">
        <f t="shared" si="31"/>
        <v>Desarrollo del Sistema de Educación Superior</v>
      </c>
      <c r="K731" s="124" t="s">
        <v>394</v>
      </c>
    </row>
    <row r="733" spans="3:11" ht="15.75" thickBot="1" x14ac:dyDescent="0.3">
      <c r="F733" s="90"/>
      <c r="G733" s="89"/>
      <c r="H733" s="90"/>
      <c r="I733" s="90"/>
    </row>
    <row r="734" spans="3:11" ht="15.75" thickBot="1" x14ac:dyDescent="0.3">
      <c r="C734" s="157" t="s">
        <v>53</v>
      </c>
      <c r="D734" s="374">
        <f>SUM(F741:F775)</f>
        <v>0</v>
      </c>
      <c r="F734" s="70"/>
      <c r="G734" s="79"/>
      <c r="H734" s="70"/>
      <c r="I734" s="70"/>
    </row>
    <row r="735" spans="3:11" x14ac:dyDescent="0.25">
      <c r="C735" s="70"/>
      <c r="D735" s="31"/>
      <c r="E735" s="93"/>
      <c r="F735" s="93"/>
      <c r="G735" s="93"/>
      <c r="H735" s="76"/>
      <c r="I735" s="76"/>
      <c r="J735" s="76"/>
      <c r="K735" s="112"/>
    </row>
    <row r="736" spans="3:11" x14ac:dyDescent="0.25">
      <c r="C736" s="70"/>
      <c r="D736" s="31"/>
      <c r="E736" s="93"/>
      <c r="F736" s="93"/>
      <c r="G736" s="93"/>
      <c r="H736" s="76"/>
      <c r="I736" s="76"/>
      <c r="J736" s="76"/>
      <c r="K736" s="112"/>
    </row>
    <row r="737" spans="3:11" ht="15.75" x14ac:dyDescent="0.25">
      <c r="C737" s="202" t="s">
        <v>392</v>
      </c>
      <c r="D737" s="370"/>
      <c r="E737" s="93"/>
      <c r="F737" s="93"/>
      <c r="G737" s="93"/>
      <c r="H737" s="76"/>
      <c r="I737" s="76"/>
      <c r="J737" s="76"/>
      <c r="K737" s="112"/>
    </row>
    <row r="738" spans="3:11" ht="18.75" x14ac:dyDescent="0.25">
      <c r="C738" s="211" t="e">
        <f>IFERROR(VLOOKUP(D737,'1. Desarrollo e Innov. Curricu.'!$E:$F,2,FALSE),IFERROR(VLOOKUP(D737,'2. Investigación Científica'!$E:$F,2,FALSE),IFERROR(VLOOKUP(D737,'3. Vinculación Univ. Sociedad'!$E:$F,2,FALSE),IFERROR(VLOOKUP(D737,'4. Docencia y Profesorado Univ.'!$E:$F,2,FALSE),IFERROR(VLOOKUP(D737,'5. Estudiantes y Graduados'!$E:$F,2,FALSE),IFERROR(VLOOKUP(D737,'11. Gestion Administrativa'!$E:$F,2,FALSE),IFERROR(VLOOKUP(D737,'13. Gestión Académica'!$E:$F,2,FALSE),IFERROR(VLOOKUP(D737,'8. Asegura. de la Calid. y M'!$E:$F,2,FALSE),IFERROR(VLOOKUP(D737,'6. Gestión del Conocimiento'!$E:$F,2,FALSE),IFERROR(VLOOKUP(D737,'15. Gobernabilidad y Proceso...'!$E:$F,2,FALSE),IFERROR(VLOOKUP(D737,'12. Gestión del Talento Humano'!$E:$F,2,FALSE),IFERROR(VLOOKUP(D737,'14. Internacional... de la E.S.'!$E:$F,2,FALSE),IFERROR(VLOOKUP(D737,'10. Posgrado'!$E:$F,2,FALSE),IFERROR(VLOOKUP(D737,'17. Gestión TIC'!$E:$F,2,FALSE),IFERROR(VLOOKUP(D737,'16. Desa. del Sistema Educ.Sup.'!$E:$F,2,FALSE),IFERROR(VLOOKUP(D737,'9. Cultura de Inno. Insti...'!$E:$F,2,FALSE),VLOOKUP(D737,'7. Lo Esencial de la Reforma U.'!$E:$F,2,0)))))))))))))))))</f>
        <v>#N/A</v>
      </c>
      <c r="D738" s="31"/>
      <c r="E738" s="93"/>
      <c r="F738" s="93"/>
      <c r="G738" s="93"/>
      <c r="H738" s="76"/>
      <c r="I738" s="76"/>
      <c r="J738" s="76"/>
      <c r="K738" s="112"/>
    </row>
    <row r="739" spans="3:11" ht="15.75" thickBot="1" x14ac:dyDescent="0.3">
      <c r="F739" s="93"/>
      <c r="G739" s="76"/>
      <c r="H739" s="76"/>
      <c r="I739" s="76"/>
    </row>
    <row r="740" spans="3:11" ht="30.75" thickBot="1" x14ac:dyDescent="0.3">
      <c r="C740" s="129" t="s">
        <v>44</v>
      </c>
      <c r="D740" s="129" t="s">
        <v>55</v>
      </c>
      <c r="E740" s="136" t="s">
        <v>57</v>
      </c>
      <c r="F740" s="135" t="s">
        <v>27</v>
      </c>
      <c r="G740" s="133" t="s">
        <v>131</v>
      </c>
      <c r="H740" s="136" t="s">
        <v>46</v>
      </c>
      <c r="I740" s="133" t="s">
        <v>132</v>
      </c>
      <c r="J740" s="133" t="s">
        <v>410</v>
      </c>
      <c r="K740" s="133" t="s">
        <v>411</v>
      </c>
    </row>
    <row r="741" spans="3:11" x14ac:dyDescent="0.25">
      <c r="C741" s="221" t="s">
        <v>439</v>
      </c>
      <c r="D741" s="222"/>
      <c r="E741" s="220">
        <f>HLOOKUP(C741,$AH$2:$BU$3,2,0)</f>
        <v>620</v>
      </c>
      <c r="F741" s="97">
        <f t="shared" ref="F741:F775" si="32">D741*E741</f>
        <v>0</v>
      </c>
      <c r="G741" s="161"/>
      <c r="H741" s="142"/>
      <c r="I741" s="130" t="e">
        <f>VLOOKUP(H741,Presupuesto!$B$11:$C$565,2,0)</f>
        <v>#N/A</v>
      </c>
      <c r="J741" s="219" t="s">
        <v>1479</v>
      </c>
      <c r="K741" s="98" t="s">
        <v>394</v>
      </c>
    </row>
    <row r="742" spans="3:11" x14ac:dyDescent="0.25">
      <c r="C742" s="141"/>
      <c r="D742" s="158"/>
      <c r="E742" s="123"/>
      <c r="F742" s="97">
        <f t="shared" si="32"/>
        <v>0</v>
      </c>
      <c r="G742" s="161"/>
      <c r="H742" s="142"/>
      <c r="I742" s="130" t="e">
        <f>VLOOKUP(H742,Presupuesto!$B$11:$C$565,2,0)</f>
        <v>#N/A</v>
      </c>
      <c r="J742" s="98" t="str">
        <f>$J$741</f>
        <v>Desarrollo del Sistema de Educación Superior</v>
      </c>
      <c r="K742" s="98" t="s">
        <v>412</v>
      </c>
    </row>
    <row r="743" spans="3:11" x14ac:dyDescent="0.25">
      <c r="C743" s="141"/>
      <c r="D743" s="158"/>
      <c r="E743" s="123"/>
      <c r="F743" s="97">
        <f t="shared" si="32"/>
        <v>0</v>
      </c>
      <c r="G743" s="161"/>
      <c r="H743" s="142"/>
      <c r="I743" s="130" t="e">
        <f>VLOOKUP(H743,Presupuesto!$B$11:$C$565,2,0)</f>
        <v>#N/A</v>
      </c>
      <c r="J743" s="98" t="str">
        <f t="shared" ref="J743:J775" si="33">$J$741</f>
        <v>Desarrollo del Sistema de Educación Superior</v>
      </c>
      <c r="K743" s="98" t="s">
        <v>412</v>
      </c>
    </row>
    <row r="744" spans="3:11" x14ac:dyDescent="0.25">
      <c r="C744" s="141"/>
      <c r="D744" s="158"/>
      <c r="E744" s="123"/>
      <c r="F744" s="97">
        <f t="shared" si="32"/>
        <v>0</v>
      </c>
      <c r="G744" s="161"/>
      <c r="H744" s="142"/>
      <c r="I744" s="130" t="e">
        <f>VLOOKUP(H744,Presupuesto!$B$11:$C$565,2,0)</f>
        <v>#N/A</v>
      </c>
      <c r="J744" s="98" t="str">
        <f t="shared" si="33"/>
        <v>Desarrollo del Sistema de Educación Superior</v>
      </c>
      <c r="K744" s="98" t="s">
        <v>412</v>
      </c>
    </row>
    <row r="745" spans="3:11" x14ac:dyDescent="0.25">
      <c r="C745" s="141"/>
      <c r="D745" s="158"/>
      <c r="E745" s="123"/>
      <c r="F745" s="97">
        <f t="shared" si="32"/>
        <v>0</v>
      </c>
      <c r="G745" s="161"/>
      <c r="H745" s="142"/>
      <c r="I745" s="130" t="e">
        <f>VLOOKUP(H745,Presupuesto!$B$11:$C$565,2,0)</f>
        <v>#N/A</v>
      </c>
      <c r="J745" s="98" t="str">
        <f t="shared" si="33"/>
        <v>Desarrollo del Sistema de Educación Superior</v>
      </c>
      <c r="K745" s="98" t="s">
        <v>412</v>
      </c>
    </row>
    <row r="746" spans="3:11" x14ac:dyDescent="0.25">
      <c r="C746" s="141"/>
      <c r="D746" s="158"/>
      <c r="E746" s="123"/>
      <c r="F746" s="97">
        <f t="shared" si="32"/>
        <v>0</v>
      </c>
      <c r="G746" s="161"/>
      <c r="H746" s="142"/>
      <c r="I746" s="130" t="e">
        <f>VLOOKUP(H746,Presupuesto!$B$11:$C$565,2,0)</f>
        <v>#N/A</v>
      </c>
      <c r="J746" s="98" t="str">
        <f t="shared" si="33"/>
        <v>Desarrollo del Sistema de Educación Superior</v>
      </c>
      <c r="K746" s="98" t="s">
        <v>401</v>
      </c>
    </row>
    <row r="747" spans="3:11" x14ac:dyDescent="0.25">
      <c r="C747" s="141"/>
      <c r="D747" s="158"/>
      <c r="E747" s="123"/>
      <c r="F747" s="97">
        <f t="shared" si="32"/>
        <v>0</v>
      </c>
      <c r="G747" s="161"/>
      <c r="H747" s="142"/>
      <c r="I747" s="130" t="e">
        <f>VLOOKUP(H747,Presupuesto!$B$11:$C$565,2,0)</f>
        <v>#N/A</v>
      </c>
      <c r="J747" s="98" t="str">
        <f t="shared" si="33"/>
        <v>Desarrollo del Sistema de Educación Superior</v>
      </c>
      <c r="K747" s="98" t="s">
        <v>412</v>
      </c>
    </row>
    <row r="748" spans="3:11" x14ac:dyDescent="0.25">
      <c r="C748" s="141"/>
      <c r="D748" s="158"/>
      <c r="E748" s="123"/>
      <c r="F748" s="97">
        <f t="shared" si="32"/>
        <v>0</v>
      </c>
      <c r="G748" s="161"/>
      <c r="H748" s="142"/>
      <c r="I748" s="130" t="e">
        <f>VLOOKUP(H748,Presupuesto!$B$11:$C$565,2,0)</f>
        <v>#N/A</v>
      </c>
      <c r="J748" s="98" t="str">
        <f t="shared" si="33"/>
        <v>Desarrollo del Sistema de Educación Superior</v>
      </c>
      <c r="K748" s="98" t="s">
        <v>412</v>
      </c>
    </row>
    <row r="749" spans="3:11" x14ac:dyDescent="0.25">
      <c r="C749" s="141"/>
      <c r="D749" s="158"/>
      <c r="E749" s="123"/>
      <c r="F749" s="97">
        <f t="shared" si="32"/>
        <v>0</v>
      </c>
      <c r="G749" s="161"/>
      <c r="H749" s="142"/>
      <c r="I749" s="130" t="e">
        <f>VLOOKUP(H749,Presupuesto!$B$11:$C$565,2,0)</f>
        <v>#N/A</v>
      </c>
      <c r="J749" s="98" t="str">
        <f t="shared" si="33"/>
        <v>Desarrollo del Sistema de Educación Superior</v>
      </c>
      <c r="K749" s="98" t="s">
        <v>412</v>
      </c>
    </row>
    <row r="750" spans="3:11" x14ac:dyDescent="0.25">
      <c r="C750" s="141"/>
      <c r="D750" s="158"/>
      <c r="E750" s="123"/>
      <c r="F750" s="97">
        <f t="shared" si="32"/>
        <v>0</v>
      </c>
      <c r="G750" s="161"/>
      <c r="H750" s="142"/>
      <c r="I750" s="130" t="e">
        <f>VLOOKUP(H750,Presupuesto!$B$11:$C$565,2,0)</f>
        <v>#N/A</v>
      </c>
      <c r="J750" s="98" t="str">
        <f t="shared" si="33"/>
        <v>Desarrollo del Sistema de Educación Superior</v>
      </c>
      <c r="K750" s="98" t="s">
        <v>412</v>
      </c>
    </row>
    <row r="751" spans="3:11" x14ac:dyDescent="0.25">
      <c r="C751" s="141"/>
      <c r="D751" s="158"/>
      <c r="E751" s="123"/>
      <c r="F751" s="97">
        <f t="shared" si="32"/>
        <v>0</v>
      </c>
      <c r="G751" s="161"/>
      <c r="H751" s="142"/>
      <c r="I751" s="130" t="e">
        <f>VLOOKUP(H751,Presupuesto!$B$11:$C$565,2,0)</f>
        <v>#N/A</v>
      </c>
      <c r="J751" s="98" t="str">
        <f t="shared" si="33"/>
        <v>Desarrollo del Sistema de Educación Superior</v>
      </c>
      <c r="K751" s="98" t="s">
        <v>412</v>
      </c>
    </row>
    <row r="752" spans="3:11" x14ac:dyDescent="0.25">
      <c r="C752" s="141"/>
      <c r="D752" s="158"/>
      <c r="E752" s="123"/>
      <c r="F752" s="97">
        <f t="shared" si="32"/>
        <v>0</v>
      </c>
      <c r="G752" s="161"/>
      <c r="H752" s="142"/>
      <c r="I752" s="130" t="e">
        <f>VLOOKUP(H752,Presupuesto!$B$11:$C$565,2,0)</f>
        <v>#N/A</v>
      </c>
      <c r="J752" s="98" t="str">
        <f t="shared" si="33"/>
        <v>Desarrollo del Sistema de Educación Superior</v>
      </c>
      <c r="K752" s="98" t="s">
        <v>412</v>
      </c>
    </row>
    <row r="753" spans="3:11" x14ac:dyDescent="0.25">
      <c r="C753" s="141"/>
      <c r="D753" s="158"/>
      <c r="E753" s="123"/>
      <c r="F753" s="97">
        <f t="shared" si="32"/>
        <v>0</v>
      </c>
      <c r="G753" s="161"/>
      <c r="H753" s="142"/>
      <c r="I753" s="130" t="e">
        <f>VLOOKUP(H753,Presupuesto!$B$11:$C$565,2,0)</f>
        <v>#N/A</v>
      </c>
      <c r="J753" s="98" t="str">
        <f t="shared" si="33"/>
        <v>Desarrollo del Sistema de Educación Superior</v>
      </c>
      <c r="K753" s="98" t="s">
        <v>412</v>
      </c>
    </row>
    <row r="754" spans="3:11" x14ac:dyDescent="0.25">
      <c r="C754" s="141"/>
      <c r="D754" s="158"/>
      <c r="E754" s="123"/>
      <c r="F754" s="97">
        <f t="shared" si="32"/>
        <v>0</v>
      </c>
      <c r="G754" s="161"/>
      <c r="H754" s="142"/>
      <c r="I754" s="130" t="e">
        <f>VLOOKUP(H754,Presupuesto!$B$11:$C$565,2,0)</f>
        <v>#N/A</v>
      </c>
      <c r="J754" s="98" t="str">
        <f t="shared" si="33"/>
        <v>Desarrollo del Sistema de Educación Superior</v>
      </c>
      <c r="K754" s="98" t="s">
        <v>412</v>
      </c>
    </row>
    <row r="755" spans="3:11" x14ac:dyDescent="0.25">
      <c r="C755" s="141"/>
      <c r="D755" s="158"/>
      <c r="E755" s="123"/>
      <c r="F755" s="97">
        <f t="shared" si="32"/>
        <v>0</v>
      </c>
      <c r="G755" s="161"/>
      <c r="H755" s="142"/>
      <c r="I755" s="130" t="e">
        <f>VLOOKUP(H755,Presupuesto!$B$11:$C$565,2,0)</f>
        <v>#N/A</v>
      </c>
      <c r="J755" s="98" t="str">
        <f t="shared" si="33"/>
        <v>Desarrollo del Sistema de Educación Superior</v>
      </c>
      <c r="K755" s="98" t="s">
        <v>412</v>
      </c>
    </row>
    <row r="756" spans="3:11" x14ac:dyDescent="0.25">
      <c r="C756" s="141"/>
      <c r="D756" s="158"/>
      <c r="E756" s="123"/>
      <c r="F756" s="97">
        <f t="shared" si="32"/>
        <v>0</v>
      </c>
      <c r="G756" s="161"/>
      <c r="H756" s="142"/>
      <c r="I756" s="130" t="e">
        <f>VLOOKUP(H756,Presupuesto!$B$11:$C$565,2,0)</f>
        <v>#N/A</v>
      </c>
      <c r="J756" s="98" t="str">
        <f t="shared" si="33"/>
        <v>Desarrollo del Sistema de Educación Superior</v>
      </c>
      <c r="K756" s="98" t="s">
        <v>412</v>
      </c>
    </row>
    <row r="757" spans="3:11" x14ac:dyDescent="0.25">
      <c r="C757" s="141"/>
      <c r="D757" s="158"/>
      <c r="E757" s="123"/>
      <c r="F757" s="97">
        <f t="shared" si="32"/>
        <v>0</v>
      </c>
      <c r="G757" s="161"/>
      <c r="H757" s="142"/>
      <c r="I757" s="130" t="e">
        <f>VLOOKUP(H757,Presupuesto!$B$11:$C$565,2,0)</f>
        <v>#N/A</v>
      </c>
      <c r="J757" s="98" t="str">
        <f t="shared" si="33"/>
        <v>Desarrollo del Sistema de Educación Superior</v>
      </c>
      <c r="K757" s="98" t="s">
        <v>412</v>
      </c>
    </row>
    <row r="758" spans="3:11" x14ac:dyDescent="0.25">
      <c r="C758" s="141"/>
      <c r="D758" s="158"/>
      <c r="E758" s="123"/>
      <c r="F758" s="97">
        <f t="shared" si="32"/>
        <v>0</v>
      </c>
      <c r="G758" s="161"/>
      <c r="H758" s="142"/>
      <c r="I758" s="130" t="e">
        <f>VLOOKUP(H758,Presupuesto!$B$11:$C$565,2,0)</f>
        <v>#N/A</v>
      </c>
      <c r="J758" s="98" t="str">
        <f t="shared" si="33"/>
        <v>Desarrollo del Sistema de Educación Superior</v>
      </c>
      <c r="K758" s="98" t="s">
        <v>412</v>
      </c>
    </row>
    <row r="759" spans="3:11" x14ac:dyDescent="0.25">
      <c r="C759" s="141"/>
      <c r="D759" s="158"/>
      <c r="E759" s="123"/>
      <c r="F759" s="97">
        <f t="shared" si="32"/>
        <v>0</v>
      </c>
      <c r="G759" s="161"/>
      <c r="H759" s="142"/>
      <c r="I759" s="130" t="e">
        <f>VLOOKUP(H759,Presupuesto!$B$11:$C$565,2,0)</f>
        <v>#N/A</v>
      </c>
      <c r="J759" s="98" t="str">
        <f t="shared" si="33"/>
        <v>Desarrollo del Sistema de Educación Superior</v>
      </c>
      <c r="K759" s="98" t="s">
        <v>412</v>
      </c>
    </row>
    <row r="760" spans="3:11" x14ac:dyDescent="0.25">
      <c r="C760" s="141"/>
      <c r="D760" s="158"/>
      <c r="E760" s="123"/>
      <c r="F760" s="97">
        <f t="shared" si="32"/>
        <v>0</v>
      </c>
      <c r="G760" s="161"/>
      <c r="H760" s="142"/>
      <c r="I760" s="130" t="e">
        <f>VLOOKUP(H760,Presupuesto!$B$11:$C$565,2,0)</f>
        <v>#N/A</v>
      </c>
      <c r="J760" s="98" t="str">
        <f t="shared" si="33"/>
        <v>Desarrollo del Sistema de Educación Superior</v>
      </c>
      <c r="K760" s="98" t="s">
        <v>412</v>
      </c>
    </row>
    <row r="761" spans="3:11" x14ac:dyDescent="0.25">
      <c r="C761" s="141"/>
      <c r="D761" s="158"/>
      <c r="E761" s="123"/>
      <c r="F761" s="97">
        <f t="shared" si="32"/>
        <v>0</v>
      </c>
      <c r="G761" s="161"/>
      <c r="H761" s="142"/>
      <c r="I761" s="130" t="e">
        <f>VLOOKUP(H761,Presupuesto!$B$11:$C$565,2,0)</f>
        <v>#N/A</v>
      </c>
      <c r="J761" s="98" t="str">
        <f t="shared" si="33"/>
        <v>Desarrollo del Sistema de Educación Superior</v>
      </c>
      <c r="K761" s="98" t="s">
        <v>412</v>
      </c>
    </row>
    <row r="762" spans="3:11" x14ac:dyDescent="0.25">
      <c r="C762" s="141"/>
      <c r="D762" s="158"/>
      <c r="E762" s="123"/>
      <c r="F762" s="97">
        <f t="shared" si="32"/>
        <v>0</v>
      </c>
      <c r="G762" s="161"/>
      <c r="H762" s="142"/>
      <c r="I762" s="130" t="e">
        <f>VLOOKUP(H762,Presupuesto!$B$11:$C$565,2,0)</f>
        <v>#N/A</v>
      </c>
      <c r="J762" s="98" t="str">
        <f t="shared" si="33"/>
        <v>Desarrollo del Sistema de Educación Superior</v>
      </c>
      <c r="K762" s="98" t="s">
        <v>412</v>
      </c>
    </row>
    <row r="763" spans="3:11" x14ac:dyDescent="0.25">
      <c r="C763" s="143"/>
      <c r="D763" s="151"/>
      <c r="E763" s="118"/>
      <c r="F763" s="97">
        <f t="shared" si="32"/>
        <v>0</v>
      </c>
      <c r="G763" s="161"/>
      <c r="H763" s="144"/>
      <c r="I763" s="130" t="e">
        <f>VLOOKUP(H763,Presupuesto!$B$11:$C$565,2,0)</f>
        <v>#N/A</v>
      </c>
      <c r="J763" s="98" t="str">
        <f t="shared" si="33"/>
        <v>Desarrollo del Sistema de Educación Superior</v>
      </c>
      <c r="K763" s="98" t="s">
        <v>412</v>
      </c>
    </row>
    <row r="764" spans="3:11" x14ac:dyDescent="0.25">
      <c r="C764" s="143"/>
      <c r="D764" s="151"/>
      <c r="E764" s="118"/>
      <c r="F764" s="97">
        <f t="shared" si="32"/>
        <v>0</v>
      </c>
      <c r="G764" s="161"/>
      <c r="H764" s="144"/>
      <c r="I764" s="130" t="e">
        <f>VLOOKUP(H764,Presupuesto!$B$11:$C$565,2,0)</f>
        <v>#N/A</v>
      </c>
      <c r="J764" s="98" t="str">
        <f t="shared" si="33"/>
        <v>Desarrollo del Sistema de Educación Superior</v>
      </c>
      <c r="K764" s="98" t="s">
        <v>412</v>
      </c>
    </row>
    <row r="765" spans="3:11" x14ac:dyDescent="0.25">
      <c r="C765" s="143"/>
      <c r="D765" s="151"/>
      <c r="E765" s="118"/>
      <c r="F765" s="97">
        <f t="shared" si="32"/>
        <v>0</v>
      </c>
      <c r="G765" s="161"/>
      <c r="H765" s="144"/>
      <c r="I765" s="130" t="e">
        <f>VLOOKUP(H765,Presupuesto!$B$11:$C$565,2,0)</f>
        <v>#N/A</v>
      </c>
      <c r="J765" s="98" t="str">
        <f t="shared" si="33"/>
        <v>Desarrollo del Sistema de Educación Superior</v>
      </c>
      <c r="K765" s="98" t="s">
        <v>412</v>
      </c>
    </row>
    <row r="766" spans="3:11" x14ac:dyDescent="0.25">
      <c r="C766" s="143"/>
      <c r="D766" s="151"/>
      <c r="E766" s="118"/>
      <c r="F766" s="97">
        <f t="shared" si="32"/>
        <v>0</v>
      </c>
      <c r="G766" s="161"/>
      <c r="H766" s="144"/>
      <c r="I766" s="130" t="e">
        <f>VLOOKUP(H766,Presupuesto!$B$11:$C$565,2,0)</f>
        <v>#N/A</v>
      </c>
      <c r="J766" s="98" t="str">
        <f t="shared" si="33"/>
        <v>Desarrollo del Sistema de Educación Superior</v>
      </c>
      <c r="K766" s="98" t="s">
        <v>412</v>
      </c>
    </row>
    <row r="767" spans="3:11" x14ac:dyDescent="0.25">
      <c r="C767" s="143"/>
      <c r="D767" s="151"/>
      <c r="E767" s="118"/>
      <c r="F767" s="97">
        <f t="shared" si="32"/>
        <v>0</v>
      </c>
      <c r="G767" s="161"/>
      <c r="H767" s="144"/>
      <c r="I767" s="130" t="e">
        <f>VLOOKUP(H767,Presupuesto!$B$11:$C$565,2,0)</f>
        <v>#N/A</v>
      </c>
      <c r="J767" s="98" t="str">
        <f t="shared" si="33"/>
        <v>Desarrollo del Sistema de Educación Superior</v>
      </c>
      <c r="K767" s="98" t="s">
        <v>412</v>
      </c>
    </row>
    <row r="768" spans="3:11" x14ac:dyDescent="0.25">
      <c r="C768" s="143"/>
      <c r="D768" s="151"/>
      <c r="E768" s="118"/>
      <c r="F768" s="97">
        <f t="shared" si="32"/>
        <v>0</v>
      </c>
      <c r="G768" s="161"/>
      <c r="H768" s="144"/>
      <c r="I768" s="130" t="e">
        <f>VLOOKUP(H768,Presupuesto!$B$11:$C$565,2,0)</f>
        <v>#N/A</v>
      </c>
      <c r="J768" s="98" t="str">
        <f t="shared" si="33"/>
        <v>Desarrollo del Sistema de Educación Superior</v>
      </c>
      <c r="K768" s="98" t="s">
        <v>412</v>
      </c>
    </row>
    <row r="769" spans="3:11" x14ac:dyDescent="0.25">
      <c r="C769" s="143"/>
      <c r="D769" s="151"/>
      <c r="E769" s="118"/>
      <c r="F769" s="97">
        <f t="shared" si="32"/>
        <v>0</v>
      </c>
      <c r="G769" s="161"/>
      <c r="H769" s="144"/>
      <c r="I769" s="130" t="e">
        <f>VLOOKUP(H769,Presupuesto!$B$11:$C$565,2,0)</f>
        <v>#N/A</v>
      </c>
      <c r="J769" s="98" t="str">
        <f t="shared" si="33"/>
        <v>Desarrollo del Sistema de Educación Superior</v>
      </c>
      <c r="K769" s="98" t="s">
        <v>412</v>
      </c>
    </row>
    <row r="770" spans="3:11" x14ac:dyDescent="0.25">
      <c r="C770" s="143"/>
      <c r="D770" s="151"/>
      <c r="E770" s="118"/>
      <c r="F770" s="97">
        <f t="shared" si="32"/>
        <v>0</v>
      </c>
      <c r="G770" s="161"/>
      <c r="H770" s="144"/>
      <c r="I770" s="130" t="e">
        <f>VLOOKUP(H770,Presupuesto!$B$11:$C$565,2,0)</f>
        <v>#N/A</v>
      </c>
      <c r="J770" s="98" t="str">
        <f t="shared" si="33"/>
        <v>Desarrollo del Sistema de Educación Superior</v>
      </c>
      <c r="K770" s="98" t="s">
        <v>412</v>
      </c>
    </row>
    <row r="771" spans="3:11" x14ac:dyDescent="0.25">
      <c r="C771" s="145"/>
      <c r="D771" s="151"/>
      <c r="E771" s="118"/>
      <c r="F771" s="97">
        <f t="shared" si="32"/>
        <v>0</v>
      </c>
      <c r="G771" s="161"/>
      <c r="H771" s="146"/>
      <c r="I771" s="130" t="e">
        <f>VLOOKUP(H771,Presupuesto!$B$11:$C$565,2,0)</f>
        <v>#N/A</v>
      </c>
      <c r="J771" s="98" t="str">
        <f t="shared" si="33"/>
        <v>Desarrollo del Sistema de Educación Superior</v>
      </c>
      <c r="K771" s="98" t="s">
        <v>403</v>
      </c>
    </row>
    <row r="772" spans="3:11" x14ac:dyDescent="0.25">
      <c r="C772" s="145"/>
      <c r="D772" s="151"/>
      <c r="E772" s="118"/>
      <c r="F772" s="97">
        <f t="shared" si="32"/>
        <v>0</v>
      </c>
      <c r="G772" s="161"/>
      <c r="H772" s="146"/>
      <c r="I772" s="130" t="e">
        <f>VLOOKUP(H772,Presupuesto!$B$11:$C$565,2,0)</f>
        <v>#N/A</v>
      </c>
      <c r="J772" s="98" t="str">
        <f t="shared" si="33"/>
        <v>Desarrollo del Sistema de Educación Superior</v>
      </c>
      <c r="K772" s="98" t="s">
        <v>412</v>
      </c>
    </row>
    <row r="773" spans="3:11" x14ac:dyDescent="0.25">
      <c r="C773" s="145"/>
      <c r="D773" s="151"/>
      <c r="E773" s="118"/>
      <c r="F773" s="97">
        <f t="shared" si="32"/>
        <v>0</v>
      </c>
      <c r="G773" s="161"/>
      <c r="H773" s="146"/>
      <c r="I773" s="130" t="e">
        <f>VLOOKUP(H773,Presupuesto!$B$11:$C$565,2,0)</f>
        <v>#N/A</v>
      </c>
      <c r="J773" s="98" t="str">
        <f t="shared" si="33"/>
        <v>Desarrollo del Sistema de Educación Superior</v>
      </c>
      <c r="K773" s="98" t="s">
        <v>412</v>
      </c>
    </row>
    <row r="774" spans="3:11" x14ac:dyDescent="0.25">
      <c r="C774" s="145"/>
      <c r="D774" s="151"/>
      <c r="E774" s="118"/>
      <c r="F774" s="97">
        <f t="shared" si="32"/>
        <v>0</v>
      </c>
      <c r="G774" s="161"/>
      <c r="H774" s="146"/>
      <c r="I774" s="130" t="e">
        <f>VLOOKUP(H774,Presupuesto!$B$11:$C$565,2,0)</f>
        <v>#N/A</v>
      </c>
      <c r="J774" s="98" t="str">
        <f t="shared" si="33"/>
        <v>Desarrollo del Sistema de Educación Superior</v>
      </c>
      <c r="K774" s="98" t="s">
        <v>412</v>
      </c>
    </row>
    <row r="775" spans="3:11" ht="15.75" thickBot="1" x14ac:dyDescent="0.3">
      <c r="C775" s="147"/>
      <c r="D775" s="159"/>
      <c r="E775" s="103"/>
      <c r="F775" s="105">
        <f t="shared" si="32"/>
        <v>0</v>
      </c>
      <c r="G775" s="162"/>
      <c r="H775" s="148"/>
      <c r="I775" s="132" t="e">
        <f>VLOOKUP(H775,Presupuesto!$B$11:$C$565,2,0)</f>
        <v>#N/A</v>
      </c>
      <c r="J775" s="106" t="str">
        <f t="shared" si="33"/>
        <v>Desarrollo del Sistema de Educación Superior</v>
      </c>
      <c r="K775" s="124" t="s">
        <v>394</v>
      </c>
    </row>
    <row r="777" spans="3:11" ht="15.75" thickBot="1" x14ac:dyDescent="0.3"/>
    <row r="778" spans="3:11" ht="15.75" thickBot="1" x14ac:dyDescent="0.3">
      <c r="C778" s="157" t="s">
        <v>53</v>
      </c>
      <c r="D778" s="374">
        <f>SUM(F785:F819)</f>
        <v>0</v>
      </c>
      <c r="F778" s="70"/>
      <c r="G778" s="79"/>
      <c r="H778" s="70"/>
      <c r="I778" s="70"/>
    </row>
    <row r="779" spans="3:11" x14ac:dyDescent="0.25">
      <c r="C779" s="70"/>
      <c r="D779" s="31"/>
      <c r="E779" s="93"/>
      <c r="F779" s="93"/>
      <c r="G779" s="93"/>
      <c r="H779" s="76"/>
      <c r="I779" s="76"/>
      <c r="J779" s="76"/>
      <c r="K779" s="112"/>
    </row>
    <row r="780" spans="3:11" x14ac:dyDescent="0.25">
      <c r="C780" s="70"/>
      <c r="D780" s="31"/>
      <c r="E780" s="93"/>
      <c r="F780" s="93"/>
      <c r="G780" s="93"/>
      <c r="H780" s="76"/>
      <c r="I780" s="76"/>
      <c r="J780" s="76"/>
      <c r="K780" s="112"/>
    </row>
    <row r="781" spans="3:11" ht="15.75" x14ac:dyDescent="0.25">
      <c r="C781" s="202" t="s">
        <v>392</v>
      </c>
      <c r="D781" s="370"/>
      <c r="E781" s="93"/>
      <c r="F781" s="93"/>
      <c r="G781" s="93"/>
      <c r="H781" s="76"/>
      <c r="I781" s="76"/>
      <c r="J781" s="76"/>
      <c r="K781" s="112"/>
    </row>
    <row r="782" spans="3:11" ht="18.75" x14ac:dyDescent="0.25">
      <c r="C782" s="211" t="e">
        <f>IFERROR(VLOOKUP(D781,'1. Desarrollo e Innov. Curricu.'!$E:$F,2,FALSE),IFERROR(VLOOKUP(D781,'2. Investigación Científica'!$E:$F,2,FALSE),IFERROR(VLOOKUP(D781,'3. Vinculación Univ. Sociedad'!$E:$F,2,FALSE),IFERROR(VLOOKUP(D781,'4. Docencia y Profesorado Univ.'!$E:$F,2,FALSE),IFERROR(VLOOKUP(D781,'5. Estudiantes y Graduados'!$E:$F,2,FALSE),IFERROR(VLOOKUP(D781,'11. Gestion Administrativa'!$E:$F,2,FALSE),IFERROR(VLOOKUP(D781,'13. Gestión Académica'!$E:$F,2,FALSE),IFERROR(VLOOKUP(D781,'8. Asegura. de la Calid. y M'!$E:$F,2,FALSE),IFERROR(VLOOKUP(D781,'6. Gestión del Conocimiento'!$E:$F,2,FALSE),IFERROR(VLOOKUP(D781,'15. Gobernabilidad y Proceso...'!$E:$F,2,FALSE),IFERROR(VLOOKUP(D781,'12. Gestión del Talento Humano'!$E:$F,2,FALSE),IFERROR(VLOOKUP(D781,'14. Internacional... de la E.S.'!$E:$F,2,FALSE),IFERROR(VLOOKUP(D781,'10. Posgrado'!$E:$F,2,FALSE),IFERROR(VLOOKUP(D781,'17. Gestión TIC'!$E:$F,2,FALSE),IFERROR(VLOOKUP(D781,'16. Desa. del Sistema Educ.Sup.'!$E:$F,2,FALSE),IFERROR(VLOOKUP(D781,'9. Cultura de Inno. Insti...'!$E:$F,2,FALSE),VLOOKUP(D781,'7. Lo Esencial de la Reforma U.'!$E:$F,2,0)))))))))))))))))</f>
        <v>#N/A</v>
      </c>
      <c r="D782" s="31"/>
      <c r="E782" s="93"/>
      <c r="F782" s="93"/>
      <c r="G782" s="93"/>
      <c r="H782" s="76"/>
      <c r="I782" s="76"/>
      <c r="J782" s="76"/>
      <c r="K782" s="112"/>
    </row>
    <row r="783" spans="3:11" ht="15.75" thickBot="1" x14ac:dyDescent="0.3">
      <c r="F783" s="93"/>
      <c r="G783" s="76"/>
      <c r="H783" s="76"/>
      <c r="I783" s="76"/>
    </row>
    <row r="784" spans="3:11" ht="30.75" thickBot="1" x14ac:dyDescent="0.3">
      <c r="C784" s="129" t="s">
        <v>44</v>
      </c>
      <c r="D784" s="129" t="s">
        <v>55</v>
      </c>
      <c r="E784" s="136" t="s">
        <v>57</v>
      </c>
      <c r="F784" s="135" t="s">
        <v>27</v>
      </c>
      <c r="G784" s="133" t="s">
        <v>131</v>
      </c>
      <c r="H784" s="136" t="s">
        <v>46</v>
      </c>
      <c r="I784" s="133" t="s">
        <v>132</v>
      </c>
      <c r="J784" s="133" t="s">
        <v>410</v>
      </c>
      <c r="K784" s="133" t="s">
        <v>411</v>
      </c>
    </row>
    <row r="785" spans="3:11" x14ac:dyDescent="0.25">
      <c r="C785" s="221" t="s">
        <v>439</v>
      </c>
      <c r="D785" s="222"/>
      <c r="E785" s="220">
        <f>HLOOKUP(C785,$AH$2:$BU$3,2,0)</f>
        <v>620</v>
      </c>
      <c r="F785" s="97">
        <f t="shared" ref="F785:F819" si="34">D785*E785</f>
        <v>0</v>
      </c>
      <c r="G785" s="161"/>
      <c r="H785" s="142"/>
      <c r="I785" s="130" t="e">
        <f>VLOOKUP(H785,Presupuesto!$B$11:$C$565,2,0)</f>
        <v>#N/A</v>
      </c>
      <c r="J785" s="219" t="s">
        <v>1479</v>
      </c>
      <c r="K785" s="98" t="s">
        <v>394</v>
      </c>
    </row>
    <row r="786" spans="3:11" x14ac:dyDescent="0.25">
      <c r="C786" s="141"/>
      <c r="D786" s="158"/>
      <c r="E786" s="123"/>
      <c r="F786" s="97">
        <f t="shared" si="34"/>
        <v>0</v>
      </c>
      <c r="G786" s="161"/>
      <c r="H786" s="142"/>
      <c r="I786" s="130" t="e">
        <f>VLOOKUP(H786,Presupuesto!$B$11:$C$565,2,0)</f>
        <v>#N/A</v>
      </c>
      <c r="J786" s="98" t="str">
        <f>$J$785</f>
        <v>Desarrollo del Sistema de Educación Superior</v>
      </c>
      <c r="K786" s="98" t="s">
        <v>412</v>
      </c>
    </row>
    <row r="787" spans="3:11" x14ac:dyDescent="0.25">
      <c r="C787" s="141"/>
      <c r="D787" s="158"/>
      <c r="E787" s="123"/>
      <c r="F787" s="97">
        <f t="shared" si="34"/>
        <v>0</v>
      </c>
      <c r="G787" s="161"/>
      <c r="H787" s="142"/>
      <c r="I787" s="130" t="e">
        <f>VLOOKUP(H787,Presupuesto!$B$11:$C$565,2,0)</f>
        <v>#N/A</v>
      </c>
      <c r="J787" s="98" t="str">
        <f t="shared" ref="J787:J819" si="35">$J$785</f>
        <v>Desarrollo del Sistema de Educación Superior</v>
      </c>
      <c r="K787" s="98" t="s">
        <v>412</v>
      </c>
    </row>
    <row r="788" spans="3:11" x14ac:dyDescent="0.25">
      <c r="C788" s="141"/>
      <c r="D788" s="158"/>
      <c r="E788" s="123"/>
      <c r="F788" s="97">
        <f t="shared" si="34"/>
        <v>0</v>
      </c>
      <c r="G788" s="161"/>
      <c r="H788" s="142"/>
      <c r="I788" s="130" t="e">
        <f>VLOOKUP(H788,Presupuesto!$B$11:$C$565,2,0)</f>
        <v>#N/A</v>
      </c>
      <c r="J788" s="98" t="str">
        <f t="shared" si="35"/>
        <v>Desarrollo del Sistema de Educación Superior</v>
      </c>
      <c r="K788" s="98" t="s">
        <v>412</v>
      </c>
    </row>
    <row r="789" spans="3:11" x14ac:dyDescent="0.25">
      <c r="C789" s="141"/>
      <c r="D789" s="158"/>
      <c r="E789" s="123"/>
      <c r="F789" s="97">
        <f t="shared" si="34"/>
        <v>0</v>
      </c>
      <c r="G789" s="161"/>
      <c r="H789" s="142"/>
      <c r="I789" s="130" t="e">
        <f>VLOOKUP(H789,Presupuesto!$B$11:$C$565,2,0)</f>
        <v>#N/A</v>
      </c>
      <c r="J789" s="98" t="str">
        <f t="shared" si="35"/>
        <v>Desarrollo del Sistema de Educación Superior</v>
      </c>
      <c r="K789" s="98" t="s">
        <v>412</v>
      </c>
    </row>
    <row r="790" spans="3:11" x14ac:dyDescent="0.25">
      <c r="C790" s="141"/>
      <c r="D790" s="158"/>
      <c r="E790" s="123"/>
      <c r="F790" s="97">
        <f t="shared" si="34"/>
        <v>0</v>
      </c>
      <c r="G790" s="161"/>
      <c r="H790" s="142"/>
      <c r="I790" s="130" t="e">
        <f>VLOOKUP(H790,Presupuesto!$B$11:$C$565,2,0)</f>
        <v>#N/A</v>
      </c>
      <c r="J790" s="98" t="str">
        <f t="shared" si="35"/>
        <v>Desarrollo del Sistema de Educación Superior</v>
      </c>
      <c r="K790" s="98" t="s">
        <v>401</v>
      </c>
    </row>
    <row r="791" spans="3:11" x14ac:dyDescent="0.25">
      <c r="C791" s="141"/>
      <c r="D791" s="158"/>
      <c r="E791" s="123"/>
      <c r="F791" s="97">
        <f t="shared" si="34"/>
        <v>0</v>
      </c>
      <c r="G791" s="161"/>
      <c r="H791" s="142"/>
      <c r="I791" s="130" t="e">
        <f>VLOOKUP(H791,Presupuesto!$B$11:$C$565,2,0)</f>
        <v>#N/A</v>
      </c>
      <c r="J791" s="98" t="str">
        <f t="shared" si="35"/>
        <v>Desarrollo del Sistema de Educación Superior</v>
      </c>
      <c r="K791" s="98" t="s">
        <v>412</v>
      </c>
    </row>
    <row r="792" spans="3:11" x14ac:dyDescent="0.25">
      <c r="C792" s="141"/>
      <c r="D792" s="158"/>
      <c r="E792" s="123"/>
      <c r="F792" s="97">
        <f t="shared" si="34"/>
        <v>0</v>
      </c>
      <c r="G792" s="161"/>
      <c r="H792" s="142"/>
      <c r="I792" s="130" t="e">
        <f>VLOOKUP(H792,Presupuesto!$B$11:$C$565,2,0)</f>
        <v>#N/A</v>
      </c>
      <c r="J792" s="98" t="str">
        <f t="shared" si="35"/>
        <v>Desarrollo del Sistema de Educación Superior</v>
      </c>
      <c r="K792" s="98" t="s">
        <v>412</v>
      </c>
    </row>
    <row r="793" spans="3:11" x14ac:dyDescent="0.25">
      <c r="C793" s="141"/>
      <c r="D793" s="158"/>
      <c r="E793" s="123"/>
      <c r="F793" s="97">
        <f t="shared" si="34"/>
        <v>0</v>
      </c>
      <c r="G793" s="161"/>
      <c r="H793" s="142"/>
      <c r="I793" s="130" t="e">
        <f>VLOOKUP(H793,Presupuesto!$B$11:$C$565,2,0)</f>
        <v>#N/A</v>
      </c>
      <c r="J793" s="98" t="str">
        <f t="shared" si="35"/>
        <v>Desarrollo del Sistema de Educación Superior</v>
      </c>
      <c r="K793" s="98" t="s">
        <v>412</v>
      </c>
    </row>
    <row r="794" spans="3:11" x14ac:dyDescent="0.25">
      <c r="C794" s="141"/>
      <c r="D794" s="158"/>
      <c r="E794" s="123"/>
      <c r="F794" s="97">
        <f t="shared" si="34"/>
        <v>0</v>
      </c>
      <c r="G794" s="161"/>
      <c r="H794" s="142"/>
      <c r="I794" s="130" t="e">
        <f>VLOOKUP(H794,Presupuesto!$B$11:$C$565,2,0)</f>
        <v>#N/A</v>
      </c>
      <c r="J794" s="98" t="str">
        <f t="shared" si="35"/>
        <v>Desarrollo del Sistema de Educación Superior</v>
      </c>
      <c r="K794" s="98" t="s">
        <v>412</v>
      </c>
    </row>
    <row r="795" spans="3:11" x14ac:dyDescent="0.25">
      <c r="C795" s="141"/>
      <c r="D795" s="158"/>
      <c r="E795" s="123"/>
      <c r="F795" s="97">
        <f t="shared" si="34"/>
        <v>0</v>
      </c>
      <c r="G795" s="161"/>
      <c r="H795" s="142"/>
      <c r="I795" s="130" t="e">
        <f>VLOOKUP(H795,Presupuesto!$B$11:$C$565,2,0)</f>
        <v>#N/A</v>
      </c>
      <c r="J795" s="98" t="str">
        <f t="shared" si="35"/>
        <v>Desarrollo del Sistema de Educación Superior</v>
      </c>
      <c r="K795" s="98" t="s">
        <v>412</v>
      </c>
    </row>
    <row r="796" spans="3:11" x14ac:dyDescent="0.25">
      <c r="C796" s="141"/>
      <c r="D796" s="158"/>
      <c r="E796" s="123"/>
      <c r="F796" s="97">
        <f t="shared" si="34"/>
        <v>0</v>
      </c>
      <c r="G796" s="161"/>
      <c r="H796" s="142"/>
      <c r="I796" s="130" t="e">
        <f>VLOOKUP(H796,Presupuesto!$B$11:$C$565,2,0)</f>
        <v>#N/A</v>
      </c>
      <c r="J796" s="98" t="str">
        <f t="shared" si="35"/>
        <v>Desarrollo del Sistema de Educación Superior</v>
      </c>
      <c r="K796" s="98" t="s">
        <v>412</v>
      </c>
    </row>
    <row r="797" spans="3:11" x14ac:dyDescent="0.25">
      <c r="C797" s="141"/>
      <c r="D797" s="158"/>
      <c r="E797" s="123"/>
      <c r="F797" s="97">
        <f t="shared" si="34"/>
        <v>0</v>
      </c>
      <c r="G797" s="161"/>
      <c r="H797" s="142"/>
      <c r="I797" s="130" t="e">
        <f>VLOOKUP(H797,Presupuesto!$B$11:$C$565,2,0)</f>
        <v>#N/A</v>
      </c>
      <c r="J797" s="98" t="str">
        <f t="shared" si="35"/>
        <v>Desarrollo del Sistema de Educación Superior</v>
      </c>
      <c r="K797" s="98" t="s">
        <v>412</v>
      </c>
    </row>
    <row r="798" spans="3:11" x14ac:dyDescent="0.25">
      <c r="C798" s="141"/>
      <c r="D798" s="158"/>
      <c r="E798" s="123"/>
      <c r="F798" s="97">
        <f t="shared" si="34"/>
        <v>0</v>
      </c>
      <c r="G798" s="161"/>
      <c r="H798" s="142"/>
      <c r="I798" s="130" t="e">
        <f>VLOOKUP(H798,Presupuesto!$B$11:$C$565,2,0)</f>
        <v>#N/A</v>
      </c>
      <c r="J798" s="98" t="str">
        <f t="shared" si="35"/>
        <v>Desarrollo del Sistema de Educación Superior</v>
      </c>
      <c r="K798" s="98" t="s">
        <v>412</v>
      </c>
    </row>
    <row r="799" spans="3:11" x14ac:dyDescent="0.25">
      <c r="C799" s="141"/>
      <c r="D799" s="158"/>
      <c r="E799" s="123"/>
      <c r="F799" s="97">
        <f t="shared" si="34"/>
        <v>0</v>
      </c>
      <c r="G799" s="161"/>
      <c r="H799" s="142"/>
      <c r="I799" s="130" t="e">
        <f>VLOOKUP(H799,Presupuesto!$B$11:$C$565,2,0)</f>
        <v>#N/A</v>
      </c>
      <c r="J799" s="98" t="str">
        <f t="shared" si="35"/>
        <v>Desarrollo del Sistema de Educación Superior</v>
      </c>
      <c r="K799" s="98" t="s">
        <v>412</v>
      </c>
    </row>
    <row r="800" spans="3:11" x14ac:dyDescent="0.25">
      <c r="C800" s="141"/>
      <c r="D800" s="158"/>
      <c r="E800" s="123"/>
      <c r="F800" s="97">
        <f t="shared" si="34"/>
        <v>0</v>
      </c>
      <c r="G800" s="161"/>
      <c r="H800" s="142"/>
      <c r="I800" s="130" t="e">
        <f>VLOOKUP(H800,Presupuesto!$B$11:$C$565,2,0)</f>
        <v>#N/A</v>
      </c>
      <c r="J800" s="98" t="str">
        <f t="shared" si="35"/>
        <v>Desarrollo del Sistema de Educación Superior</v>
      </c>
      <c r="K800" s="98" t="s">
        <v>412</v>
      </c>
    </row>
    <row r="801" spans="3:11" x14ac:dyDescent="0.25">
      <c r="C801" s="141"/>
      <c r="D801" s="158"/>
      <c r="E801" s="123"/>
      <c r="F801" s="97">
        <f t="shared" si="34"/>
        <v>0</v>
      </c>
      <c r="G801" s="161"/>
      <c r="H801" s="142"/>
      <c r="I801" s="130" t="e">
        <f>VLOOKUP(H801,Presupuesto!$B$11:$C$565,2,0)</f>
        <v>#N/A</v>
      </c>
      <c r="J801" s="98" t="str">
        <f t="shared" si="35"/>
        <v>Desarrollo del Sistema de Educación Superior</v>
      </c>
      <c r="K801" s="98" t="s">
        <v>412</v>
      </c>
    </row>
    <row r="802" spans="3:11" x14ac:dyDescent="0.25">
      <c r="C802" s="141"/>
      <c r="D802" s="158"/>
      <c r="E802" s="123"/>
      <c r="F802" s="97">
        <f t="shared" si="34"/>
        <v>0</v>
      </c>
      <c r="G802" s="161"/>
      <c r="H802" s="142"/>
      <c r="I802" s="130" t="e">
        <f>VLOOKUP(H802,Presupuesto!$B$11:$C$565,2,0)</f>
        <v>#N/A</v>
      </c>
      <c r="J802" s="98" t="str">
        <f t="shared" si="35"/>
        <v>Desarrollo del Sistema de Educación Superior</v>
      </c>
      <c r="K802" s="98" t="s">
        <v>412</v>
      </c>
    </row>
    <row r="803" spans="3:11" x14ac:dyDescent="0.25">
      <c r="C803" s="141"/>
      <c r="D803" s="158"/>
      <c r="E803" s="123"/>
      <c r="F803" s="97">
        <f t="shared" si="34"/>
        <v>0</v>
      </c>
      <c r="G803" s="161"/>
      <c r="H803" s="142"/>
      <c r="I803" s="130" t="e">
        <f>VLOOKUP(H803,Presupuesto!$B$11:$C$565,2,0)</f>
        <v>#N/A</v>
      </c>
      <c r="J803" s="98" t="str">
        <f t="shared" si="35"/>
        <v>Desarrollo del Sistema de Educación Superior</v>
      </c>
      <c r="K803" s="98" t="s">
        <v>412</v>
      </c>
    </row>
    <row r="804" spans="3:11" x14ac:dyDescent="0.25">
      <c r="C804" s="141"/>
      <c r="D804" s="158"/>
      <c r="E804" s="123"/>
      <c r="F804" s="97">
        <f t="shared" si="34"/>
        <v>0</v>
      </c>
      <c r="G804" s="161"/>
      <c r="H804" s="142"/>
      <c r="I804" s="130" t="e">
        <f>VLOOKUP(H804,Presupuesto!$B$11:$C$565,2,0)</f>
        <v>#N/A</v>
      </c>
      <c r="J804" s="98" t="str">
        <f t="shared" si="35"/>
        <v>Desarrollo del Sistema de Educación Superior</v>
      </c>
      <c r="K804" s="98" t="s">
        <v>412</v>
      </c>
    </row>
    <row r="805" spans="3:11" x14ac:dyDescent="0.25">
      <c r="C805" s="141"/>
      <c r="D805" s="158"/>
      <c r="E805" s="123"/>
      <c r="F805" s="97">
        <f t="shared" si="34"/>
        <v>0</v>
      </c>
      <c r="G805" s="161"/>
      <c r="H805" s="142"/>
      <c r="I805" s="130" t="e">
        <f>VLOOKUP(H805,Presupuesto!$B$11:$C$565,2,0)</f>
        <v>#N/A</v>
      </c>
      <c r="J805" s="98" t="str">
        <f t="shared" si="35"/>
        <v>Desarrollo del Sistema de Educación Superior</v>
      </c>
      <c r="K805" s="98" t="s">
        <v>412</v>
      </c>
    </row>
    <row r="806" spans="3:11" x14ac:dyDescent="0.25">
      <c r="C806" s="141"/>
      <c r="D806" s="158"/>
      <c r="E806" s="123"/>
      <c r="F806" s="97">
        <f t="shared" si="34"/>
        <v>0</v>
      </c>
      <c r="G806" s="161"/>
      <c r="H806" s="142"/>
      <c r="I806" s="130" t="e">
        <f>VLOOKUP(H806,Presupuesto!$B$11:$C$565,2,0)</f>
        <v>#N/A</v>
      </c>
      <c r="J806" s="98" t="str">
        <f t="shared" si="35"/>
        <v>Desarrollo del Sistema de Educación Superior</v>
      </c>
      <c r="K806" s="98" t="s">
        <v>412</v>
      </c>
    </row>
    <row r="807" spans="3:11" x14ac:dyDescent="0.25">
      <c r="C807" s="143"/>
      <c r="D807" s="151"/>
      <c r="E807" s="118"/>
      <c r="F807" s="97">
        <f t="shared" si="34"/>
        <v>0</v>
      </c>
      <c r="G807" s="161"/>
      <c r="H807" s="144"/>
      <c r="I807" s="130" t="e">
        <f>VLOOKUP(H807,Presupuesto!$B$11:$C$565,2,0)</f>
        <v>#N/A</v>
      </c>
      <c r="J807" s="98" t="str">
        <f t="shared" si="35"/>
        <v>Desarrollo del Sistema de Educación Superior</v>
      </c>
      <c r="K807" s="98" t="s">
        <v>412</v>
      </c>
    </row>
    <row r="808" spans="3:11" x14ac:dyDescent="0.25">
      <c r="C808" s="143"/>
      <c r="D808" s="151"/>
      <c r="E808" s="118"/>
      <c r="F808" s="97">
        <f t="shared" si="34"/>
        <v>0</v>
      </c>
      <c r="G808" s="161"/>
      <c r="H808" s="144"/>
      <c r="I808" s="130" t="e">
        <f>VLOOKUP(H808,Presupuesto!$B$11:$C$565,2,0)</f>
        <v>#N/A</v>
      </c>
      <c r="J808" s="98" t="str">
        <f t="shared" si="35"/>
        <v>Desarrollo del Sistema de Educación Superior</v>
      </c>
      <c r="K808" s="98" t="s">
        <v>412</v>
      </c>
    </row>
    <row r="809" spans="3:11" x14ac:dyDescent="0.25">
      <c r="C809" s="143"/>
      <c r="D809" s="151"/>
      <c r="E809" s="118"/>
      <c r="F809" s="97">
        <f t="shared" si="34"/>
        <v>0</v>
      </c>
      <c r="G809" s="161"/>
      <c r="H809" s="144"/>
      <c r="I809" s="130" t="e">
        <f>VLOOKUP(H809,Presupuesto!$B$11:$C$565,2,0)</f>
        <v>#N/A</v>
      </c>
      <c r="J809" s="98" t="str">
        <f t="shared" si="35"/>
        <v>Desarrollo del Sistema de Educación Superior</v>
      </c>
      <c r="K809" s="98" t="s">
        <v>412</v>
      </c>
    </row>
    <row r="810" spans="3:11" x14ac:dyDescent="0.25">
      <c r="C810" s="143"/>
      <c r="D810" s="151"/>
      <c r="E810" s="118"/>
      <c r="F810" s="97">
        <f t="shared" si="34"/>
        <v>0</v>
      </c>
      <c r="G810" s="161"/>
      <c r="H810" s="144"/>
      <c r="I810" s="130" t="e">
        <f>VLOOKUP(H810,Presupuesto!$B$11:$C$565,2,0)</f>
        <v>#N/A</v>
      </c>
      <c r="J810" s="98" t="str">
        <f t="shared" si="35"/>
        <v>Desarrollo del Sistema de Educación Superior</v>
      </c>
      <c r="K810" s="98" t="s">
        <v>412</v>
      </c>
    </row>
    <row r="811" spans="3:11" x14ac:dyDescent="0.25">
      <c r="C811" s="143"/>
      <c r="D811" s="151"/>
      <c r="E811" s="118"/>
      <c r="F811" s="97">
        <f t="shared" si="34"/>
        <v>0</v>
      </c>
      <c r="G811" s="161"/>
      <c r="H811" s="144"/>
      <c r="I811" s="130" t="e">
        <f>VLOOKUP(H811,Presupuesto!$B$11:$C$565,2,0)</f>
        <v>#N/A</v>
      </c>
      <c r="J811" s="98" t="str">
        <f t="shared" si="35"/>
        <v>Desarrollo del Sistema de Educación Superior</v>
      </c>
      <c r="K811" s="98" t="s">
        <v>412</v>
      </c>
    </row>
    <row r="812" spans="3:11" x14ac:dyDescent="0.25">
      <c r="C812" s="143"/>
      <c r="D812" s="151"/>
      <c r="E812" s="118"/>
      <c r="F812" s="97">
        <f t="shared" si="34"/>
        <v>0</v>
      </c>
      <c r="G812" s="161"/>
      <c r="H812" s="144"/>
      <c r="I812" s="130" t="e">
        <f>VLOOKUP(H812,Presupuesto!$B$11:$C$565,2,0)</f>
        <v>#N/A</v>
      </c>
      <c r="J812" s="98" t="str">
        <f t="shared" si="35"/>
        <v>Desarrollo del Sistema de Educación Superior</v>
      </c>
      <c r="K812" s="98" t="s">
        <v>412</v>
      </c>
    </row>
    <row r="813" spans="3:11" x14ac:dyDescent="0.25">
      <c r="C813" s="143"/>
      <c r="D813" s="151"/>
      <c r="E813" s="118"/>
      <c r="F813" s="97">
        <f t="shared" si="34"/>
        <v>0</v>
      </c>
      <c r="G813" s="161"/>
      <c r="H813" s="144"/>
      <c r="I813" s="130" t="e">
        <f>VLOOKUP(H813,Presupuesto!$B$11:$C$565,2,0)</f>
        <v>#N/A</v>
      </c>
      <c r="J813" s="98" t="str">
        <f t="shared" si="35"/>
        <v>Desarrollo del Sistema de Educación Superior</v>
      </c>
      <c r="K813" s="98" t="s">
        <v>412</v>
      </c>
    </row>
    <row r="814" spans="3:11" x14ac:dyDescent="0.25">
      <c r="C814" s="143"/>
      <c r="D814" s="151"/>
      <c r="E814" s="118"/>
      <c r="F814" s="97">
        <f t="shared" si="34"/>
        <v>0</v>
      </c>
      <c r="G814" s="161"/>
      <c r="H814" s="144"/>
      <c r="I814" s="130" t="e">
        <f>VLOOKUP(H814,Presupuesto!$B$11:$C$565,2,0)</f>
        <v>#N/A</v>
      </c>
      <c r="J814" s="98" t="str">
        <f t="shared" si="35"/>
        <v>Desarrollo del Sistema de Educación Superior</v>
      </c>
      <c r="K814" s="98" t="s">
        <v>412</v>
      </c>
    </row>
    <row r="815" spans="3:11" x14ac:dyDescent="0.25">
      <c r="C815" s="145"/>
      <c r="D815" s="151"/>
      <c r="E815" s="118"/>
      <c r="F815" s="97">
        <f t="shared" si="34"/>
        <v>0</v>
      </c>
      <c r="G815" s="161"/>
      <c r="H815" s="146"/>
      <c r="I815" s="130" t="e">
        <f>VLOOKUP(H815,Presupuesto!$B$11:$C$565,2,0)</f>
        <v>#N/A</v>
      </c>
      <c r="J815" s="98" t="str">
        <f t="shared" si="35"/>
        <v>Desarrollo del Sistema de Educación Superior</v>
      </c>
      <c r="K815" s="98" t="s">
        <v>403</v>
      </c>
    </row>
    <row r="816" spans="3:11" x14ac:dyDescent="0.25">
      <c r="C816" s="145"/>
      <c r="D816" s="151"/>
      <c r="E816" s="118"/>
      <c r="F816" s="97">
        <f t="shared" si="34"/>
        <v>0</v>
      </c>
      <c r="G816" s="161"/>
      <c r="H816" s="146"/>
      <c r="I816" s="130" t="e">
        <f>VLOOKUP(H816,Presupuesto!$B$11:$C$565,2,0)</f>
        <v>#N/A</v>
      </c>
      <c r="J816" s="98" t="str">
        <f t="shared" si="35"/>
        <v>Desarrollo del Sistema de Educación Superior</v>
      </c>
      <c r="K816" s="98" t="s">
        <v>412</v>
      </c>
    </row>
    <row r="817" spans="3:11" x14ac:dyDescent="0.25">
      <c r="C817" s="145"/>
      <c r="D817" s="151"/>
      <c r="E817" s="118"/>
      <c r="F817" s="97">
        <f t="shared" si="34"/>
        <v>0</v>
      </c>
      <c r="G817" s="161"/>
      <c r="H817" s="146"/>
      <c r="I817" s="130" t="e">
        <f>VLOOKUP(H817,Presupuesto!$B$11:$C$565,2,0)</f>
        <v>#N/A</v>
      </c>
      <c r="J817" s="98" t="str">
        <f t="shared" si="35"/>
        <v>Desarrollo del Sistema de Educación Superior</v>
      </c>
      <c r="K817" s="98" t="s">
        <v>412</v>
      </c>
    </row>
    <row r="818" spans="3:11" x14ac:dyDescent="0.25">
      <c r="C818" s="145"/>
      <c r="D818" s="151"/>
      <c r="E818" s="118"/>
      <c r="F818" s="97">
        <f t="shared" si="34"/>
        <v>0</v>
      </c>
      <c r="G818" s="161"/>
      <c r="H818" s="146"/>
      <c r="I818" s="130" t="e">
        <f>VLOOKUP(H818,Presupuesto!$B$11:$C$565,2,0)</f>
        <v>#N/A</v>
      </c>
      <c r="J818" s="98" t="str">
        <f t="shared" si="35"/>
        <v>Desarrollo del Sistema de Educación Superior</v>
      </c>
      <c r="K818" s="98" t="s">
        <v>412</v>
      </c>
    </row>
    <row r="819" spans="3:11" ht="15.75" thickBot="1" x14ac:dyDescent="0.3">
      <c r="C819" s="147"/>
      <c r="D819" s="159"/>
      <c r="E819" s="103"/>
      <c r="F819" s="105">
        <f t="shared" si="34"/>
        <v>0</v>
      </c>
      <c r="G819" s="162"/>
      <c r="H819" s="148"/>
      <c r="I819" s="132" t="e">
        <f>VLOOKUP(H819,Presupuesto!$B$11:$C$565,2,0)</f>
        <v>#N/A</v>
      </c>
      <c r="J819" s="106" t="str">
        <f t="shared" si="35"/>
        <v>Desarrollo del Sistema de Educación Superior</v>
      </c>
      <c r="K819" s="124" t="s">
        <v>394</v>
      </c>
    </row>
    <row r="821" spans="3:11" ht="15.75" thickBot="1" x14ac:dyDescent="0.3">
      <c r="F821" s="90"/>
      <c r="G821" s="89"/>
      <c r="H821" s="90"/>
      <c r="I821" s="90"/>
    </row>
    <row r="822" spans="3:11" ht="15.75" thickBot="1" x14ac:dyDescent="0.3">
      <c r="C822" s="157" t="s">
        <v>53</v>
      </c>
      <c r="D822" s="374">
        <f>SUM(F829:F863)</f>
        <v>0</v>
      </c>
      <c r="F822" s="70"/>
      <c r="G822" s="79"/>
      <c r="H822" s="70"/>
      <c r="I822" s="70"/>
    </row>
    <row r="823" spans="3:11" x14ac:dyDescent="0.25">
      <c r="C823" s="70"/>
      <c r="D823" s="31"/>
      <c r="E823" s="93"/>
      <c r="F823" s="93"/>
      <c r="G823" s="93"/>
      <c r="H823" s="76"/>
      <c r="I823" s="76"/>
      <c r="J823" s="76"/>
      <c r="K823" s="112"/>
    </row>
    <row r="824" spans="3:11" x14ac:dyDescent="0.25">
      <c r="C824" s="70"/>
      <c r="D824" s="31"/>
      <c r="E824" s="93"/>
      <c r="F824" s="93"/>
      <c r="G824" s="93"/>
      <c r="H824" s="76"/>
      <c r="I824" s="76"/>
      <c r="J824" s="76"/>
      <c r="K824" s="112"/>
    </row>
    <row r="825" spans="3:11" ht="15.75" x14ac:dyDescent="0.25">
      <c r="C825" s="202" t="s">
        <v>392</v>
      </c>
      <c r="D825" s="370"/>
      <c r="E825" s="93"/>
      <c r="F825" s="93"/>
      <c r="G825" s="93"/>
      <c r="H825" s="76"/>
      <c r="I825" s="76"/>
      <c r="J825" s="76"/>
      <c r="K825" s="112"/>
    </row>
    <row r="826" spans="3:11" ht="18.75" x14ac:dyDescent="0.25">
      <c r="C826" s="211" t="e">
        <f>IFERROR(VLOOKUP(D825,'1. Desarrollo e Innov. Curricu.'!$E:$F,2,FALSE),IFERROR(VLOOKUP(D825,'2. Investigación Científica'!$E:$F,2,FALSE),IFERROR(VLOOKUP(D825,'3. Vinculación Univ. Sociedad'!$E:$F,2,FALSE),IFERROR(VLOOKUP(D825,'4. Docencia y Profesorado Univ.'!$E:$F,2,FALSE),IFERROR(VLOOKUP(D825,'5. Estudiantes y Graduados'!$E:$F,2,FALSE),IFERROR(VLOOKUP(D825,'11. Gestion Administrativa'!$E:$F,2,FALSE),IFERROR(VLOOKUP(D825,'13. Gestión Académica'!$E:$F,2,FALSE),IFERROR(VLOOKUP(D825,'8. Asegura. de la Calid. y M'!$E:$F,2,FALSE),IFERROR(VLOOKUP(D825,'6. Gestión del Conocimiento'!$E:$F,2,FALSE),IFERROR(VLOOKUP(D825,'15. Gobernabilidad y Proceso...'!$E:$F,2,FALSE),IFERROR(VLOOKUP(D825,'12. Gestión del Talento Humano'!$E:$F,2,FALSE),IFERROR(VLOOKUP(D825,'14. Internacional... de la E.S.'!$E:$F,2,FALSE),IFERROR(VLOOKUP(D825,'10. Posgrado'!$E:$F,2,FALSE),IFERROR(VLOOKUP(D825,'17. Gestión TIC'!$E:$F,2,FALSE),IFERROR(VLOOKUP(D825,'16. Desa. del Sistema Educ.Sup.'!$E:$F,2,FALSE),IFERROR(VLOOKUP(D825,'9. Cultura de Inno. Insti...'!$E:$F,2,FALSE),VLOOKUP(D825,'7. Lo Esencial de la Reforma U.'!$E:$F,2,0)))))))))))))))))</f>
        <v>#N/A</v>
      </c>
      <c r="D826" s="31"/>
      <c r="E826" s="93"/>
      <c r="F826" s="93"/>
      <c r="G826" s="93"/>
      <c r="H826" s="76"/>
      <c r="I826" s="76"/>
      <c r="J826" s="76"/>
      <c r="K826" s="112"/>
    </row>
    <row r="827" spans="3:11" ht="15.75" thickBot="1" x14ac:dyDescent="0.3">
      <c r="F827" s="93"/>
      <c r="G827" s="76"/>
      <c r="H827" s="76"/>
      <c r="I827" s="76"/>
    </row>
    <row r="828" spans="3:11" ht="30.75" thickBot="1" x14ac:dyDescent="0.3">
      <c r="C828" s="129" t="s">
        <v>44</v>
      </c>
      <c r="D828" s="129" t="s">
        <v>55</v>
      </c>
      <c r="E828" s="136" t="s">
        <v>57</v>
      </c>
      <c r="F828" s="135" t="s">
        <v>27</v>
      </c>
      <c r="G828" s="133" t="s">
        <v>131</v>
      </c>
      <c r="H828" s="136" t="s">
        <v>46</v>
      </c>
      <c r="I828" s="133" t="s">
        <v>132</v>
      </c>
      <c r="J828" s="133" t="s">
        <v>410</v>
      </c>
      <c r="K828" s="133" t="s">
        <v>411</v>
      </c>
    </row>
    <row r="829" spans="3:11" x14ac:dyDescent="0.25">
      <c r="C829" s="221" t="s">
        <v>439</v>
      </c>
      <c r="D829" s="222"/>
      <c r="E829" s="220">
        <f>HLOOKUP(C829,$AH$2:$BU$3,2,0)</f>
        <v>620</v>
      </c>
      <c r="F829" s="97">
        <f t="shared" ref="F829:F863" si="36">D829*E829</f>
        <v>0</v>
      </c>
      <c r="G829" s="161"/>
      <c r="H829" s="142"/>
      <c r="I829" s="130" t="e">
        <f>VLOOKUP(H829,Presupuesto!$B$11:$C$565,2,0)</f>
        <v>#N/A</v>
      </c>
      <c r="J829" s="219" t="s">
        <v>1479</v>
      </c>
      <c r="K829" s="98" t="s">
        <v>394</v>
      </c>
    </row>
    <row r="830" spans="3:11" x14ac:dyDescent="0.25">
      <c r="C830" s="141"/>
      <c r="D830" s="158"/>
      <c r="E830" s="123"/>
      <c r="F830" s="97">
        <f t="shared" si="36"/>
        <v>0</v>
      </c>
      <c r="G830" s="161"/>
      <c r="H830" s="142"/>
      <c r="I830" s="130" t="e">
        <f>VLOOKUP(H830,Presupuesto!$B$11:$C$565,2,0)</f>
        <v>#N/A</v>
      </c>
      <c r="J830" s="98" t="str">
        <f>$J$829</f>
        <v>Desarrollo del Sistema de Educación Superior</v>
      </c>
      <c r="K830" s="98" t="s">
        <v>412</v>
      </c>
    </row>
    <row r="831" spans="3:11" x14ac:dyDescent="0.25">
      <c r="C831" s="141"/>
      <c r="D831" s="158"/>
      <c r="E831" s="123"/>
      <c r="F831" s="97">
        <f t="shared" si="36"/>
        <v>0</v>
      </c>
      <c r="G831" s="161"/>
      <c r="H831" s="142"/>
      <c r="I831" s="130" t="e">
        <f>VLOOKUP(H831,Presupuesto!$B$11:$C$565,2,0)</f>
        <v>#N/A</v>
      </c>
      <c r="J831" s="98" t="str">
        <f t="shared" ref="J831:J863" si="37">$J$829</f>
        <v>Desarrollo del Sistema de Educación Superior</v>
      </c>
      <c r="K831" s="98" t="s">
        <v>412</v>
      </c>
    </row>
    <row r="832" spans="3:11" x14ac:dyDescent="0.25">
      <c r="C832" s="141"/>
      <c r="D832" s="158"/>
      <c r="E832" s="123"/>
      <c r="F832" s="97">
        <f t="shared" si="36"/>
        <v>0</v>
      </c>
      <c r="G832" s="161"/>
      <c r="H832" s="142"/>
      <c r="I832" s="130" t="e">
        <f>VLOOKUP(H832,Presupuesto!$B$11:$C$565,2,0)</f>
        <v>#N/A</v>
      </c>
      <c r="J832" s="98" t="str">
        <f t="shared" si="37"/>
        <v>Desarrollo del Sistema de Educación Superior</v>
      </c>
      <c r="K832" s="98" t="s">
        <v>412</v>
      </c>
    </row>
    <row r="833" spans="3:11" x14ac:dyDescent="0.25">
      <c r="C833" s="141"/>
      <c r="D833" s="158"/>
      <c r="E833" s="123"/>
      <c r="F833" s="97">
        <f t="shared" si="36"/>
        <v>0</v>
      </c>
      <c r="G833" s="161"/>
      <c r="H833" s="142"/>
      <c r="I833" s="130" t="e">
        <f>VLOOKUP(H833,Presupuesto!$B$11:$C$565,2,0)</f>
        <v>#N/A</v>
      </c>
      <c r="J833" s="98" t="str">
        <f t="shared" si="37"/>
        <v>Desarrollo del Sistema de Educación Superior</v>
      </c>
      <c r="K833" s="98" t="s">
        <v>412</v>
      </c>
    </row>
    <row r="834" spans="3:11" x14ac:dyDescent="0.25">
      <c r="C834" s="141"/>
      <c r="D834" s="158"/>
      <c r="E834" s="123"/>
      <c r="F834" s="97">
        <f t="shared" si="36"/>
        <v>0</v>
      </c>
      <c r="G834" s="161"/>
      <c r="H834" s="142"/>
      <c r="I834" s="130" t="e">
        <f>VLOOKUP(H834,Presupuesto!$B$11:$C$565,2,0)</f>
        <v>#N/A</v>
      </c>
      <c r="J834" s="98" t="str">
        <f t="shared" si="37"/>
        <v>Desarrollo del Sistema de Educación Superior</v>
      </c>
      <c r="K834" s="98" t="s">
        <v>401</v>
      </c>
    </row>
    <row r="835" spans="3:11" x14ac:dyDescent="0.25">
      <c r="C835" s="141"/>
      <c r="D835" s="158"/>
      <c r="E835" s="123"/>
      <c r="F835" s="97">
        <f t="shared" si="36"/>
        <v>0</v>
      </c>
      <c r="G835" s="161"/>
      <c r="H835" s="142"/>
      <c r="I835" s="130" t="e">
        <f>VLOOKUP(H835,Presupuesto!$B$11:$C$565,2,0)</f>
        <v>#N/A</v>
      </c>
      <c r="J835" s="98" t="str">
        <f t="shared" si="37"/>
        <v>Desarrollo del Sistema de Educación Superior</v>
      </c>
      <c r="K835" s="98" t="s">
        <v>412</v>
      </c>
    </row>
    <row r="836" spans="3:11" x14ac:dyDescent="0.25">
      <c r="C836" s="141"/>
      <c r="D836" s="158"/>
      <c r="E836" s="123"/>
      <c r="F836" s="97">
        <f t="shared" si="36"/>
        <v>0</v>
      </c>
      <c r="G836" s="161"/>
      <c r="H836" s="142"/>
      <c r="I836" s="130" t="e">
        <f>VLOOKUP(H836,Presupuesto!$B$11:$C$565,2,0)</f>
        <v>#N/A</v>
      </c>
      <c r="J836" s="98" t="str">
        <f t="shared" si="37"/>
        <v>Desarrollo del Sistema de Educación Superior</v>
      </c>
      <c r="K836" s="98" t="s">
        <v>412</v>
      </c>
    </row>
    <row r="837" spans="3:11" x14ac:dyDescent="0.25">
      <c r="C837" s="141"/>
      <c r="D837" s="158"/>
      <c r="E837" s="123"/>
      <c r="F837" s="97">
        <f t="shared" si="36"/>
        <v>0</v>
      </c>
      <c r="G837" s="161"/>
      <c r="H837" s="142"/>
      <c r="I837" s="130" t="e">
        <f>VLOOKUP(H837,Presupuesto!$B$11:$C$565,2,0)</f>
        <v>#N/A</v>
      </c>
      <c r="J837" s="98" t="str">
        <f t="shared" si="37"/>
        <v>Desarrollo del Sistema de Educación Superior</v>
      </c>
      <c r="K837" s="98" t="s">
        <v>412</v>
      </c>
    </row>
    <row r="838" spans="3:11" x14ac:dyDescent="0.25">
      <c r="C838" s="141"/>
      <c r="D838" s="158"/>
      <c r="E838" s="123"/>
      <c r="F838" s="97">
        <f t="shared" si="36"/>
        <v>0</v>
      </c>
      <c r="G838" s="161"/>
      <c r="H838" s="142"/>
      <c r="I838" s="130" t="e">
        <f>VLOOKUP(H838,Presupuesto!$B$11:$C$565,2,0)</f>
        <v>#N/A</v>
      </c>
      <c r="J838" s="98" t="str">
        <f t="shared" si="37"/>
        <v>Desarrollo del Sistema de Educación Superior</v>
      </c>
      <c r="K838" s="98" t="s">
        <v>412</v>
      </c>
    </row>
    <row r="839" spans="3:11" x14ac:dyDescent="0.25">
      <c r="C839" s="141"/>
      <c r="D839" s="158"/>
      <c r="E839" s="123"/>
      <c r="F839" s="97">
        <f t="shared" si="36"/>
        <v>0</v>
      </c>
      <c r="G839" s="161"/>
      <c r="H839" s="142"/>
      <c r="I839" s="130" t="e">
        <f>VLOOKUP(H839,Presupuesto!$B$11:$C$565,2,0)</f>
        <v>#N/A</v>
      </c>
      <c r="J839" s="98" t="str">
        <f t="shared" si="37"/>
        <v>Desarrollo del Sistema de Educación Superior</v>
      </c>
      <c r="K839" s="98" t="s">
        <v>412</v>
      </c>
    </row>
    <row r="840" spans="3:11" x14ac:dyDescent="0.25">
      <c r="C840" s="141"/>
      <c r="D840" s="158"/>
      <c r="E840" s="123"/>
      <c r="F840" s="97">
        <f t="shared" si="36"/>
        <v>0</v>
      </c>
      <c r="G840" s="161"/>
      <c r="H840" s="142"/>
      <c r="I840" s="130" t="e">
        <f>VLOOKUP(H840,Presupuesto!$B$11:$C$565,2,0)</f>
        <v>#N/A</v>
      </c>
      <c r="J840" s="98" t="str">
        <f t="shared" si="37"/>
        <v>Desarrollo del Sistema de Educación Superior</v>
      </c>
      <c r="K840" s="98" t="s">
        <v>412</v>
      </c>
    </row>
    <row r="841" spans="3:11" x14ac:dyDescent="0.25">
      <c r="C841" s="141"/>
      <c r="D841" s="158"/>
      <c r="E841" s="123"/>
      <c r="F841" s="97">
        <f t="shared" si="36"/>
        <v>0</v>
      </c>
      <c r="G841" s="161"/>
      <c r="H841" s="142"/>
      <c r="I841" s="130" t="e">
        <f>VLOOKUP(H841,Presupuesto!$B$11:$C$565,2,0)</f>
        <v>#N/A</v>
      </c>
      <c r="J841" s="98" t="str">
        <f t="shared" si="37"/>
        <v>Desarrollo del Sistema de Educación Superior</v>
      </c>
      <c r="K841" s="98" t="s">
        <v>412</v>
      </c>
    </row>
    <row r="842" spans="3:11" x14ac:dyDescent="0.25">
      <c r="C842" s="141"/>
      <c r="D842" s="158"/>
      <c r="E842" s="123"/>
      <c r="F842" s="97">
        <f t="shared" si="36"/>
        <v>0</v>
      </c>
      <c r="G842" s="161"/>
      <c r="H842" s="142"/>
      <c r="I842" s="130" t="e">
        <f>VLOOKUP(H842,Presupuesto!$B$11:$C$565,2,0)</f>
        <v>#N/A</v>
      </c>
      <c r="J842" s="98" t="str">
        <f t="shared" si="37"/>
        <v>Desarrollo del Sistema de Educación Superior</v>
      </c>
      <c r="K842" s="98" t="s">
        <v>412</v>
      </c>
    </row>
    <row r="843" spans="3:11" x14ac:dyDescent="0.25">
      <c r="C843" s="141"/>
      <c r="D843" s="158"/>
      <c r="E843" s="123"/>
      <c r="F843" s="97">
        <f t="shared" si="36"/>
        <v>0</v>
      </c>
      <c r="G843" s="161"/>
      <c r="H843" s="142"/>
      <c r="I843" s="130" t="e">
        <f>VLOOKUP(H843,Presupuesto!$B$11:$C$565,2,0)</f>
        <v>#N/A</v>
      </c>
      <c r="J843" s="98" t="str">
        <f t="shared" si="37"/>
        <v>Desarrollo del Sistema de Educación Superior</v>
      </c>
      <c r="K843" s="98" t="s">
        <v>412</v>
      </c>
    </row>
    <row r="844" spans="3:11" x14ac:dyDescent="0.25">
      <c r="C844" s="141"/>
      <c r="D844" s="158"/>
      <c r="E844" s="123"/>
      <c r="F844" s="97">
        <f t="shared" si="36"/>
        <v>0</v>
      </c>
      <c r="G844" s="161"/>
      <c r="H844" s="142"/>
      <c r="I844" s="130" t="e">
        <f>VLOOKUP(H844,Presupuesto!$B$11:$C$565,2,0)</f>
        <v>#N/A</v>
      </c>
      <c r="J844" s="98" t="str">
        <f t="shared" si="37"/>
        <v>Desarrollo del Sistema de Educación Superior</v>
      </c>
      <c r="K844" s="98" t="s">
        <v>412</v>
      </c>
    </row>
    <row r="845" spans="3:11" x14ac:dyDescent="0.25">
      <c r="C845" s="141"/>
      <c r="D845" s="158"/>
      <c r="E845" s="123"/>
      <c r="F845" s="97">
        <f t="shared" si="36"/>
        <v>0</v>
      </c>
      <c r="G845" s="161"/>
      <c r="H845" s="142"/>
      <c r="I845" s="130" t="e">
        <f>VLOOKUP(H845,Presupuesto!$B$11:$C$565,2,0)</f>
        <v>#N/A</v>
      </c>
      <c r="J845" s="98" t="str">
        <f t="shared" si="37"/>
        <v>Desarrollo del Sistema de Educación Superior</v>
      </c>
      <c r="K845" s="98" t="s">
        <v>412</v>
      </c>
    </row>
    <row r="846" spans="3:11" x14ac:dyDescent="0.25">
      <c r="C846" s="141"/>
      <c r="D846" s="158"/>
      <c r="E846" s="123"/>
      <c r="F846" s="97">
        <f t="shared" si="36"/>
        <v>0</v>
      </c>
      <c r="G846" s="161"/>
      <c r="H846" s="142"/>
      <c r="I846" s="130" t="e">
        <f>VLOOKUP(H846,Presupuesto!$B$11:$C$565,2,0)</f>
        <v>#N/A</v>
      </c>
      <c r="J846" s="98" t="str">
        <f t="shared" si="37"/>
        <v>Desarrollo del Sistema de Educación Superior</v>
      </c>
      <c r="K846" s="98" t="s">
        <v>412</v>
      </c>
    </row>
    <row r="847" spans="3:11" x14ac:dyDescent="0.25">
      <c r="C847" s="141"/>
      <c r="D847" s="158"/>
      <c r="E847" s="123"/>
      <c r="F847" s="97">
        <f t="shared" si="36"/>
        <v>0</v>
      </c>
      <c r="G847" s="161"/>
      <c r="H847" s="142"/>
      <c r="I847" s="130" t="e">
        <f>VLOOKUP(H847,Presupuesto!$B$11:$C$565,2,0)</f>
        <v>#N/A</v>
      </c>
      <c r="J847" s="98" t="str">
        <f t="shared" si="37"/>
        <v>Desarrollo del Sistema de Educación Superior</v>
      </c>
      <c r="K847" s="98" t="s">
        <v>412</v>
      </c>
    </row>
    <row r="848" spans="3:11" x14ac:dyDescent="0.25">
      <c r="C848" s="141"/>
      <c r="D848" s="158"/>
      <c r="E848" s="123"/>
      <c r="F848" s="97">
        <f t="shared" si="36"/>
        <v>0</v>
      </c>
      <c r="G848" s="161"/>
      <c r="H848" s="142"/>
      <c r="I848" s="130" t="e">
        <f>VLOOKUP(H848,Presupuesto!$B$11:$C$565,2,0)</f>
        <v>#N/A</v>
      </c>
      <c r="J848" s="98" t="str">
        <f t="shared" si="37"/>
        <v>Desarrollo del Sistema de Educación Superior</v>
      </c>
      <c r="K848" s="98" t="s">
        <v>412</v>
      </c>
    </row>
    <row r="849" spans="3:11" x14ac:dyDescent="0.25">
      <c r="C849" s="141"/>
      <c r="D849" s="158"/>
      <c r="E849" s="123"/>
      <c r="F849" s="97">
        <f t="shared" si="36"/>
        <v>0</v>
      </c>
      <c r="G849" s="161"/>
      <c r="H849" s="142"/>
      <c r="I849" s="130" t="e">
        <f>VLOOKUP(H849,Presupuesto!$B$11:$C$565,2,0)</f>
        <v>#N/A</v>
      </c>
      <c r="J849" s="98" t="str">
        <f t="shared" si="37"/>
        <v>Desarrollo del Sistema de Educación Superior</v>
      </c>
      <c r="K849" s="98" t="s">
        <v>412</v>
      </c>
    </row>
    <row r="850" spans="3:11" x14ac:dyDescent="0.25">
      <c r="C850" s="141"/>
      <c r="D850" s="158"/>
      <c r="E850" s="123"/>
      <c r="F850" s="97">
        <f t="shared" si="36"/>
        <v>0</v>
      </c>
      <c r="G850" s="161"/>
      <c r="H850" s="142"/>
      <c r="I850" s="130" t="e">
        <f>VLOOKUP(H850,Presupuesto!$B$11:$C$565,2,0)</f>
        <v>#N/A</v>
      </c>
      <c r="J850" s="98" t="str">
        <f t="shared" si="37"/>
        <v>Desarrollo del Sistema de Educación Superior</v>
      </c>
      <c r="K850" s="98" t="s">
        <v>412</v>
      </c>
    </row>
    <row r="851" spans="3:11" x14ac:dyDescent="0.25">
      <c r="C851" s="143"/>
      <c r="D851" s="151"/>
      <c r="E851" s="118"/>
      <c r="F851" s="97">
        <f t="shared" si="36"/>
        <v>0</v>
      </c>
      <c r="G851" s="161"/>
      <c r="H851" s="144"/>
      <c r="I851" s="130" t="e">
        <f>VLOOKUP(H851,Presupuesto!$B$11:$C$565,2,0)</f>
        <v>#N/A</v>
      </c>
      <c r="J851" s="98" t="str">
        <f t="shared" si="37"/>
        <v>Desarrollo del Sistema de Educación Superior</v>
      </c>
      <c r="K851" s="98" t="s">
        <v>412</v>
      </c>
    </row>
    <row r="852" spans="3:11" x14ac:dyDescent="0.25">
      <c r="C852" s="143"/>
      <c r="D852" s="151"/>
      <c r="E852" s="118"/>
      <c r="F852" s="97">
        <f t="shared" si="36"/>
        <v>0</v>
      </c>
      <c r="G852" s="161"/>
      <c r="H852" s="144"/>
      <c r="I852" s="130" t="e">
        <f>VLOOKUP(H852,Presupuesto!$B$11:$C$565,2,0)</f>
        <v>#N/A</v>
      </c>
      <c r="J852" s="98" t="str">
        <f t="shared" si="37"/>
        <v>Desarrollo del Sistema de Educación Superior</v>
      </c>
      <c r="K852" s="98" t="s">
        <v>412</v>
      </c>
    </row>
    <row r="853" spans="3:11" x14ac:dyDescent="0.25">
      <c r="C853" s="143"/>
      <c r="D853" s="151"/>
      <c r="E853" s="118"/>
      <c r="F853" s="97">
        <f t="shared" si="36"/>
        <v>0</v>
      </c>
      <c r="G853" s="161"/>
      <c r="H853" s="144"/>
      <c r="I853" s="130" t="e">
        <f>VLOOKUP(H853,Presupuesto!$B$11:$C$565,2,0)</f>
        <v>#N/A</v>
      </c>
      <c r="J853" s="98" t="str">
        <f t="shared" si="37"/>
        <v>Desarrollo del Sistema de Educación Superior</v>
      </c>
      <c r="K853" s="98" t="s">
        <v>412</v>
      </c>
    </row>
    <row r="854" spans="3:11" x14ac:dyDescent="0.25">
      <c r="C854" s="143"/>
      <c r="D854" s="151"/>
      <c r="E854" s="118"/>
      <c r="F854" s="97">
        <f t="shared" si="36"/>
        <v>0</v>
      </c>
      <c r="G854" s="161"/>
      <c r="H854" s="144"/>
      <c r="I854" s="130" t="e">
        <f>VLOOKUP(H854,Presupuesto!$B$11:$C$565,2,0)</f>
        <v>#N/A</v>
      </c>
      <c r="J854" s="98" t="str">
        <f t="shared" si="37"/>
        <v>Desarrollo del Sistema de Educación Superior</v>
      </c>
      <c r="K854" s="98" t="s">
        <v>412</v>
      </c>
    </row>
    <row r="855" spans="3:11" x14ac:dyDescent="0.25">
      <c r="C855" s="143"/>
      <c r="D855" s="151"/>
      <c r="E855" s="118"/>
      <c r="F855" s="97">
        <f t="shared" si="36"/>
        <v>0</v>
      </c>
      <c r="G855" s="161"/>
      <c r="H855" s="144"/>
      <c r="I855" s="130" t="e">
        <f>VLOOKUP(H855,Presupuesto!$B$11:$C$565,2,0)</f>
        <v>#N/A</v>
      </c>
      <c r="J855" s="98" t="str">
        <f t="shared" si="37"/>
        <v>Desarrollo del Sistema de Educación Superior</v>
      </c>
      <c r="K855" s="98" t="s">
        <v>412</v>
      </c>
    </row>
    <row r="856" spans="3:11" x14ac:dyDescent="0.25">
      <c r="C856" s="143"/>
      <c r="D856" s="151"/>
      <c r="E856" s="118"/>
      <c r="F856" s="97">
        <f t="shared" si="36"/>
        <v>0</v>
      </c>
      <c r="G856" s="161"/>
      <c r="H856" s="144"/>
      <c r="I856" s="130" t="e">
        <f>VLOOKUP(H856,Presupuesto!$B$11:$C$565,2,0)</f>
        <v>#N/A</v>
      </c>
      <c r="J856" s="98" t="str">
        <f t="shared" si="37"/>
        <v>Desarrollo del Sistema de Educación Superior</v>
      </c>
      <c r="K856" s="98" t="s">
        <v>412</v>
      </c>
    </row>
    <row r="857" spans="3:11" x14ac:dyDescent="0.25">
      <c r="C857" s="143"/>
      <c r="D857" s="151"/>
      <c r="E857" s="118"/>
      <c r="F857" s="97">
        <f t="shared" si="36"/>
        <v>0</v>
      </c>
      <c r="G857" s="161"/>
      <c r="H857" s="144"/>
      <c r="I857" s="130" t="e">
        <f>VLOOKUP(H857,Presupuesto!$B$11:$C$565,2,0)</f>
        <v>#N/A</v>
      </c>
      <c r="J857" s="98" t="str">
        <f t="shared" si="37"/>
        <v>Desarrollo del Sistema de Educación Superior</v>
      </c>
      <c r="K857" s="98" t="s">
        <v>412</v>
      </c>
    </row>
    <row r="858" spans="3:11" x14ac:dyDescent="0.25">
      <c r="C858" s="143"/>
      <c r="D858" s="151"/>
      <c r="E858" s="118"/>
      <c r="F858" s="97">
        <f t="shared" si="36"/>
        <v>0</v>
      </c>
      <c r="G858" s="161"/>
      <c r="H858" s="144"/>
      <c r="I858" s="130" t="e">
        <f>VLOOKUP(H858,Presupuesto!$B$11:$C$565,2,0)</f>
        <v>#N/A</v>
      </c>
      <c r="J858" s="98" t="str">
        <f t="shared" si="37"/>
        <v>Desarrollo del Sistema de Educación Superior</v>
      </c>
      <c r="K858" s="98" t="s">
        <v>412</v>
      </c>
    </row>
    <row r="859" spans="3:11" x14ac:dyDescent="0.25">
      <c r="C859" s="145"/>
      <c r="D859" s="151"/>
      <c r="E859" s="118"/>
      <c r="F859" s="97">
        <f t="shared" si="36"/>
        <v>0</v>
      </c>
      <c r="G859" s="161"/>
      <c r="H859" s="146"/>
      <c r="I859" s="130" t="e">
        <f>VLOOKUP(H859,Presupuesto!$B$11:$C$565,2,0)</f>
        <v>#N/A</v>
      </c>
      <c r="J859" s="98" t="str">
        <f t="shared" si="37"/>
        <v>Desarrollo del Sistema de Educación Superior</v>
      </c>
      <c r="K859" s="98" t="s">
        <v>403</v>
      </c>
    </row>
    <row r="860" spans="3:11" x14ac:dyDescent="0.25">
      <c r="C860" s="145"/>
      <c r="D860" s="151"/>
      <c r="E860" s="118"/>
      <c r="F860" s="97">
        <f t="shared" si="36"/>
        <v>0</v>
      </c>
      <c r="G860" s="161"/>
      <c r="H860" s="146"/>
      <c r="I860" s="130" t="e">
        <f>VLOOKUP(H860,Presupuesto!$B$11:$C$565,2,0)</f>
        <v>#N/A</v>
      </c>
      <c r="J860" s="98" t="str">
        <f t="shared" si="37"/>
        <v>Desarrollo del Sistema de Educación Superior</v>
      </c>
      <c r="K860" s="98" t="s">
        <v>412</v>
      </c>
    </row>
    <row r="861" spans="3:11" x14ac:dyDescent="0.25">
      <c r="C861" s="145"/>
      <c r="D861" s="151"/>
      <c r="E861" s="118"/>
      <c r="F861" s="97">
        <f t="shared" si="36"/>
        <v>0</v>
      </c>
      <c r="G861" s="161"/>
      <c r="H861" s="146"/>
      <c r="I861" s="130" t="e">
        <f>VLOOKUP(H861,Presupuesto!$B$11:$C$565,2,0)</f>
        <v>#N/A</v>
      </c>
      <c r="J861" s="98" t="str">
        <f t="shared" si="37"/>
        <v>Desarrollo del Sistema de Educación Superior</v>
      </c>
      <c r="K861" s="98" t="s">
        <v>412</v>
      </c>
    </row>
    <row r="862" spans="3:11" x14ac:dyDescent="0.25">
      <c r="C862" s="145"/>
      <c r="D862" s="151"/>
      <c r="E862" s="118"/>
      <c r="F862" s="97">
        <f t="shared" si="36"/>
        <v>0</v>
      </c>
      <c r="G862" s="161"/>
      <c r="H862" s="146"/>
      <c r="I862" s="130" t="e">
        <f>VLOOKUP(H862,Presupuesto!$B$11:$C$565,2,0)</f>
        <v>#N/A</v>
      </c>
      <c r="J862" s="98" t="str">
        <f t="shared" si="37"/>
        <v>Desarrollo del Sistema de Educación Superior</v>
      </c>
      <c r="K862" s="98" t="s">
        <v>412</v>
      </c>
    </row>
    <row r="863" spans="3:11" ht="15.75" thickBot="1" x14ac:dyDescent="0.3">
      <c r="C863" s="147"/>
      <c r="D863" s="159"/>
      <c r="E863" s="103"/>
      <c r="F863" s="105">
        <f t="shared" si="36"/>
        <v>0</v>
      </c>
      <c r="G863" s="162"/>
      <c r="H863" s="148"/>
      <c r="I863" s="132" t="e">
        <f>VLOOKUP(H863,Presupuesto!$B$11:$C$565,2,0)</f>
        <v>#N/A</v>
      </c>
      <c r="J863" s="106" t="str">
        <f t="shared" si="37"/>
        <v>Desarrollo del Sistema de Educación Superior</v>
      </c>
      <c r="K863" s="124" t="s">
        <v>394</v>
      </c>
    </row>
    <row r="865" spans="3:11" ht="15.75" thickBot="1" x14ac:dyDescent="0.3"/>
    <row r="866" spans="3:11" ht="15.75" thickBot="1" x14ac:dyDescent="0.3">
      <c r="C866" s="157" t="s">
        <v>53</v>
      </c>
      <c r="D866" s="374">
        <f>SUM(F873:F907)</f>
        <v>0</v>
      </c>
      <c r="F866" s="70"/>
      <c r="G866" s="79"/>
      <c r="H866" s="70"/>
      <c r="I866" s="70"/>
    </row>
    <row r="867" spans="3:11" x14ac:dyDescent="0.25">
      <c r="C867" s="70"/>
      <c r="D867" s="31"/>
      <c r="E867" s="93"/>
      <c r="F867" s="93"/>
      <c r="G867" s="93"/>
      <c r="H867" s="76"/>
      <c r="I867" s="76"/>
      <c r="J867" s="76"/>
      <c r="K867" s="112"/>
    </row>
    <row r="868" spans="3:11" x14ac:dyDescent="0.25">
      <c r="C868" s="70"/>
      <c r="D868" s="31"/>
      <c r="E868" s="93"/>
      <c r="F868" s="93"/>
      <c r="G868" s="93"/>
      <c r="H868" s="76"/>
      <c r="I868" s="76"/>
      <c r="J868" s="76"/>
      <c r="K868" s="112"/>
    </row>
    <row r="869" spans="3:11" ht="15.75" x14ac:dyDescent="0.25">
      <c r="C869" s="202" t="s">
        <v>392</v>
      </c>
      <c r="D869" s="370"/>
      <c r="E869" s="93"/>
      <c r="F869" s="93"/>
      <c r="G869" s="93"/>
      <c r="H869" s="76"/>
      <c r="I869" s="76"/>
      <c r="J869" s="76"/>
      <c r="K869" s="112"/>
    </row>
    <row r="870" spans="3:11" ht="18.75" x14ac:dyDescent="0.25">
      <c r="C870" s="211" t="e">
        <f>IFERROR(VLOOKUP(D869,'1. Desarrollo e Innov. Curricu.'!$E:$F,2,FALSE),IFERROR(VLOOKUP(D869,'2. Investigación Científica'!$E:$F,2,FALSE),IFERROR(VLOOKUP(D869,'3. Vinculación Univ. Sociedad'!$E:$F,2,FALSE),IFERROR(VLOOKUP(D869,'4. Docencia y Profesorado Univ.'!$E:$F,2,FALSE),IFERROR(VLOOKUP(D869,'5. Estudiantes y Graduados'!$E:$F,2,FALSE),IFERROR(VLOOKUP(D869,'11. Gestion Administrativa'!$E:$F,2,FALSE),IFERROR(VLOOKUP(D869,'13. Gestión Académica'!$E:$F,2,FALSE),IFERROR(VLOOKUP(D869,'8. Asegura. de la Calid. y M'!$E:$F,2,FALSE),IFERROR(VLOOKUP(D869,'6. Gestión del Conocimiento'!$E:$F,2,FALSE),IFERROR(VLOOKUP(D869,'15. Gobernabilidad y Proceso...'!$E:$F,2,FALSE),IFERROR(VLOOKUP(D869,'12. Gestión del Talento Humano'!$E:$F,2,FALSE),IFERROR(VLOOKUP(D869,'14. Internacional... de la E.S.'!$E:$F,2,FALSE),IFERROR(VLOOKUP(D869,'10. Posgrado'!$E:$F,2,FALSE),IFERROR(VLOOKUP(D869,'17. Gestión TIC'!$E:$F,2,FALSE),IFERROR(VLOOKUP(D869,'16. Desa. del Sistema Educ.Sup.'!$E:$F,2,FALSE),IFERROR(VLOOKUP(D869,'9. Cultura de Inno. Insti...'!$E:$F,2,FALSE),VLOOKUP(D869,'7. Lo Esencial de la Reforma U.'!$E:$F,2,0)))))))))))))))))</f>
        <v>#N/A</v>
      </c>
      <c r="D870" s="31"/>
      <c r="E870" s="93"/>
      <c r="F870" s="93"/>
      <c r="G870" s="93"/>
      <c r="H870" s="76"/>
      <c r="I870" s="76"/>
      <c r="J870" s="76"/>
      <c r="K870" s="112"/>
    </row>
    <row r="871" spans="3:11" ht="15.75" thickBot="1" x14ac:dyDescent="0.3">
      <c r="F871" s="93"/>
      <c r="G871" s="76"/>
      <c r="H871" s="76"/>
      <c r="I871" s="76"/>
    </row>
    <row r="872" spans="3:11" ht="30.75" thickBot="1" x14ac:dyDescent="0.3">
      <c r="C872" s="129" t="s">
        <v>44</v>
      </c>
      <c r="D872" s="129" t="s">
        <v>55</v>
      </c>
      <c r="E872" s="136" t="s">
        <v>57</v>
      </c>
      <c r="F872" s="135" t="s">
        <v>27</v>
      </c>
      <c r="G872" s="133" t="s">
        <v>131</v>
      </c>
      <c r="H872" s="136" t="s">
        <v>46</v>
      </c>
      <c r="I872" s="133" t="s">
        <v>132</v>
      </c>
      <c r="J872" s="133" t="s">
        <v>410</v>
      </c>
      <c r="K872" s="133" t="s">
        <v>411</v>
      </c>
    </row>
    <row r="873" spans="3:11" x14ac:dyDescent="0.25">
      <c r="C873" s="221" t="s">
        <v>439</v>
      </c>
      <c r="D873" s="222"/>
      <c r="E873" s="220">
        <f>HLOOKUP(C873,$AH$2:$BU$3,2,0)</f>
        <v>620</v>
      </c>
      <c r="F873" s="97">
        <f t="shared" ref="F873:F907" si="38">D873*E873</f>
        <v>0</v>
      </c>
      <c r="G873" s="161"/>
      <c r="H873" s="142"/>
      <c r="I873" s="130" t="e">
        <f>VLOOKUP(H873,Presupuesto!$B$11:$C$565,2,0)</f>
        <v>#N/A</v>
      </c>
      <c r="J873" s="219" t="s">
        <v>1479</v>
      </c>
      <c r="K873" s="98" t="s">
        <v>394</v>
      </c>
    </row>
    <row r="874" spans="3:11" x14ac:dyDescent="0.25">
      <c r="C874" s="141"/>
      <c r="D874" s="158"/>
      <c r="E874" s="123"/>
      <c r="F874" s="97">
        <f t="shared" si="38"/>
        <v>0</v>
      </c>
      <c r="G874" s="161"/>
      <c r="H874" s="142"/>
      <c r="I874" s="130" t="e">
        <f>VLOOKUP(H874,Presupuesto!$B$11:$C$565,2,0)</f>
        <v>#N/A</v>
      </c>
      <c r="J874" s="98" t="str">
        <f>$J$873</f>
        <v>Desarrollo del Sistema de Educación Superior</v>
      </c>
      <c r="K874" s="98" t="s">
        <v>412</v>
      </c>
    </row>
    <row r="875" spans="3:11" x14ac:dyDescent="0.25">
      <c r="C875" s="141"/>
      <c r="D875" s="158"/>
      <c r="E875" s="123"/>
      <c r="F875" s="97">
        <f t="shared" si="38"/>
        <v>0</v>
      </c>
      <c r="G875" s="161"/>
      <c r="H875" s="142"/>
      <c r="I875" s="130" t="e">
        <f>VLOOKUP(H875,Presupuesto!$B$11:$C$565,2,0)</f>
        <v>#N/A</v>
      </c>
      <c r="J875" s="98" t="str">
        <f t="shared" ref="J875:J907" si="39">$J$873</f>
        <v>Desarrollo del Sistema de Educación Superior</v>
      </c>
      <c r="K875" s="98" t="s">
        <v>412</v>
      </c>
    </row>
    <row r="876" spans="3:11" x14ac:dyDescent="0.25">
      <c r="C876" s="141"/>
      <c r="D876" s="158"/>
      <c r="E876" s="123"/>
      <c r="F876" s="97">
        <f t="shared" si="38"/>
        <v>0</v>
      </c>
      <c r="G876" s="161"/>
      <c r="H876" s="142"/>
      <c r="I876" s="130" t="e">
        <f>VLOOKUP(H876,Presupuesto!$B$11:$C$565,2,0)</f>
        <v>#N/A</v>
      </c>
      <c r="J876" s="98" t="str">
        <f t="shared" si="39"/>
        <v>Desarrollo del Sistema de Educación Superior</v>
      </c>
      <c r="K876" s="98" t="s">
        <v>412</v>
      </c>
    </row>
    <row r="877" spans="3:11" x14ac:dyDescent="0.25">
      <c r="C877" s="141"/>
      <c r="D877" s="158"/>
      <c r="E877" s="123"/>
      <c r="F877" s="97">
        <f t="shared" si="38"/>
        <v>0</v>
      </c>
      <c r="G877" s="161"/>
      <c r="H877" s="142"/>
      <c r="I877" s="130" t="e">
        <f>VLOOKUP(H877,Presupuesto!$B$11:$C$565,2,0)</f>
        <v>#N/A</v>
      </c>
      <c r="J877" s="98" t="str">
        <f t="shared" si="39"/>
        <v>Desarrollo del Sistema de Educación Superior</v>
      </c>
      <c r="K877" s="98" t="s">
        <v>412</v>
      </c>
    </row>
    <row r="878" spans="3:11" x14ac:dyDescent="0.25">
      <c r="C878" s="141"/>
      <c r="D878" s="158"/>
      <c r="E878" s="123"/>
      <c r="F878" s="97">
        <f t="shared" si="38"/>
        <v>0</v>
      </c>
      <c r="G878" s="161"/>
      <c r="H878" s="142"/>
      <c r="I878" s="130" t="e">
        <f>VLOOKUP(H878,Presupuesto!$B$11:$C$565,2,0)</f>
        <v>#N/A</v>
      </c>
      <c r="J878" s="98" t="str">
        <f t="shared" si="39"/>
        <v>Desarrollo del Sistema de Educación Superior</v>
      </c>
      <c r="K878" s="98" t="s">
        <v>401</v>
      </c>
    </row>
    <row r="879" spans="3:11" x14ac:dyDescent="0.25">
      <c r="C879" s="141"/>
      <c r="D879" s="158"/>
      <c r="E879" s="123"/>
      <c r="F879" s="97">
        <f t="shared" si="38"/>
        <v>0</v>
      </c>
      <c r="G879" s="161"/>
      <c r="H879" s="142"/>
      <c r="I879" s="130" t="e">
        <f>VLOOKUP(H879,Presupuesto!$B$11:$C$565,2,0)</f>
        <v>#N/A</v>
      </c>
      <c r="J879" s="98" t="str">
        <f t="shared" si="39"/>
        <v>Desarrollo del Sistema de Educación Superior</v>
      </c>
      <c r="K879" s="98" t="s">
        <v>412</v>
      </c>
    </row>
    <row r="880" spans="3:11" x14ac:dyDescent="0.25">
      <c r="C880" s="141"/>
      <c r="D880" s="158"/>
      <c r="E880" s="123"/>
      <c r="F880" s="97">
        <f t="shared" si="38"/>
        <v>0</v>
      </c>
      <c r="G880" s="161"/>
      <c r="H880" s="142"/>
      <c r="I880" s="130" t="e">
        <f>VLOOKUP(H880,Presupuesto!$B$11:$C$565,2,0)</f>
        <v>#N/A</v>
      </c>
      <c r="J880" s="98" t="str">
        <f t="shared" si="39"/>
        <v>Desarrollo del Sistema de Educación Superior</v>
      </c>
      <c r="K880" s="98" t="s">
        <v>412</v>
      </c>
    </row>
    <row r="881" spans="3:11" x14ac:dyDescent="0.25">
      <c r="C881" s="141"/>
      <c r="D881" s="158"/>
      <c r="E881" s="123"/>
      <c r="F881" s="97">
        <f t="shared" si="38"/>
        <v>0</v>
      </c>
      <c r="G881" s="161"/>
      <c r="H881" s="142"/>
      <c r="I881" s="130" t="e">
        <f>VLOOKUP(H881,Presupuesto!$B$11:$C$565,2,0)</f>
        <v>#N/A</v>
      </c>
      <c r="J881" s="98" t="str">
        <f t="shared" si="39"/>
        <v>Desarrollo del Sistema de Educación Superior</v>
      </c>
      <c r="K881" s="98" t="s">
        <v>412</v>
      </c>
    </row>
    <row r="882" spans="3:11" x14ac:dyDescent="0.25">
      <c r="C882" s="141"/>
      <c r="D882" s="158"/>
      <c r="E882" s="123"/>
      <c r="F882" s="97">
        <f t="shared" si="38"/>
        <v>0</v>
      </c>
      <c r="G882" s="161"/>
      <c r="H882" s="142"/>
      <c r="I882" s="130" t="e">
        <f>VLOOKUP(H882,Presupuesto!$B$11:$C$565,2,0)</f>
        <v>#N/A</v>
      </c>
      <c r="J882" s="98" t="str">
        <f t="shared" si="39"/>
        <v>Desarrollo del Sistema de Educación Superior</v>
      </c>
      <c r="K882" s="98" t="s">
        <v>412</v>
      </c>
    </row>
    <row r="883" spans="3:11" x14ac:dyDescent="0.25">
      <c r="C883" s="141"/>
      <c r="D883" s="158"/>
      <c r="E883" s="123"/>
      <c r="F883" s="97">
        <f t="shared" si="38"/>
        <v>0</v>
      </c>
      <c r="G883" s="161"/>
      <c r="H883" s="142"/>
      <c r="I883" s="130" t="e">
        <f>VLOOKUP(H883,Presupuesto!$B$11:$C$565,2,0)</f>
        <v>#N/A</v>
      </c>
      <c r="J883" s="98" t="str">
        <f t="shared" si="39"/>
        <v>Desarrollo del Sistema de Educación Superior</v>
      </c>
      <c r="K883" s="98" t="s">
        <v>412</v>
      </c>
    </row>
    <row r="884" spans="3:11" x14ac:dyDescent="0.25">
      <c r="C884" s="141"/>
      <c r="D884" s="158"/>
      <c r="E884" s="123"/>
      <c r="F884" s="97">
        <f t="shared" si="38"/>
        <v>0</v>
      </c>
      <c r="G884" s="161"/>
      <c r="H884" s="142"/>
      <c r="I884" s="130" t="e">
        <f>VLOOKUP(H884,Presupuesto!$B$11:$C$565,2,0)</f>
        <v>#N/A</v>
      </c>
      <c r="J884" s="98" t="str">
        <f t="shared" si="39"/>
        <v>Desarrollo del Sistema de Educación Superior</v>
      </c>
      <c r="K884" s="98" t="s">
        <v>412</v>
      </c>
    </row>
    <row r="885" spans="3:11" x14ac:dyDescent="0.25">
      <c r="C885" s="141"/>
      <c r="D885" s="158"/>
      <c r="E885" s="123"/>
      <c r="F885" s="97">
        <f t="shared" si="38"/>
        <v>0</v>
      </c>
      <c r="G885" s="161"/>
      <c r="H885" s="142"/>
      <c r="I885" s="130" t="e">
        <f>VLOOKUP(H885,Presupuesto!$B$11:$C$565,2,0)</f>
        <v>#N/A</v>
      </c>
      <c r="J885" s="98" t="str">
        <f t="shared" si="39"/>
        <v>Desarrollo del Sistema de Educación Superior</v>
      </c>
      <c r="K885" s="98" t="s">
        <v>412</v>
      </c>
    </row>
    <row r="886" spans="3:11" x14ac:dyDescent="0.25">
      <c r="C886" s="141"/>
      <c r="D886" s="158"/>
      <c r="E886" s="123"/>
      <c r="F886" s="97">
        <f t="shared" si="38"/>
        <v>0</v>
      </c>
      <c r="G886" s="161"/>
      <c r="H886" s="142"/>
      <c r="I886" s="130" t="e">
        <f>VLOOKUP(H886,Presupuesto!$B$11:$C$565,2,0)</f>
        <v>#N/A</v>
      </c>
      <c r="J886" s="98" t="str">
        <f t="shared" si="39"/>
        <v>Desarrollo del Sistema de Educación Superior</v>
      </c>
      <c r="K886" s="98" t="s">
        <v>412</v>
      </c>
    </row>
    <row r="887" spans="3:11" x14ac:dyDescent="0.25">
      <c r="C887" s="141"/>
      <c r="D887" s="158"/>
      <c r="E887" s="123"/>
      <c r="F887" s="97">
        <f t="shared" si="38"/>
        <v>0</v>
      </c>
      <c r="G887" s="161"/>
      <c r="H887" s="142"/>
      <c r="I887" s="130" t="e">
        <f>VLOOKUP(H887,Presupuesto!$B$11:$C$565,2,0)</f>
        <v>#N/A</v>
      </c>
      <c r="J887" s="98" t="str">
        <f t="shared" si="39"/>
        <v>Desarrollo del Sistema de Educación Superior</v>
      </c>
      <c r="K887" s="98" t="s">
        <v>412</v>
      </c>
    </row>
    <row r="888" spans="3:11" x14ac:dyDescent="0.25">
      <c r="C888" s="141"/>
      <c r="D888" s="158"/>
      <c r="E888" s="123"/>
      <c r="F888" s="97">
        <f t="shared" si="38"/>
        <v>0</v>
      </c>
      <c r="G888" s="161"/>
      <c r="H888" s="142"/>
      <c r="I888" s="130" t="e">
        <f>VLOOKUP(H888,Presupuesto!$B$11:$C$565,2,0)</f>
        <v>#N/A</v>
      </c>
      <c r="J888" s="98" t="str">
        <f t="shared" si="39"/>
        <v>Desarrollo del Sistema de Educación Superior</v>
      </c>
      <c r="K888" s="98" t="s">
        <v>412</v>
      </c>
    </row>
    <row r="889" spans="3:11" x14ac:dyDescent="0.25">
      <c r="C889" s="141"/>
      <c r="D889" s="158"/>
      <c r="E889" s="123"/>
      <c r="F889" s="97">
        <f t="shared" si="38"/>
        <v>0</v>
      </c>
      <c r="G889" s="161"/>
      <c r="H889" s="142"/>
      <c r="I889" s="130" t="e">
        <f>VLOOKUP(H889,Presupuesto!$B$11:$C$565,2,0)</f>
        <v>#N/A</v>
      </c>
      <c r="J889" s="98" t="str">
        <f t="shared" si="39"/>
        <v>Desarrollo del Sistema de Educación Superior</v>
      </c>
      <c r="K889" s="98" t="s">
        <v>412</v>
      </c>
    </row>
    <row r="890" spans="3:11" x14ac:dyDescent="0.25">
      <c r="C890" s="141"/>
      <c r="D890" s="158"/>
      <c r="E890" s="123"/>
      <c r="F890" s="97">
        <f t="shared" si="38"/>
        <v>0</v>
      </c>
      <c r="G890" s="161"/>
      <c r="H890" s="142"/>
      <c r="I890" s="130" t="e">
        <f>VLOOKUP(H890,Presupuesto!$B$11:$C$565,2,0)</f>
        <v>#N/A</v>
      </c>
      <c r="J890" s="98" t="str">
        <f t="shared" si="39"/>
        <v>Desarrollo del Sistema de Educación Superior</v>
      </c>
      <c r="K890" s="98" t="s">
        <v>412</v>
      </c>
    </row>
    <row r="891" spans="3:11" x14ac:dyDescent="0.25">
      <c r="C891" s="141"/>
      <c r="D891" s="158"/>
      <c r="E891" s="123"/>
      <c r="F891" s="97">
        <f t="shared" si="38"/>
        <v>0</v>
      </c>
      <c r="G891" s="161"/>
      <c r="H891" s="142"/>
      <c r="I891" s="130" t="e">
        <f>VLOOKUP(H891,Presupuesto!$B$11:$C$565,2,0)</f>
        <v>#N/A</v>
      </c>
      <c r="J891" s="98" t="str">
        <f t="shared" si="39"/>
        <v>Desarrollo del Sistema de Educación Superior</v>
      </c>
      <c r="K891" s="98" t="s">
        <v>412</v>
      </c>
    </row>
    <row r="892" spans="3:11" x14ac:dyDescent="0.25">
      <c r="C892" s="141"/>
      <c r="D892" s="158"/>
      <c r="E892" s="123"/>
      <c r="F892" s="97">
        <f t="shared" si="38"/>
        <v>0</v>
      </c>
      <c r="G892" s="161"/>
      <c r="H892" s="142"/>
      <c r="I892" s="130" t="e">
        <f>VLOOKUP(H892,Presupuesto!$B$11:$C$565,2,0)</f>
        <v>#N/A</v>
      </c>
      <c r="J892" s="98" t="str">
        <f t="shared" si="39"/>
        <v>Desarrollo del Sistema de Educación Superior</v>
      </c>
      <c r="K892" s="98" t="s">
        <v>412</v>
      </c>
    </row>
    <row r="893" spans="3:11" x14ac:dyDescent="0.25">
      <c r="C893" s="141"/>
      <c r="D893" s="158"/>
      <c r="E893" s="123"/>
      <c r="F893" s="97">
        <f t="shared" si="38"/>
        <v>0</v>
      </c>
      <c r="G893" s="161"/>
      <c r="H893" s="142"/>
      <c r="I893" s="130" t="e">
        <f>VLOOKUP(H893,Presupuesto!$B$11:$C$565,2,0)</f>
        <v>#N/A</v>
      </c>
      <c r="J893" s="98" t="str">
        <f t="shared" si="39"/>
        <v>Desarrollo del Sistema de Educación Superior</v>
      </c>
      <c r="K893" s="98" t="s">
        <v>412</v>
      </c>
    </row>
    <row r="894" spans="3:11" x14ac:dyDescent="0.25">
      <c r="C894" s="141"/>
      <c r="D894" s="158"/>
      <c r="E894" s="123"/>
      <c r="F894" s="97">
        <f t="shared" si="38"/>
        <v>0</v>
      </c>
      <c r="G894" s="161"/>
      <c r="H894" s="142"/>
      <c r="I894" s="130" t="e">
        <f>VLOOKUP(H894,Presupuesto!$B$11:$C$565,2,0)</f>
        <v>#N/A</v>
      </c>
      <c r="J894" s="98" t="str">
        <f t="shared" si="39"/>
        <v>Desarrollo del Sistema de Educación Superior</v>
      </c>
      <c r="K894" s="98" t="s">
        <v>412</v>
      </c>
    </row>
    <row r="895" spans="3:11" x14ac:dyDescent="0.25">
      <c r="C895" s="143"/>
      <c r="D895" s="151"/>
      <c r="E895" s="118"/>
      <c r="F895" s="97">
        <f t="shared" si="38"/>
        <v>0</v>
      </c>
      <c r="G895" s="161"/>
      <c r="H895" s="144"/>
      <c r="I895" s="130" t="e">
        <f>VLOOKUP(H895,Presupuesto!$B$11:$C$565,2,0)</f>
        <v>#N/A</v>
      </c>
      <c r="J895" s="98" t="str">
        <f t="shared" si="39"/>
        <v>Desarrollo del Sistema de Educación Superior</v>
      </c>
      <c r="K895" s="98" t="s">
        <v>412</v>
      </c>
    </row>
    <row r="896" spans="3:11" x14ac:dyDescent="0.25">
      <c r="C896" s="143"/>
      <c r="D896" s="151"/>
      <c r="E896" s="118"/>
      <c r="F896" s="97">
        <f t="shared" si="38"/>
        <v>0</v>
      </c>
      <c r="G896" s="161"/>
      <c r="H896" s="144"/>
      <c r="I896" s="130" t="e">
        <f>VLOOKUP(H896,Presupuesto!$B$11:$C$565,2,0)</f>
        <v>#N/A</v>
      </c>
      <c r="J896" s="98" t="str">
        <f t="shared" si="39"/>
        <v>Desarrollo del Sistema de Educación Superior</v>
      </c>
      <c r="K896" s="98" t="s">
        <v>412</v>
      </c>
    </row>
    <row r="897" spans="3:11" x14ac:dyDescent="0.25">
      <c r="C897" s="143"/>
      <c r="D897" s="151"/>
      <c r="E897" s="118"/>
      <c r="F897" s="97">
        <f t="shared" si="38"/>
        <v>0</v>
      </c>
      <c r="G897" s="161"/>
      <c r="H897" s="144"/>
      <c r="I897" s="130" t="e">
        <f>VLOOKUP(H897,Presupuesto!$B$11:$C$565,2,0)</f>
        <v>#N/A</v>
      </c>
      <c r="J897" s="98" t="str">
        <f t="shared" si="39"/>
        <v>Desarrollo del Sistema de Educación Superior</v>
      </c>
      <c r="K897" s="98" t="s">
        <v>412</v>
      </c>
    </row>
    <row r="898" spans="3:11" x14ac:dyDescent="0.25">
      <c r="C898" s="143"/>
      <c r="D898" s="151"/>
      <c r="E898" s="118"/>
      <c r="F898" s="97">
        <f t="shared" si="38"/>
        <v>0</v>
      </c>
      <c r="G898" s="161"/>
      <c r="H898" s="144"/>
      <c r="I898" s="130" t="e">
        <f>VLOOKUP(H898,Presupuesto!$B$11:$C$565,2,0)</f>
        <v>#N/A</v>
      </c>
      <c r="J898" s="98" t="str">
        <f t="shared" si="39"/>
        <v>Desarrollo del Sistema de Educación Superior</v>
      </c>
      <c r="K898" s="98" t="s">
        <v>412</v>
      </c>
    </row>
    <row r="899" spans="3:11" x14ac:dyDescent="0.25">
      <c r="C899" s="143"/>
      <c r="D899" s="151"/>
      <c r="E899" s="118"/>
      <c r="F899" s="97">
        <f t="shared" si="38"/>
        <v>0</v>
      </c>
      <c r="G899" s="161"/>
      <c r="H899" s="144"/>
      <c r="I899" s="130" t="e">
        <f>VLOOKUP(H899,Presupuesto!$B$11:$C$565,2,0)</f>
        <v>#N/A</v>
      </c>
      <c r="J899" s="98" t="str">
        <f t="shared" si="39"/>
        <v>Desarrollo del Sistema de Educación Superior</v>
      </c>
      <c r="K899" s="98" t="s">
        <v>412</v>
      </c>
    </row>
    <row r="900" spans="3:11" x14ac:dyDescent="0.25">
      <c r="C900" s="143"/>
      <c r="D900" s="151"/>
      <c r="E900" s="118"/>
      <c r="F900" s="97">
        <f t="shared" si="38"/>
        <v>0</v>
      </c>
      <c r="G900" s="161"/>
      <c r="H900" s="144"/>
      <c r="I900" s="130" t="e">
        <f>VLOOKUP(H900,Presupuesto!$B$11:$C$565,2,0)</f>
        <v>#N/A</v>
      </c>
      <c r="J900" s="98" t="str">
        <f t="shared" si="39"/>
        <v>Desarrollo del Sistema de Educación Superior</v>
      </c>
      <c r="K900" s="98" t="s">
        <v>412</v>
      </c>
    </row>
    <row r="901" spans="3:11" x14ac:dyDescent="0.25">
      <c r="C901" s="143"/>
      <c r="D901" s="151"/>
      <c r="E901" s="118"/>
      <c r="F901" s="97">
        <f t="shared" si="38"/>
        <v>0</v>
      </c>
      <c r="G901" s="161"/>
      <c r="H901" s="144"/>
      <c r="I901" s="130" t="e">
        <f>VLOOKUP(H901,Presupuesto!$B$11:$C$565,2,0)</f>
        <v>#N/A</v>
      </c>
      <c r="J901" s="98" t="str">
        <f t="shared" si="39"/>
        <v>Desarrollo del Sistema de Educación Superior</v>
      </c>
      <c r="K901" s="98" t="s">
        <v>412</v>
      </c>
    </row>
    <row r="902" spans="3:11" x14ac:dyDescent="0.25">
      <c r="C902" s="143"/>
      <c r="D902" s="151"/>
      <c r="E902" s="118"/>
      <c r="F902" s="97">
        <f t="shared" si="38"/>
        <v>0</v>
      </c>
      <c r="G902" s="161"/>
      <c r="H902" s="144"/>
      <c r="I902" s="130" t="e">
        <f>VLOOKUP(H902,Presupuesto!$B$11:$C$565,2,0)</f>
        <v>#N/A</v>
      </c>
      <c r="J902" s="98" t="str">
        <f t="shared" si="39"/>
        <v>Desarrollo del Sistema de Educación Superior</v>
      </c>
      <c r="K902" s="98" t="s">
        <v>412</v>
      </c>
    </row>
    <row r="903" spans="3:11" x14ac:dyDescent="0.25">
      <c r="C903" s="145"/>
      <c r="D903" s="151"/>
      <c r="E903" s="118"/>
      <c r="F903" s="97">
        <f t="shared" si="38"/>
        <v>0</v>
      </c>
      <c r="G903" s="161"/>
      <c r="H903" s="146"/>
      <c r="I903" s="130" t="e">
        <f>VLOOKUP(H903,Presupuesto!$B$11:$C$565,2,0)</f>
        <v>#N/A</v>
      </c>
      <c r="J903" s="98" t="str">
        <f t="shared" si="39"/>
        <v>Desarrollo del Sistema de Educación Superior</v>
      </c>
      <c r="K903" s="98" t="s">
        <v>403</v>
      </c>
    </row>
    <row r="904" spans="3:11" x14ac:dyDescent="0.25">
      <c r="C904" s="145"/>
      <c r="D904" s="151"/>
      <c r="E904" s="118"/>
      <c r="F904" s="97">
        <f t="shared" si="38"/>
        <v>0</v>
      </c>
      <c r="G904" s="161"/>
      <c r="H904" s="146"/>
      <c r="I904" s="130" t="e">
        <f>VLOOKUP(H904,Presupuesto!$B$11:$C$565,2,0)</f>
        <v>#N/A</v>
      </c>
      <c r="J904" s="98" t="str">
        <f t="shared" si="39"/>
        <v>Desarrollo del Sistema de Educación Superior</v>
      </c>
      <c r="K904" s="98" t="s">
        <v>412</v>
      </c>
    </row>
    <row r="905" spans="3:11" x14ac:dyDescent="0.25">
      <c r="C905" s="145"/>
      <c r="D905" s="151"/>
      <c r="E905" s="118"/>
      <c r="F905" s="97">
        <f t="shared" si="38"/>
        <v>0</v>
      </c>
      <c r="G905" s="161"/>
      <c r="H905" s="146"/>
      <c r="I905" s="130" t="e">
        <f>VLOOKUP(H905,Presupuesto!$B$11:$C$565,2,0)</f>
        <v>#N/A</v>
      </c>
      <c r="J905" s="98" t="str">
        <f t="shared" si="39"/>
        <v>Desarrollo del Sistema de Educación Superior</v>
      </c>
      <c r="K905" s="98" t="s">
        <v>412</v>
      </c>
    </row>
    <row r="906" spans="3:11" x14ac:dyDescent="0.25">
      <c r="C906" s="145"/>
      <c r="D906" s="151"/>
      <c r="E906" s="118"/>
      <c r="F906" s="97">
        <f t="shared" si="38"/>
        <v>0</v>
      </c>
      <c r="G906" s="161"/>
      <c r="H906" s="146"/>
      <c r="I906" s="130" t="e">
        <f>VLOOKUP(H906,Presupuesto!$B$11:$C$565,2,0)</f>
        <v>#N/A</v>
      </c>
      <c r="J906" s="98" t="str">
        <f t="shared" si="39"/>
        <v>Desarrollo del Sistema de Educación Superior</v>
      </c>
      <c r="K906" s="98" t="s">
        <v>412</v>
      </c>
    </row>
    <row r="907" spans="3:11" ht="15.75" thickBot="1" x14ac:dyDescent="0.3">
      <c r="C907" s="147"/>
      <c r="D907" s="159"/>
      <c r="E907" s="103"/>
      <c r="F907" s="105">
        <f t="shared" si="38"/>
        <v>0</v>
      </c>
      <c r="G907" s="162"/>
      <c r="H907" s="148"/>
      <c r="I907" s="132" t="e">
        <f>VLOOKUP(H907,Presupuesto!$B$11:$C$565,2,0)</f>
        <v>#N/A</v>
      </c>
      <c r="J907" s="106" t="str">
        <f t="shared" si="39"/>
        <v>Desarrollo del Sistema de Educación Superior</v>
      </c>
      <c r="K907" s="124" t="s">
        <v>394</v>
      </c>
    </row>
    <row r="909" spans="3:11" ht="15.75" thickBot="1" x14ac:dyDescent="0.3">
      <c r="F909" s="90"/>
      <c r="G909" s="89"/>
      <c r="H909" s="90"/>
      <c r="I909" s="90"/>
    </row>
    <row r="910" spans="3:11" ht="15.75" thickBot="1" x14ac:dyDescent="0.3">
      <c r="C910" s="157" t="s">
        <v>53</v>
      </c>
      <c r="D910" s="374">
        <f>SUM(F917:F951)</f>
        <v>0</v>
      </c>
      <c r="F910" s="70"/>
      <c r="G910" s="79"/>
      <c r="H910" s="70"/>
      <c r="I910" s="70"/>
    </row>
    <row r="911" spans="3:11" x14ac:dyDescent="0.25">
      <c r="C911" s="70"/>
      <c r="D911" s="31"/>
      <c r="E911" s="93"/>
      <c r="F911" s="93"/>
      <c r="G911" s="93"/>
      <c r="H911" s="76"/>
      <c r="I911" s="76"/>
      <c r="J911" s="76"/>
      <c r="K911" s="112"/>
    </row>
    <row r="912" spans="3:11" x14ac:dyDescent="0.25">
      <c r="C912" s="70"/>
      <c r="D912" s="31"/>
      <c r="E912" s="93"/>
      <c r="F912" s="93"/>
      <c r="G912" s="93"/>
      <c r="H912" s="76"/>
      <c r="I912" s="76"/>
      <c r="J912" s="76"/>
      <c r="K912" s="112"/>
    </row>
    <row r="913" spans="3:11" ht="15.75" x14ac:dyDescent="0.25">
      <c r="C913" s="202" t="s">
        <v>392</v>
      </c>
      <c r="D913" s="370"/>
      <c r="E913" s="93"/>
      <c r="F913" s="93"/>
      <c r="G913" s="93"/>
      <c r="H913" s="76"/>
      <c r="I913" s="76"/>
      <c r="J913" s="76"/>
      <c r="K913" s="112"/>
    </row>
    <row r="914" spans="3:11"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c r="K914" s="112"/>
    </row>
    <row r="915" spans="3:11" ht="15.75" thickBot="1" x14ac:dyDescent="0.3">
      <c r="F915" s="93"/>
      <c r="G915" s="76"/>
      <c r="H915" s="76"/>
      <c r="I915" s="76"/>
    </row>
    <row r="916" spans="3:11" ht="30.75" thickBot="1" x14ac:dyDescent="0.3">
      <c r="C916" s="129" t="s">
        <v>44</v>
      </c>
      <c r="D916" s="129" t="s">
        <v>55</v>
      </c>
      <c r="E916" s="136" t="s">
        <v>57</v>
      </c>
      <c r="F916" s="135" t="s">
        <v>27</v>
      </c>
      <c r="G916" s="133" t="s">
        <v>131</v>
      </c>
      <c r="H916" s="136" t="s">
        <v>46</v>
      </c>
      <c r="I916" s="133" t="s">
        <v>132</v>
      </c>
      <c r="J916" s="133" t="s">
        <v>410</v>
      </c>
      <c r="K916" s="133" t="s">
        <v>411</v>
      </c>
    </row>
    <row r="917" spans="3:11" x14ac:dyDescent="0.25">
      <c r="C917" s="221" t="s">
        <v>439</v>
      </c>
      <c r="D917" s="222"/>
      <c r="E917" s="220">
        <f>HLOOKUP(C917,$AH$2:$BU$3,2,0)</f>
        <v>620</v>
      </c>
      <c r="F917" s="97">
        <f t="shared" ref="F917:F951" si="40">D917*E917</f>
        <v>0</v>
      </c>
      <c r="G917" s="161"/>
      <c r="H917" s="142"/>
      <c r="I917" s="130" t="e">
        <f>VLOOKUP(H917,Presupuesto!$B$11:$C$565,2,0)</f>
        <v>#N/A</v>
      </c>
      <c r="J917" s="219" t="s">
        <v>1479</v>
      </c>
      <c r="K917" s="98" t="s">
        <v>394</v>
      </c>
    </row>
    <row r="918" spans="3:11" x14ac:dyDescent="0.25">
      <c r="C918" s="141"/>
      <c r="D918" s="158"/>
      <c r="E918" s="123"/>
      <c r="F918" s="97">
        <f t="shared" si="40"/>
        <v>0</v>
      </c>
      <c r="G918" s="161"/>
      <c r="H918" s="142"/>
      <c r="I918" s="130" t="e">
        <f>VLOOKUP(H918,Presupuesto!$B$11:$C$565,2,0)</f>
        <v>#N/A</v>
      </c>
      <c r="J918" s="98" t="str">
        <f>$J$917</f>
        <v>Desarrollo del Sistema de Educación Superior</v>
      </c>
      <c r="K918" s="98" t="s">
        <v>412</v>
      </c>
    </row>
    <row r="919" spans="3:11" x14ac:dyDescent="0.25">
      <c r="C919" s="141"/>
      <c r="D919" s="158"/>
      <c r="E919" s="123"/>
      <c r="F919" s="97">
        <f t="shared" si="40"/>
        <v>0</v>
      </c>
      <c r="G919" s="161"/>
      <c r="H919" s="142"/>
      <c r="I919" s="130" t="e">
        <f>VLOOKUP(H919,Presupuesto!$B$11:$C$565,2,0)</f>
        <v>#N/A</v>
      </c>
      <c r="J919" s="98" t="str">
        <f t="shared" ref="J919:J951" si="41">$J$917</f>
        <v>Desarrollo del Sistema de Educación Superior</v>
      </c>
      <c r="K919" s="98" t="s">
        <v>412</v>
      </c>
    </row>
    <row r="920" spans="3:11" x14ac:dyDescent="0.25">
      <c r="C920" s="141"/>
      <c r="D920" s="158"/>
      <c r="E920" s="123"/>
      <c r="F920" s="97">
        <f t="shared" si="40"/>
        <v>0</v>
      </c>
      <c r="G920" s="161"/>
      <c r="H920" s="142"/>
      <c r="I920" s="130" t="e">
        <f>VLOOKUP(H920,Presupuesto!$B$11:$C$565,2,0)</f>
        <v>#N/A</v>
      </c>
      <c r="J920" s="98" t="str">
        <f t="shared" si="41"/>
        <v>Desarrollo del Sistema de Educación Superior</v>
      </c>
      <c r="K920" s="98" t="s">
        <v>412</v>
      </c>
    </row>
    <row r="921" spans="3:11" x14ac:dyDescent="0.25">
      <c r="C921" s="141"/>
      <c r="D921" s="158"/>
      <c r="E921" s="123"/>
      <c r="F921" s="97">
        <f t="shared" si="40"/>
        <v>0</v>
      </c>
      <c r="G921" s="161"/>
      <c r="H921" s="142"/>
      <c r="I921" s="130" t="e">
        <f>VLOOKUP(H921,Presupuesto!$B$11:$C$565,2,0)</f>
        <v>#N/A</v>
      </c>
      <c r="J921" s="98" t="str">
        <f t="shared" si="41"/>
        <v>Desarrollo del Sistema de Educación Superior</v>
      </c>
      <c r="K921" s="98" t="s">
        <v>412</v>
      </c>
    </row>
    <row r="922" spans="3:11" x14ac:dyDescent="0.25">
      <c r="C922" s="141"/>
      <c r="D922" s="158"/>
      <c r="E922" s="123"/>
      <c r="F922" s="97">
        <f t="shared" si="40"/>
        <v>0</v>
      </c>
      <c r="G922" s="161"/>
      <c r="H922" s="142"/>
      <c r="I922" s="130" t="e">
        <f>VLOOKUP(H922,Presupuesto!$B$11:$C$565,2,0)</f>
        <v>#N/A</v>
      </c>
      <c r="J922" s="98" t="str">
        <f t="shared" si="41"/>
        <v>Desarrollo del Sistema de Educación Superior</v>
      </c>
      <c r="K922" s="98" t="s">
        <v>401</v>
      </c>
    </row>
    <row r="923" spans="3:11" x14ac:dyDescent="0.25">
      <c r="C923" s="141"/>
      <c r="D923" s="158"/>
      <c r="E923" s="123"/>
      <c r="F923" s="97">
        <f t="shared" si="40"/>
        <v>0</v>
      </c>
      <c r="G923" s="161"/>
      <c r="H923" s="142"/>
      <c r="I923" s="130" t="e">
        <f>VLOOKUP(H923,Presupuesto!$B$11:$C$565,2,0)</f>
        <v>#N/A</v>
      </c>
      <c r="J923" s="98" t="str">
        <f t="shared" si="41"/>
        <v>Desarrollo del Sistema de Educación Superior</v>
      </c>
      <c r="K923" s="98" t="s">
        <v>412</v>
      </c>
    </row>
    <row r="924" spans="3:11" x14ac:dyDescent="0.25">
      <c r="C924" s="141"/>
      <c r="D924" s="158"/>
      <c r="E924" s="123"/>
      <c r="F924" s="97">
        <f t="shared" si="40"/>
        <v>0</v>
      </c>
      <c r="G924" s="161"/>
      <c r="H924" s="142"/>
      <c r="I924" s="130" t="e">
        <f>VLOOKUP(H924,Presupuesto!$B$11:$C$565,2,0)</f>
        <v>#N/A</v>
      </c>
      <c r="J924" s="98" t="str">
        <f t="shared" si="41"/>
        <v>Desarrollo del Sistema de Educación Superior</v>
      </c>
      <c r="K924" s="98" t="s">
        <v>412</v>
      </c>
    </row>
    <row r="925" spans="3:11" x14ac:dyDescent="0.25">
      <c r="C925" s="141"/>
      <c r="D925" s="158"/>
      <c r="E925" s="123"/>
      <c r="F925" s="97">
        <f t="shared" si="40"/>
        <v>0</v>
      </c>
      <c r="G925" s="161"/>
      <c r="H925" s="142"/>
      <c r="I925" s="130" t="e">
        <f>VLOOKUP(H925,Presupuesto!$B$11:$C$565,2,0)</f>
        <v>#N/A</v>
      </c>
      <c r="J925" s="98" t="str">
        <f t="shared" si="41"/>
        <v>Desarrollo del Sistema de Educación Superior</v>
      </c>
      <c r="K925" s="98" t="s">
        <v>412</v>
      </c>
    </row>
    <row r="926" spans="3:11" x14ac:dyDescent="0.25">
      <c r="C926" s="141"/>
      <c r="D926" s="158"/>
      <c r="E926" s="123"/>
      <c r="F926" s="97">
        <f t="shared" si="40"/>
        <v>0</v>
      </c>
      <c r="G926" s="161"/>
      <c r="H926" s="142"/>
      <c r="I926" s="130" t="e">
        <f>VLOOKUP(H926,Presupuesto!$B$11:$C$565,2,0)</f>
        <v>#N/A</v>
      </c>
      <c r="J926" s="98" t="str">
        <f t="shared" si="41"/>
        <v>Desarrollo del Sistema de Educación Superior</v>
      </c>
      <c r="K926" s="98" t="s">
        <v>412</v>
      </c>
    </row>
    <row r="927" spans="3:11" x14ac:dyDescent="0.25">
      <c r="C927" s="141"/>
      <c r="D927" s="158"/>
      <c r="E927" s="123"/>
      <c r="F927" s="97">
        <f t="shared" si="40"/>
        <v>0</v>
      </c>
      <c r="G927" s="161"/>
      <c r="H927" s="142"/>
      <c r="I927" s="130" t="e">
        <f>VLOOKUP(H927,Presupuesto!$B$11:$C$565,2,0)</f>
        <v>#N/A</v>
      </c>
      <c r="J927" s="98" t="str">
        <f t="shared" si="41"/>
        <v>Desarrollo del Sistema de Educación Superior</v>
      </c>
      <c r="K927" s="98" t="s">
        <v>412</v>
      </c>
    </row>
    <row r="928" spans="3:11" x14ac:dyDescent="0.25">
      <c r="C928" s="141"/>
      <c r="D928" s="158"/>
      <c r="E928" s="123"/>
      <c r="F928" s="97">
        <f t="shared" si="40"/>
        <v>0</v>
      </c>
      <c r="G928" s="161"/>
      <c r="H928" s="142"/>
      <c r="I928" s="130" t="e">
        <f>VLOOKUP(H928,Presupuesto!$B$11:$C$565,2,0)</f>
        <v>#N/A</v>
      </c>
      <c r="J928" s="98" t="str">
        <f t="shared" si="41"/>
        <v>Desarrollo del Sistema de Educación Superior</v>
      </c>
      <c r="K928" s="98" t="s">
        <v>412</v>
      </c>
    </row>
    <row r="929" spans="3:11" x14ac:dyDescent="0.25">
      <c r="C929" s="141"/>
      <c r="D929" s="158"/>
      <c r="E929" s="123"/>
      <c r="F929" s="97">
        <f t="shared" si="40"/>
        <v>0</v>
      </c>
      <c r="G929" s="161"/>
      <c r="H929" s="142"/>
      <c r="I929" s="130" t="e">
        <f>VLOOKUP(H929,Presupuesto!$B$11:$C$565,2,0)</f>
        <v>#N/A</v>
      </c>
      <c r="J929" s="98" t="str">
        <f t="shared" si="41"/>
        <v>Desarrollo del Sistema de Educación Superior</v>
      </c>
      <c r="K929" s="98" t="s">
        <v>412</v>
      </c>
    </row>
    <row r="930" spans="3:11" x14ac:dyDescent="0.25">
      <c r="C930" s="141"/>
      <c r="D930" s="158"/>
      <c r="E930" s="123"/>
      <c r="F930" s="97">
        <f t="shared" si="40"/>
        <v>0</v>
      </c>
      <c r="G930" s="161"/>
      <c r="H930" s="142"/>
      <c r="I930" s="130" t="e">
        <f>VLOOKUP(H930,Presupuesto!$B$11:$C$565,2,0)</f>
        <v>#N/A</v>
      </c>
      <c r="J930" s="98" t="str">
        <f t="shared" si="41"/>
        <v>Desarrollo del Sistema de Educación Superior</v>
      </c>
      <c r="K930" s="98" t="s">
        <v>412</v>
      </c>
    </row>
    <row r="931" spans="3:11" x14ac:dyDescent="0.25">
      <c r="C931" s="141"/>
      <c r="D931" s="158"/>
      <c r="E931" s="123"/>
      <c r="F931" s="97">
        <f t="shared" si="40"/>
        <v>0</v>
      </c>
      <c r="G931" s="161"/>
      <c r="H931" s="142"/>
      <c r="I931" s="130" t="e">
        <f>VLOOKUP(H931,Presupuesto!$B$11:$C$565,2,0)</f>
        <v>#N/A</v>
      </c>
      <c r="J931" s="98" t="str">
        <f t="shared" si="41"/>
        <v>Desarrollo del Sistema de Educación Superior</v>
      </c>
      <c r="K931" s="98" t="s">
        <v>412</v>
      </c>
    </row>
    <row r="932" spans="3:11" x14ac:dyDescent="0.25">
      <c r="C932" s="141"/>
      <c r="D932" s="158"/>
      <c r="E932" s="123"/>
      <c r="F932" s="97">
        <f t="shared" si="40"/>
        <v>0</v>
      </c>
      <c r="G932" s="161"/>
      <c r="H932" s="142"/>
      <c r="I932" s="130" t="e">
        <f>VLOOKUP(H932,Presupuesto!$B$11:$C$565,2,0)</f>
        <v>#N/A</v>
      </c>
      <c r="J932" s="98" t="str">
        <f t="shared" si="41"/>
        <v>Desarrollo del Sistema de Educación Superior</v>
      </c>
      <c r="K932" s="98" t="s">
        <v>412</v>
      </c>
    </row>
    <row r="933" spans="3:11" x14ac:dyDescent="0.25">
      <c r="C933" s="141"/>
      <c r="D933" s="158"/>
      <c r="E933" s="123"/>
      <c r="F933" s="97">
        <f t="shared" si="40"/>
        <v>0</v>
      </c>
      <c r="G933" s="161"/>
      <c r="H933" s="142"/>
      <c r="I933" s="130" t="e">
        <f>VLOOKUP(H933,Presupuesto!$B$11:$C$565,2,0)</f>
        <v>#N/A</v>
      </c>
      <c r="J933" s="98" t="str">
        <f t="shared" si="41"/>
        <v>Desarrollo del Sistema de Educación Superior</v>
      </c>
      <c r="K933" s="98" t="s">
        <v>412</v>
      </c>
    </row>
    <row r="934" spans="3:11" x14ac:dyDescent="0.25">
      <c r="C934" s="141"/>
      <c r="D934" s="158"/>
      <c r="E934" s="123"/>
      <c r="F934" s="97">
        <f t="shared" si="40"/>
        <v>0</v>
      </c>
      <c r="G934" s="161"/>
      <c r="H934" s="142"/>
      <c r="I934" s="130" t="e">
        <f>VLOOKUP(H934,Presupuesto!$B$11:$C$565,2,0)</f>
        <v>#N/A</v>
      </c>
      <c r="J934" s="98" t="str">
        <f t="shared" si="41"/>
        <v>Desarrollo del Sistema de Educación Superior</v>
      </c>
      <c r="K934" s="98" t="s">
        <v>412</v>
      </c>
    </row>
    <row r="935" spans="3:11" x14ac:dyDescent="0.25">
      <c r="C935" s="141"/>
      <c r="D935" s="158"/>
      <c r="E935" s="123"/>
      <c r="F935" s="97">
        <f t="shared" si="40"/>
        <v>0</v>
      </c>
      <c r="G935" s="161"/>
      <c r="H935" s="142"/>
      <c r="I935" s="130" t="e">
        <f>VLOOKUP(H935,Presupuesto!$B$11:$C$565,2,0)</f>
        <v>#N/A</v>
      </c>
      <c r="J935" s="98" t="str">
        <f t="shared" si="41"/>
        <v>Desarrollo del Sistema de Educación Superior</v>
      </c>
      <c r="K935" s="98" t="s">
        <v>412</v>
      </c>
    </row>
    <row r="936" spans="3:11" x14ac:dyDescent="0.25">
      <c r="C936" s="141"/>
      <c r="D936" s="158"/>
      <c r="E936" s="123"/>
      <c r="F936" s="97">
        <f t="shared" si="40"/>
        <v>0</v>
      </c>
      <c r="G936" s="161"/>
      <c r="H936" s="142"/>
      <c r="I936" s="130" t="e">
        <f>VLOOKUP(H936,Presupuesto!$B$11:$C$565,2,0)</f>
        <v>#N/A</v>
      </c>
      <c r="J936" s="98" t="str">
        <f t="shared" si="41"/>
        <v>Desarrollo del Sistema de Educación Superior</v>
      </c>
      <c r="K936" s="98" t="s">
        <v>412</v>
      </c>
    </row>
    <row r="937" spans="3:11" x14ac:dyDescent="0.25">
      <c r="C937" s="141"/>
      <c r="D937" s="158"/>
      <c r="E937" s="123"/>
      <c r="F937" s="97">
        <f t="shared" si="40"/>
        <v>0</v>
      </c>
      <c r="G937" s="161"/>
      <c r="H937" s="142"/>
      <c r="I937" s="130" t="e">
        <f>VLOOKUP(H937,Presupuesto!$B$11:$C$565,2,0)</f>
        <v>#N/A</v>
      </c>
      <c r="J937" s="98" t="str">
        <f t="shared" si="41"/>
        <v>Desarrollo del Sistema de Educación Superior</v>
      </c>
      <c r="K937" s="98" t="s">
        <v>412</v>
      </c>
    </row>
    <row r="938" spans="3:11" x14ac:dyDescent="0.25">
      <c r="C938" s="141"/>
      <c r="D938" s="158"/>
      <c r="E938" s="123"/>
      <c r="F938" s="97">
        <f t="shared" si="40"/>
        <v>0</v>
      </c>
      <c r="G938" s="161"/>
      <c r="H938" s="142"/>
      <c r="I938" s="130" t="e">
        <f>VLOOKUP(H938,Presupuesto!$B$11:$C$565,2,0)</f>
        <v>#N/A</v>
      </c>
      <c r="J938" s="98" t="str">
        <f t="shared" si="41"/>
        <v>Desarrollo del Sistema de Educación Superior</v>
      </c>
      <c r="K938" s="98" t="s">
        <v>412</v>
      </c>
    </row>
    <row r="939" spans="3:11" x14ac:dyDescent="0.25">
      <c r="C939" s="143"/>
      <c r="D939" s="151"/>
      <c r="E939" s="118"/>
      <c r="F939" s="97">
        <f t="shared" si="40"/>
        <v>0</v>
      </c>
      <c r="G939" s="161"/>
      <c r="H939" s="144"/>
      <c r="I939" s="130" t="e">
        <f>VLOOKUP(H939,Presupuesto!$B$11:$C$565,2,0)</f>
        <v>#N/A</v>
      </c>
      <c r="J939" s="98" t="str">
        <f t="shared" si="41"/>
        <v>Desarrollo del Sistema de Educación Superior</v>
      </c>
      <c r="K939" s="98" t="s">
        <v>412</v>
      </c>
    </row>
    <row r="940" spans="3:11" x14ac:dyDescent="0.25">
      <c r="C940" s="143"/>
      <c r="D940" s="151"/>
      <c r="E940" s="118"/>
      <c r="F940" s="97">
        <f t="shared" si="40"/>
        <v>0</v>
      </c>
      <c r="G940" s="161"/>
      <c r="H940" s="144"/>
      <c r="I940" s="130" t="e">
        <f>VLOOKUP(H940,Presupuesto!$B$11:$C$565,2,0)</f>
        <v>#N/A</v>
      </c>
      <c r="J940" s="98" t="str">
        <f t="shared" si="41"/>
        <v>Desarrollo del Sistema de Educación Superior</v>
      </c>
      <c r="K940" s="98" t="s">
        <v>412</v>
      </c>
    </row>
    <row r="941" spans="3:11" x14ac:dyDescent="0.25">
      <c r="C941" s="143"/>
      <c r="D941" s="151"/>
      <c r="E941" s="118"/>
      <c r="F941" s="97">
        <f t="shared" si="40"/>
        <v>0</v>
      </c>
      <c r="G941" s="161"/>
      <c r="H941" s="144"/>
      <c r="I941" s="130" t="e">
        <f>VLOOKUP(H941,Presupuesto!$B$11:$C$565,2,0)</f>
        <v>#N/A</v>
      </c>
      <c r="J941" s="98" t="str">
        <f t="shared" si="41"/>
        <v>Desarrollo del Sistema de Educación Superior</v>
      </c>
      <c r="K941" s="98" t="s">
        <v>412</v>
      </c>
    </row>
    <row r="942" spans="3:11" x14ac:dyDescent="0.25">
      <c r="C942" s="143"/>
      <c r="D942" s="151"/>
      <c r="E942" s="118"/>
      <c r="F942" s="97">
        <f t="shared" si="40"/>
        <v>0</v>
      </c>
      <c r="G942" s="161"/>
      <c r="H942" s="144"/>
      <c r="I942" s="130" t="e">
        <f>VLOOKUP(H942,Presupuesto!$B$11:$C$565,2,0)</f>
        <v>#N/A</v>
      </c>
      <c r="J942" s="98" t="str">
        <f t="shared" si="41"/>
        <v>Desarrollo del Sistema de Educación Superior</v>
      </c>
      <c r="K942" s="98" t="s">
        <v>412</v>
      </c>
    </row>
    <row r="943" spans="3:11" x14ac:dyDescent="0.25">
      <c r="C943" s="143"/>
      <c r="D943" s="151"/>
      <c r="E943" s="118"/>
      <c r="F943" s="97">
        <f t="shared" si="40"/>
        <v>0</v>
      </c>
      <c r="G943" s="161"/>
      <c r="H943" s="144"/>
      <c r="I943" s="130" t="e">
        <f>VLOOKUP(H943,Presupuesto!$B$11:$C$565,2,0)</f>
        <v>#N/A</v>
      </c>
      <c r="J943" s="98" t="str">
        <f t="shared" si="41"/>
        <v>Desarrollo del Sistema de Educación Superior</v>
      </c>
      <c r="K943" s="98" t="s">
        <v>412</v>
      </c>
    </row>
    <row r="944" spans="3:11" x14ac:dyDescent="0.25">
      <c r="C944" s="143"/>
      <c r="D944" s="151"/>
      <c r="E944" s="118"/>
      <c r="F944" s="97">
        <f t="shared" si="40"/>
        <v>0</v>
      </c>
      <c r="G944" s="161"/>
      <c r="H944" s="144"/>
      <c r="I944" s="130" t="e">
        <f>VLOOKUP(H944,Presupuesto!$B$11:$C$565,2,0)</f>
        <v>#N/A</v>
      </c>
      <c r="J944" s="98" t="str">
        <f t="shared" si="41"/>
        <v>Desarrollo del Sistema de Educación Superior</v>
      </c>
      <c r="K944" s="98" t="s">
        <v>412</v>
      </c>
    </row>
    <row r="945" spans="3:11" x14ac:dyDescent="0.25">
      <c r="C945" s="143"/>
      <c r="D945" s="151"/>
      <c r="E945" s="118"/>
      <c r="F945" s="97">
        <f t="shared" si="40"/>
        <v>0</v>
      </c>
      <c r="G945" s="161"/>
      <c r="H945" s="144"/>
      <c r="I945" s="130" t="e">
        <f>VLOOKUP(H945,Presupuesto!$B$11:$C$565,2,0)</f>
        <v>#N/A</v>
      </c>
      <c r="J945" s="98" t="str">
        <f t="shared" si="41"/>
        <v>Desarrollo del Sistema de Educación Superior</v>
      </c>
      <c r="K945" s="98" t="s">
        <v>412</v>
      </c>
    </row>
    <row r="946" spans="3:11" x14ac:dyDescent="0.25">
      <c r="C946" s="143"/>
      <c r="D946" s="151"/>
      <c r="E946" s="118"/>
      <c r="F946" s="97">
        <f t="shared" si="40"/>
        <v>0</v>
      </c>
      <c r="G946" s="161"/>
      <c r="H946" s="144"/>
      <c r="I946" s="130" t="e">
        <f>VLOOKUP(H946,Presupuesto!$B$11:$C$565,2,0)</f>
        <v>#N/A</v>
      </c>
      <c r="J946" s="98" t="str">
        <f t="shared" si="41"/>
        <v>Desarrollo del Sistema de Educación Superior</v>
      </c>
      <c r="K946" s="98" t="s">
        <v>412</v>
      </c>
    </row>
    <row r="947" spans="3:11" x14ac:dyDescent="0.25">
      <c r="C947" s="145"/>
      <c r="D947" s="151"/>
      <c r="E947" s="118"/>
      <c r="F947" s="97">
        <f t="shared" si="40"/>
        <v>0</v>
      </c>
      <c r="G947" s="161"/>
      <c r="H947" s="146"/>
      <c r="I947" s="130" t="e">
        <f>VLOOKUP(H947,Presupuesto!$B$11:$C$565,2,0)</f>
        <v>#N/A</v>
      </c>
      <c r="J947" s="98" t="str">
        <f t="shared" si="41"/>
        <v>Desarrollo del Sistema de Educación Superior</v>
      </c>
      <c r="K947" s="98" t="s">
        <v>403</v>
      </c>
    </row>
    <row r="948" spans="3:11" x14ac:dyDescent="0.25">
      <c r="C948" s="145"/>
      <c r="D948" s="151"/>
      <c r="E948" s="118"/>
      <c r="F948" s="97">
        <f t="shared" si="40"/>
        <v>0</v>
      </c>
      <c r="G948" s="161"/>
      <c r="H948" s="146"/>
      <c r="I948" s="130" t="e">
        <f>VLOOKUP(H948,Presupuesto!$B$11:$C$565,2,0)</f>
        <v>#N/A</v>
      </c>
      <c r="J948" s="98" t="str">
        <f t="shared" si="41"/>
        <v>Desarrollo del Sistema de Educación Superior</v>
      </c>
      <c r="K948" s="98" t="s">
        <v>412</v>
      </c>
    </row>
    <row r="949" spans="3:11" x14ac:dyDescent="0.25">
      <c r="C949" s="145"/>
      <c r="D949" s="151"/>
      <c r="E949" s="118"/>
      <c r="F949" s="97">
        <f t="shared" si="40"/>
        <v>0</v>
      </c>
      <c r="G949" s="161"/>
      <c r="H949" s="146"/>
      <c r="I949" s="130" t="e">
        <f>VLOOKUP(H949,Presupuesto!$B$11:$C$565,2,0)</f>
        <v>#N/A</v>
      </c>
      <c r="J949" s="98" t="str">
        <f t="shared" si="41"/>
        <v>Desarrollo del Sistema de Educación Superior</v>
      </c>
      <c r="K949" s="98" t="s">
        <v>412</v>
      </c>
    </row>
    <row r="950" spans="3:11" x14ac:dyDescent="0.25">
      <c r="C950" s="145"/>
      <c r="D950" s="151"/>
      <c r="E950" s="118"/>
      <c r="F950" s="97">
        <f t="shared" si="40"/>
        <v>0</v>
      </c>
      <c r="G950" s="161"/>
      <c r="H950" s="146"/>
      <c r="I950" s="130" t="e">
        <f>VLOOKUP(H950,Presupuesto!$B$11:$C$565,2,0)</f>
        <v>#N/A</v>
      </c>
      <c r="J950" s="98" t="str">
        <f t="shared" si="41"/>
        <v>Desarrollo del Sistema de Educación Superior</v>
      </c>
      <c r="K950" s="98" t="s">
        <v>412</v>
      </c>
    </row>
    <row r="951" spans="3:11" ht="15.75" thickBot="1" x14ac:dyDescent="0.3">
      <c r="C951" s="147"/>
      <c r="D951" s="159"/>
      <c r="E951" s="103"/>
      <c r="F951" s="105">
        <f t="shared" si="40"/>
        <v>0</v>
      </c>
      <c r="G951" s="162"/>
      <c r="H951" s="148"/>
      <c r="I951" s="132" t="e">
        <f>VLOOKUP(H951,Presupuesto!$B$11:$C$565,2,0)</f>
        <v>#N/A</v>
      </c>
      <c r="J951" s="106" t="str">
        <f t="shared" si="41"/>
        <v>Desarrollo del Sistema de Educación Superior</v>
      </c>
      <c r="K951" s="124" t="s">
        <v>394</v>
      </c>
    </row>
  </sheetData>
  <dataConsolidate/>
  <dataValidations count="7">
    <dataValidation type="list" allowBlank="1" showInputMessage="1" showErrorMessage="1" errorTitle="¡Ingreso Inválido!" error="Seleccione una opción de la lista." promptTitle="Tipo de Presupuesto" prompt="Seleccione una opción de la lista." sqref="G917:G951 G17:G114 G168:G202 G212:G246 G256:G290 G300:G334 G344:G378 G388:G422 G433:G467 G477:G511 G521:G555 G565:G599 G609:G643 G653:G687 G697:G731 G741:G775 G785:G819 G829:G863 G873:G907 G124:G158">
      <formula1>$R$2:$S$2</formula1>
    </dataValidation>
    <dataValidation type="list" allowBlank="1" showInputMessage="1" showErrorMessage="1" errorTitle="¡Ingreso Inválido!" error="Seleccione una opción de la lista" promptTitle="Mes Requerido" prompt="Seleccione el mes en el que requiere el recurso." sqref="K917:K951 K17:K114 K168:K202 K212:K246 K256:K290 K300:K334 K344:K378 K388:K422 K433:K467 K477:K511 K521:K555 K565:K599 K609:K643 K653:K687 K697:K731 K741:K775 K785:K819 K829:K863 K873:K907 K124:K158">
      <formula1>$U$2:$AF$2</formula1>
    </dataValidation>
    <dataValidation type="list" allowBlank="1" showInputMessage="1" showErrorMessage="1" errorTitle="¡Ingreso Invalido!" error="Seleccione una opción de la lista." promptTitle="Categoria/Zona de Viáticos" prompt="Seleccione una opción de la lista" sqref="C917 C33 C168 C212 C256 C300 C344 C388 C433 C477 C521 C565 C609 C653 C697 C741 C785 C829 C873 C17:C19 C60 C124:C125">
      <formula1>$AH$2:$BU$2</formula1>
    </dataValidation>
    <dataValidation type="list" allowBlank="1" showInputMessage="1" showErrorMessage="1" errorTitle="¡Ingreso Inválido!" error="Verifique el valor ingresado." promptTitle="Ingrese el Objeto de Gasto" prompt="Ingrese el Objeto de Gasto" sqref="H917:H951 H17:H46 H168:H202 H212:H246 H256:H290 H300:H334 H344:H378 H388:H422 H433:H467 H477:H511 H521:H555 H565:H599 H609:H643 H653:H687 H697:H731 H741:H775 H785:H819 H829:H863 H873:H907 H124:H158">
      <formula1>$A$1:$UI$1</formula1>
    </dataValidation>
    <dataValidation type="list" allowBlank="1" showInputMessage="1" showErrorMessage="1" errorTitle="¡Ingreso Inválido!" error="Seleccione una opción de la lista." promptTitle="Dimensión Estratégica" prompt="Seleccione una opción de la lista." sqref="J34:J114 J169:J202 J213:J246 J257:J290 J301:J334 J345:J378 J389:J422 J434:J467 J478:J511 J522:J555 J566:J599 J610:J643 J654:J687 J698:J731 J742:J775 J786:J819 J830:J863 J874:J907 J918:J951 J20:J32 J126:J158">
      <formula1>$A$2:$P$2</formula1>
    </dataValidation>
    <dataValidation type="list" allowBlank="1" showInputMessage="1" showErrorMessage="1" errorTitle="¡Ingreso Inválido!" error="Seleccione una opción de la lista." promptTitle="Dimensión Estratégica" prompt="Seleccione una opción de la lista." sqref="J917 J17:J19 J168 J212 J256 J300 J344 J388 J433 J477 J521 J565 J609 J653 J697 J741 J785 J829 J873 J33 J124:J125">
      <formula1>$A$2:$Q$2</formula1>
    </dataValidation>
    <dataValidation type="list" allowBlank="1" showInputMessage="1" showErrorMessage="1" errorTitle="¡Ingreso Inválido!" error="Verifique el valor ingresado." promptTitle="Ingrese el Objeto de Gasto" prompt="Ingrese el Objeto de Gasto" sqref="H47:H114">
      <formula1>#REF!</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5</vt:i4>
      </vt:variant>
    </vt:vector>
  </HeadingPairs>
  <TitlesOfParts>
    <vt:vector size="33"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'11. Gestion Administrativa'!Área_de_impresión</vt:lpstr>
      <vt:lpstr>'CME VACIO'!Área_de_impresión</vt:lpstr>
      <vt:lpstr>'1. Desarrollo e Innov. Curricu.'!Títulos_a_imprimir</vt:lpstr>
      <vt:lpstr>'11. Gestion Administrativa'!Títulos_a_imprimir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2015-10-02T20:49:27Z</cp:lastPrinted>
  <dcterms:created xsi:type="dcterms:W3CDTF">2010-05-02T01:28:32Z</dcterms:created>
  <dcterms:modified xsi:type="dcterms:W3CDTF">2015-10-05T17:42:36Z</dcterms:modified>
</cp:coreProperties>
</file>