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10" activeTab="1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SEMINARIOS'!$C$11:$C$235</definedName>
    <definedName name="_xlnm._FilterDatabase" localSheetId="4" hidden="1">'2. CONTRATACION DE PERSONAL'!$C$12:$C$976</definedName>
    <definedName name="_xlnm._FilterDatabase" localSheetId="5" hidden="1">'3. EQUIPO DE OFICINA'!$C$12:$C$235</definedName>
    <definedName name="_xlnm._FilterDatabase" localSheetId="6" hidden="1">'4. EQUIPO TECNOLÓGICOS'!$J$11:$J$284</definedName>
    <definedName name="_xlnm._FilterDatabase" localSheetId="7" hidden="1">'5. ACTIVIDADES ESPECIALES'!$J$13:$J$869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Gestión_de_Tecnologías_de_Información_y_Comunicación" localSheetId="27">'4. EQUIPO TECNOLÓGICOS'!$J$47</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O29" i="45"/>
  <c r="P29"/>
  <c r="J790" i="12" l="1"/>
  <c r="I790"/>
  <c r="E790"/>
  <c r="F790" s="1"/>
  <c r="I789"/>
  <c r="E789"/>
  <c r="F789" s="1"/>
  <c r="F52" i="10" l="1"/>
  <c r="I52"/>
  <c r="F438" i="12"/>
  <c r="E495"/>
  <c r="P19" i="45"/>
  <c r="D83" i="12" l="1"/>
  <c r="D10"/>
  <c r="E614"/>
  <c r="E615"/>
  <c r="E616"/>
  <c r="F576"/>
  <c r="E570"/>
  <c r="I528"/>
  <c r="E527"/>
  <c r="D57" i="10"/>
  <c r="O26" i="45"/>
  <c r="P26"/>
  <c r="P25"/>
  <c r="E46" i="12" l="1"/>
  <c r="F72" i="10"/>
  <c r="N1" i="45" l="1"/>
  <c r="J350" i="12"/>
  <c r="J351"/>
  <c r="J352"/>
  <c r="J353"/>
  <c r="J354"/>
  <c r="J355"/>
  <c r="J356"/>
  <c r="J357"/>
  <c r="J358"/>
  <c r="J359"/>
  <c r="J360"/>
  <c r="J361"/>
  <c r="J362"/>
  <c r="J363"/>
  <c r="J364"/>
  <c r="J365"/>
  <c r="J366"/>
  <c r="J367"/>
  <c r="J368"/>
  <c r="J369"/>
  <c r="J370"/>
  <c r="J371"/>
  <c r="J372"/>
  <c r="J373"/>
  <c r="J374"/>
  <c r="J375"/>
  <c r="J376"/>
  <c r="J377"/>
  <c r="J378"/>
  <c r="J379"/>
  <c r="J380"/>
  <c r="J381"/>
  <c r="J382"/>
  <c r="J383"/>
  <c r="F192"/>
  <c r="I192"/>
  <c r="F193"/>
  <c r="I193"/>
  <c r="F194"/>
  <c r="I194"/>
  <c r="F195"/>
  <c r="I195"/>
  <c r="F196"/>
  <c r="I196"/>
  <c r="F197"/>
  <c r="I197"/>
  <c r="F198"/>
  <c r="I198"/>
  <c r="F199"/>
  <c r="I199"/>
  <c r="F200"/>
  <c r="I200"/>
  <c r="F201"/>
  <c r="I201"/>
  <c r="F202"/>
  <c r="I202"/>
  <c r="F203"/>
  <c r="I203"/>
  <c r="F204"/>
  <c r="I204"/>
  <c r="F205"/>
  <c r="I205"/>
  <c r="F206"/>
  <c r="I206"/>
  <c r="F207"/>
  <c r="I207"/>
  <c r="F208"/>
  <c r="I208"/>
  <c r="F209"/>
  <c r="I209"/>
  <c r="F146"/>
  <c r="I146"/>
  <c r="F147"/>
  <c r="I147"/>
  <c r="F148"/>
  <c r="I148"/>
  <c r="F149"/>
  <c r="I149"/>
  <c r="F150"/>
  <c r="I150"/>
  <c r="F151"/>
  <c r="I151"/>
  <c r="F152"/>
  <c r="I152"/>
  <c r="F153"/>
  <c r="I153"/>
  <c r="F154"/>
  <c r="I154"/>
  <c r="F155"/>
  <c r="I155"/>
  <c r="F156"/>
  <c r="I156"/>
  <c r="F157"/>
  <c r="I157"/>
  <c r="F158"/>
  <c r="I158"/>
  <c r="F159"/>
  <c r="I159"/>
  <c r="F160"/>
  <c r="I160"/>
  <c r="F161"/>
  <c r="I161"/>
  <c r="F162"/>
  <c r="I162"/>
  <c r="F163"/>
  <c r="I163"/>
  <c r="F164"/>
  <c r="I164"/>
  <c r="F165"/>
  <c r="I165"/>
  <c r="F166"/>
  <c r="I166"/>
  <c r="F101"/>
  <c r="I101"/>
  <c r="F102"/>
  <c r="I102"/>
  <c r="F103"/>
  <c r="I103"/>
  <c r="F104"/>
  <c r="I104"/>
  <c r="F105"/>
  <c r="I105"/>
  <c r="F106"/>
  <c r="I106"/>
  <c r="F107"/>
  <c r="I107"/>
  <c r="F108"/>
  <c r="I108"/>
  <c r="F109"/>
  <c r="I109"/>
  <c r="F110"/>
  <c r="I110"/>
  <c r="F111"/>
  <c r="I111"/>
  <c r="F112"/>
  <c r="I112"/>
  <c r="F113"/>
  <c r="I113"/>
  <c r="F114"/>
  <c r="I114"/>
  <c r="F115"/>
  <c r="I115"/>
  <c r="F116"/>
  <c r="I116"/>
  <c r="F117"/>
  <c r="I117"/>
  <c r="F118"/>
  <c r="I118"/>
  <c r="F119"/>
  <c r="I119"/>
  <c r="F120"/>
  <c r="I120"/>
  <c r="F121"/>
  <c r="I121"/>
  <c r="F122"/>
  <c r="I122"/>
  <c r="F123"/>
  <c r="I123"/>
  <c r="F53"/>
  <c r="I53"/>
  <c r="J53"/>
  <c r="F54"/>
  <c r="I54"/>
  <c r="J54"/>
  <c r="F55"/>
  <c r="I55"/>
  <c r="J55"/>
  <c r="F56"/>
  <c r="I56"/>
  <c r="J56"/>
  <c r="F57"/>
  <c r="I57"/>
  <c r="J57"/>
  <c r="F58"/>
  <c r="I58"/>
  <c r="J58"/>
  <c r="F59"/>
  <c r="I59"/>
  <c r="J59"/>
  <c r="F60"/>
  <c r="I60"/>
  <c r="J60"/>
  <c r="F61"/>
  <c r="I61"/>
  <c r="J61"/>
  <c r="F62"/>
  <c r="I62"/>
  <c r="J62"/>
  <c r="F63"/>
  <c r="I63"/>
  <c r="J63"/>
  <c r="F64"/>
  <c r="I64"/>
  <c r="J64"/>
  <c r="F65"/>
  <c r="I65"/>
  <c r="J65"/>
  <c r="F66"/>
  <c r="I66"/>
  <c r="J66"/>
  <c r="F67"/>
  <c r="I67"/>
  <c r="J67"/>
  <c r="F68"/>
  <c r="I68"/>
  <c r="J68"/>
  <c r="F69"/>
  <c r="I69"/>
  <c r="J69"/>
  <c r="F70"/>
  <c r="I70"/>
  <c r="J70"/>
  <c r="F71"/>
  <c r="I71"/>
  <c r="J71"/>
  <c r="F72"/>
  <c r="I72"/>
  <c r="J72"/>
  <c r="F73"/>
  <c r="I73"/>
  <c r="J73"/>
  <c r="F74"/>
  <c r="I74"/>
  <c r="J74"/>
  <c r="F75"/>
  <c r="I75"/>
  <c r="J75"/>
  <c r="F76"/>
  <c r="I76"/>
  <c r="J76"/>
  <c r="F77"/>
  <c r="I77"/>
  <c r="J77"/>
  <c r="F78"/>
  <c r="I78"/>
  <c r="J78"/>
  <c r="F79"/>
  <c r="I79"/>
  <c r="J79"/>
  <c r="F80"/>
  <c r="I80"/>
  <c r="J80"/>
  <c r="E47"/>
  <c r="E20"/>
  <c r="J43" i="10" l="1"/>
  <c r="D60"/>
  <c r="C61" s="1"/>
  <c r="O52" i="50"/>
  <c r="P52"/>
  <c r="D36" i="10"/>
  <c r="C37" s="1"/>
  <c r="D13"/>
  <c r="F18"/>
  <c r="D79" i="8"/>
  <c r="D13"/>
  <c r="O16" i="45"/>
  <c r="P16"/>
  <c r="O17"/>
  <c r="P17"/>
  <c r="O15"/>
  <c r="P15"/>
  <c r="I492" i="12"/>
  <c r="I493"/>
  <c r="F495"/>
  <c r="E494"/>
  <c r="F494" s="1"/>
  <c r="E493"/>
  <c r="F493" s="1"/>
  <c r="E492"/>
  <c r="F492" s="1"/>
  <c r="I491"/>
  <c r="E490"/>
  <c r="E491"/>
  <c r="F491" s="1"/>
  <c r="E489"/>
  <c r="E488"/>
  <c r="E486"/>
  <c r="I484"/>
  <c r="I485"/>
  <c r="I486"/>
  <c r="I487"/>
  <c r="I488"/>
  <c r="E484"/>
  <c r="J490" l="1"/>
  <c r="E483"/>
  <c r="E482"/>
  <c r="F482" s="1"/>
  <c r="E481"/>
  <c r="F487"/>
  <c r="O14" i="45"/>
  <c r="P14"/>
  <c r="O18"/>
  <c r="P18"/>
  <c r="O19"/>
  <c r="P20"/>
  <c r="P21"/>
  <c r="P22"/>
  <c r="M21" l="1"/>
  <c r="G21"/>
  <c r="I21"/>
  <c r="K21"/>
  <c r="P40"/>
  <c r="G20"/>
  <c r="M20"/>
  <c r="K20"/>
  <c r="I20"/>
  <c r="J131" i="8"/>
  <c r="J136"/>
  <c r="J135"/>
  <c r="J134"/>
  <c r="G134"/>
  <c r="F136" s="1"/>
  <c r="G136" s="1"/>
  <c r="J133"/>
  <c r="J132"/>
  <c r="G131"/>
  <c r="F133" s="1"/>
  <c r="G133" s="1"/>
  <c r="O20" i="45" l="1"/>
  <c r="O21"/>
  <c r="F135" i="8"/>
  <c r="G135" s="1"/>
  <c r="F132"/>
  <c r="G132" s="1"/>
  <c r="G65" l="1"/>
  <c r="F66"/>
  <c r="G66" s="1"/>
  <c r="F67"/>
  <c r="G67" s="1"/>
  <c r="G62"/>
  <c r="F63" s="1"/>
  <c r="G63" s="1"/>
  <c r="G59"/>
  <c r="F60" s="1"/>
  <c r="J61"/>
  <c r="J65"/>
  <c r="J59"/>
  <c r="J62"/>
  <c r="J63"/>
  <c r="J64"/>
  <c r="J66"/>
  <c r="J67"/>
  <c r="G68"/>
  <c r="J68"/>
  <c r="K68"/>
  <c r="G69"/>
  <c r="J69"/>
  <c r="K69"/>
  <c r="G70"/>
  <c r="J70"/>
  <c r="K70"/>
  <c r="G71"/>
  <c r="F73" s="1"/>
  <c r="G73" s="1"/>
  <c r="J71"/>
  <c r="K71"/>
  <c r="J72"/>
  <c r="K72"/>
  <c r="J73"/>
  <c r="K73"/>
  <c r="F64" l="1"/>
  <c r="G64" s="1"/>
  <c r="F72"/>
  <c r="G72" s="1"/>
  <c r="I481" i="12" l="1"/>
  <c r="C143" i="43" l="1"/>
  <c r="C100"/>
  <c r="C57"/>
  <c r="C14"/>
  <c r="C163" i="42"/>
  <c r="C133"/>
  <c r="C103"/>
  <c r="C73"/>
  <c r="C43"/>
  <c r="C107" i="40"/>
  <c r="C76"/>
  <c r="C45"/>
  <c r="C13" i="42"/>
  <c r="C14" i="40"/>
  <c r="C434" i="12"/>
  <c r="C830"/>
  <c r="C786"/>
  <c r="C742"/>
  <c r="C698"/>
  <c r="C654"/>
  <c r="C610"/>
  <c r="C566"/>
  <c r="C522"/>
  <c r="C478"/>
  <c r="C390"/>
  <c r="C346"/>
  <c r="C302"/>
  <c r="C259"/>
  <c r="C216"/>
  <c r="C173"/>
  <c r="C130"/>
  <c r="C87"/>
  <c r="C43"/>
  <c r="C14"/>
  <c r="C268" i="10"/>
  <c r="C245"/>
  <c r="C222"/>
  <c r="C199"/>
  <c r="C176"/>
  <c r="C153"/>
  <c r="C130"/>
  <c r="C107"/>
  <c r="C84"/>
  <c r="C14"/>
  <c r="C223" i="9"/>
  <c r="C204"/>
  <c r="C185"/>
  <c r="C166"/>
  <c r="C147"/>
  <c r="C128"/>
  <c r="C109"/>
  <c r="C90"/>
  <c r="C71"/>
  <c r="C52"/>
  <c r="C33"/>
  <c r="C14"/>
  <c r="C923" i="8"/>
  <c r="C863"/>
  <c r="C803"/>
  <c r="C743"/>
  <c r="C683"/>
  <c r="C623"/>
  <c r="C563"/>
  <c r="C503"/>
  <c r="C443"/>
  <c r="C383"/>
  <c r="C323"/>
  <c r="C263"/>
  <c r="C203"/>
  <c r="C143"/>
  <c r="C80"/>
  <c r="C14"/>
  <c r="C223" i="7"/>
  <c r="C204"/>
  <c r="C185"/>
  <c r="C166"/>
  <c r="C147"/>
  <c r="C128"/>
  <c r="C109"/>
  <c r="C90"/>
  <c r="C71"/>
  <c r="C52"/>
  <c r="C33"/>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3"/>
  <c r="P53"/>
  <c r="O54"/>
  <c r="P54"/>
  <c r="O55"/>
  <c r="P55"/>
  <c r="O56"/>
  <c r="P56"/>
  <c r="O57"/>
  <c r="P57"/>
  <c r="O58"/>
  <c r="P58"/>
  <c r="O59"/>
  <c r="P59"/>
  <c r="O60"/>
  <c r="P60"/>
  <c r="O61"/>
  <c r="P61"/>
  <c r="O62"/>
  <c r="P62"/>
  <c r="O63"/>
  <c r="P63"/>
  <c r="O64"/>
  <c r="P64"/>
  <c r="O65"/>
  <c r="P65"/>
  <c r="O66"/>
  <c r="P66"/>
  <c r="O67"/>
  <c r="P67"/>
  <c r="O68"/>
  <c r="P68"/>
  <c r="N70"/>
  <c r="M70"/>
  <c r="L70"/>
  <c r="K70"/>
  <c r="J70"/>
  <c r="I70"/>
  <c r="H70"/>
  <c r="G70"/>
  <c r="P69"/>
  <c r="O69"/>
  <c r="P22"/>
  <c r="O22"/>
  <c r="P21"/>
  <c r="O21"/>
  <c r="P20"/>
  <c r="O20"/>
  <c r="P19"/>
  <c r="O19"/>
  <c r="P18"/>
  <c r="O18"/>
  <c r="O70" l="1"/>
  <c r="P70"/>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E393" s="1"/>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22"/>
  <c r="O23"/>
  <c r="O24"/>
  <c r="P24"/>
  <c r="O27"/>
  <c r="P27"/>
  <c r="O28"/>
  <c r="P28"/>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P30" i="45"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471" i="12"/>
  <c r="J470"/>
  <c r="J469"/>
  <c r="J468"/>
  <c r="J467"/>
  <c r="J466"/>
  <c r="J465"/>
  <c r="J464"/>
  <c r="J463"/>
  <c r="J462"/>
  <c r="J461"/>
  <c r="J460"/>
  <c r="J459"/>
  <c r="J458"/>
  <c r="J457"/>
  <c r="J456"/>
  <c r="J455"/>
  <c r="J454"/>
  <c r="J453"/>
  <c r="J452"/>
  <c r="J451"/>
  <c r="J450"/>
  <c r="J449"/>
  <c r="J448"/>
  <c r="J447"/>
  <c r="J446"/>
  <c r="J445"/>
  <c r="J444"/>
  <c r="J443"/>
  <c r="J442"/>
  <c r="J441"/>
  <c r="J440"/>
  <c r="J439"/>
  <c r="J438"/>
  <c r="J867"/>
  <c r="J866"/>
  <c r="J865"/>
  <c r="J864"/>
  <c r="J863"/>
  <c r="J862"/>
  <c r="J861"/>
  <c r="J860"/>
  <c r="J859"/>
  <c r="J858"/>
  <c r="J857"/>
  <c r="J856"/>
  <c r="J855"/>
  <c r="J854"/>
  <c r="J853"/>
  <c r="J852"/>
  <c r="J851"/>
  <c r="J850"/>
  <c r="J849"/>
  <c r="J848"/>
  <c r="J847"/>
  <c r="J846"/>
  <c r="J845"/>
  <c r="J844"/>
  <c r="J843"/>
  <c r="J842"/>
  <c r="J841"/>
  <c r="J840"/>
  <c r="J839"/>
  <c r="J838"/>
  <c r="J837"/>
  <c r="J836"/>
  <c r="J835"/>
  <c r="J834"/>
  <c r="J823"/>
  <c r="J822"/>
  <c r="J821"/>
  <c r="J820"/>
  <c r="J819"/>
  <c r="J818"/>
  <c r="J817"/>
  <c r="J816"/>
  <c r="J815"/>
  <c r="J814"/>
  <c r="J813"/>
  <c r="J812"/>
  <c r="J811"/>
  <c r="J810"/>
  <c r="J809"/>
  <c r="J808"/>
  <c r="J807"/>
  <c r="J806"/>
  <c r="J805"/>
  <c r="J804"/>
  <c r="J803"/>
  <c r="J802"/>
  <c r="J801"/>
  <c r="J800"/>
  <c r="J799"/>
  <c r="J798"/>
  <c r="J797"/>
  <c r="J796"/>
  <c r="J795"/>
  <c r="J794"/>
  <c r="J793"/>
  <c r="J792"/>
  <c r="J791"/>
  <c r="J779"/>
  <c r="J778"/>
  <c r="J777"/>
  <c r="J776"/>
  <c r="J775"/>
  <c r="J774"/>
  <c r="J773"/>
  <c r="J772"/>
  <c r="J771"/>
  <c r="J770"/>
  <c r="J769"/>
  <c r="J768"/>
  <c r="J767"/>
  <c r="J766"/>
  <c r="J765"/>
  <c r="J764"/>
  <c r="J763"/>
  <c r="J762"/>
  <c r="J761"/>
  <c r="J760"/>
  <c r="J759"/>
  <c r="J758"/>
  <c r="J757"/>
  <c r="J756"/>
  <c r="J755"/>
  <c r="J754"/>
  <c r="J753"/>
  <c r="J752"/>
  <c r="J751"/>
  <c r="J750"/>
  <c r="J749"/>
  <c r="J748"/>
  <c r="J747"/>
  <c r="J746"/>
  <c r="J735"/>
  <c r="J734"/>
  <c r="J733"/>
  <c r="J732"/>
  <c r="J731"/>
  <c r="J730"/>
  <c r="J729"/>
  <c r="J728"/>
  <c r="J727"/>
  <c r="J726"/>
  <c r="J725"/>
  <c r="J724"/>
  <c r="J723"/>
  <c r="J722"/>
  <c r="J721"/>
  <c r="J720"/>
  <c r="J719"/>
  <c r="J718"/>
  <c r="J717"/>
  <c r="J716"/>
  <c r="J715"/>
  <c r="J714"/>
  <c r="J713"/>
  <c r="J712"/>
  <c r="J711"/>
  <c r="J710"/>
  <c r="J709"/>
  <c r="J708"/>
  <c r="J707"/>
  <c r="J706"/>
  <c r="J705"/>
  <c r="J704"/>
  <c r="J703"/>
  <c r="J702"/>
  <c r="J691"/>
  <c r="J690"/>
  <c r="J689"/>
  <c r="J688"/>
  <c r="J687"/>
  <c r="J686"/>
  <c r="J685"/>
  <c r="J684"/>
  <c r="J683"/>
  <c r="J682"/>
  <c r="J681"/>
  <c r="J680"/>
  <c r="J679"/>
  <c r="J678"/>
  <c r="J677"/>
  <c r="J676"/>
  <c r="J675"/>
  <c r="J674"/>
  <c r="J673"/>
  <c r="J672"/>
  <c r="J671"/>
  <c r="J670"/>
  <c r="J669"/>
  <c r="J668"/>
  <c r="J667"/>
  <c r="J666"/>
  <c r="J665"/>
  <c r="J664"/>
  <c r="J663"/>
  <c r="J662"/>
  <c r="J661"/>
  <c r="J660"/>
  <c r="J659"/>
  <c r="J658"/>
  <c r="J647"/>
  <c r="J646"/>
  <c r="J645"/>
  <c r="J644"/>
  <c r="J643"/>
  <c r="J642"/>
  <c r="J641"/>
  <c r="J640"/>
  <c r="J639"/>
  <c r="J638"/>
  <c r="J637"/>
  <c r="J636"/>
  <c r="J635"/>
  <c r="J634"/>
  <c r="J633"/>
  <c r="J632"/>
  <c r="J631"/>
  <c r="J630"/>
  <c r="J629"/>
  <c r="J628"/>
  <c r="J627"/>
  <c r="J626"/>
  <c r="J625"/>
  <c r="J624"/>
  <c r="J623"/>
  <c r="J622"/>
  <c r="J621"/>
  <c r="J620"/>
  <c r="J619"/>
  <c r="J618"/>
  <c r="J617"/>
  <c r="J616"/>
  <c r="J615"/>
  <c r="J614"/>
  <c r="J603"/>
  <c r="J602"/>
  <c r="J601"/>
  <c r="J600"/>
  <c r="J599"/>
  <c r="J598"/>
  <c r="J597"/>
  <c r="J596"/>
  <c r="J595"/>
  <c r="J594"/>
  <c r="J593"/>
  <c r="J592"/>
  <c r="J591"/>
  <c r="J590"/>
  <c r="J589"/>
  <c r="J588"/>
  <c r="J587"/>
  <c r="J586"/>
  <c r="J585"/>
  <c r="J584"/>
  <c r="J583"/>
  <c r="J582"/>
  <c r="J581"/>
  <c r="J580"/>
  <c r="J579"/>
  <c r="J578"/>
  <c r="J577"/>
  <c r="J576"/>
  <c r="J575"/>
  <c r="J574"/>
  <c r="J573"/>
  <c r="J572"/>
  <c r="J571"/>
  <c r="J570"/>
  <c r="J559"/>
  <c r="J558"/>
  <c r="J557"/>
  <c r="J556"/>
  <c r="J555"/>
  <c r="J554"/>
  <c r="J553"/>
  <c r="J552"/>
  <c r="J551"/>
  <c r="J550"/>
  <c r="J549"/>
  <c r="J548"/>
  <c r="J547"/>
  <c r="J546"/>
  <c r="J545"/>
  <c r="J544"/>
  <c r="J543"/>
  <c r="J542"/>
  <c r="J541"/>
  <c r="J540"/>
  <c r="J539"/>
  <c r="J538"/>
  <c r="J537"/>
  <c r="J536"/>
  <c r="J535"/>
  <c r="J534"/>
  <c r="J533"/>
  <c r="J532"/>
  <c r="J531"/>
  <c r="J530"/>
  <c r="J529"/>
  <c r="J515"/>
  <c r="J514"/>
  <c r="J513"/>
  <c r="J512"/>
  <c r="J511"/>
  <c r="J510"/>
  <c r="J509"/>
  <c r="J508"/>
  <c r="J507"/>
  <c r="J506"/>
  <c r="J505"/>
  <c r="J504"/>
  <c r="J503"/>
  <c r="J502"/>
  <c r="J501"/>
  <c r="J500"/>
  <c r="J499"/>
  <c r="J498"/>
  <c r="J497"/>
  <c r="J496"/>
  <c r="J427"/>
  <c r="J426"/>
  <c r="J425"/>
  <c r="J424"/>
  <c r="J423"/>
  <c r="J422"/>
  <c r="J421"/>
  <c r="J420"/>
  <c r="J419"/>
  <c r="J418"/>
  <c r="J417"/>
  <c r="J416"/>
  <c r="J415"/>
  <c r="J414"/>
  <c r="J413"/>
  <c r="J412"/>
  <c r="J411"/>
  <c r="J410"/>
  <c r="J409"/>
  <c r="J408"/>
  <c r="J407"/>
  <c r="J406"/>
  <c r="J405"/>
  <c r="J404"/>
  <c r="J403"/>
  <c r="J402"/>
  <c r="J401"/>
  <c r="J400"/>
  <c r="J399"/>
  <c r="J398"/>
  <c r="J397"/>
  <c r="J396"/>
  <c r="J52"/>
  <c r="J51"/>
  <c r="J50"/>
  <c r="J49"/>
  <c r="J48"/>
  <c r="J47"/>
  <c r="I471"/>
  <c r="F471"/>
  <c r="I470"/>
  <c r="F470"/>
  <c r="I469"/>
  <c r="F469"/>
  <c r="I468"/>
  <c r="F468"/>
  <c r="I467"/>
  <c r="F467"/>
  <c r="I466"/>
  <c r="F466"/>
  <c r="I465"/>
  <c r="F465"/>
  <c r="I464"/>
  <c r="F464"/>
  <c r="I463"/>
  <c r="F463"/>
  <c r="I462"/>
  <c r="F462"/>
  <c r="I461"/>
  <c r="F461"/>
  <c r="I460"/>
  <c r="F460"/>
  <c r="I459"/>
  <c r="F459"/>
  <c r="I458"/>
  <c r="F458"/>
  <c r="I457"/>
  <c r="F457"/>
  <c r="I456"/>
  <c r="F456"/>
  <c r="I455"/>
  <c r="F455"/>
  <c r="I454"/>
  <c r="F454"/>
  <c r="I453"/>
  <c r="F453"/>
  <c r="I452"/>
  <c r="F452"/>
  <c r="I451"/>
  <c r="F451"/>
  <c r="I450"/>
  <c r="F450"/>
  <c r="I449"/>
  <c r="F449"/>
  <c r="I448"/>
  <c r="F448"/>
  <c r="I447"/>
  <c r="F447"/>
  <c r="I446"/>
  <c r="F446"/>
  <c r="I445"/>
  <c r="F445"/>
  <c r="I444"/>
  <c r="F444"/>
  <c r="I443"/>
  <c r="F443"/>
  <c r="I442"/>
  <c r="F442"/>
  <c r="I441"/>
  <c r="F441"/>
  <c r="I440"/>
  <c r="F440"/>
  <c r="I439"/>
  <c r="F439"/>
  <c r="I438"/>
  <c r="I437"/>
  <c r="E437"/>
  <c r="F437" s="1"/>
  <c r="I867"/>
  <c r="F867"/>
  <c r="I866"/>
  <c r="F866"/>
  <c r="I865"/>
  <c r="F865"/>
  <c r="I864"/>
  <c r="F864"/>
  <c r="I863"/>
  <c r="F863"/>
  <c r="I862"/>
  <c r="F862"/>
  <c r="I861"/>
  <c r="F861"/>
  <c r="I860"/>
  <c r="F860"/>
  <c r="I859"/>
  <c r="F859"/>
  <c r="I858"/>
  <c r="F858"/>
  <c r="I857"/>
  <c r="F857"/>
  <c r="I856"/>
  <c r="F856"/>
  <c r="I855"/>
  <c r="F855"/>
  <c r="I854"/>
  <c r="F854"/>
  <c r="I853"/>
  <c r="F853"/>
  <c r="I852"/>
  <c r="F852"/>
  <c r="I851"/>
  <c r="F851"/>
  <c r="I850"/>
  <c r="F850"/>
  <c r="I849"/>
  <c r="F849"/>
  <c r="I848"/>
  <c r="F848"/>
  <c r="I847"/>
  <c r="F847"/>
  <c r="I846"/>
  <c r="F846"/>
  <c r="I845"/>
  <c r="F845"/>
  <c r="I844"/>
  <c r="F844"/>
  <c r="I843"/>
  <c r="F843"/>
  <c r="I842"/>
  <c r="F842"/>
  <c r="I841"/>
  <c r="F841"/>
  <c r="I840"/>
  <c r="F840"/>
  <c r="I839"/>
  <c r="F839"/>
  <c r="I838"/>
  <c r="F838"/>
  <c r="I837"/>
  <c r="F837"/>
  <c r="I836"/>
  <c r="F836"/>
  <c r="I835"/>
  <c r="F835"/>
  <c r="I834"/>
  <c r="F834"/>
  <c r="I833"/>
  <c r="E833"/>
  <c r="F833" s="1"/>
  <c r="I823"/>
  <c r="F823"/>
  <c r="I822"/>
  <c r="F822"/>
  <c r="I821"/>
  <c r="F821"/>
  <c r="I820"/>
  <c r="F820"/>
  <c r="I819"/>
  <c r="F819"/>
  <c r="I818"/>
  <c r="F818"/>
  <c r="I817"/>
  <c r="F817"/>
  <c r="I816"/>
  <c r="F816"/>
  <c r="I815"/>
  <c r="F815"/>
  <c r="I814"/>
  <c r="F814"/>
  <c r="I813"/>
  <c r="F813"/>
  <c r="I812"/>
  <c r="F812"/>
  <c r="I811"/>
  <c r="F811"/>
  <c r="I810"/>
  <c r="F810"/>
  <c r="I809"/>
  <c r="F809"/>
  <c r="I808"/>
  <c r="F808"/>
  <c r="I807"/>
  <c r="F807"/>
  <c r="I806"/>
  <c r="F806"/>
  <c r="I805"/>
  <c r="F805"/>
  <c r="I804"/>
  <c r="F804"/>
  <c r="I803"/>
  <c r="F803"/>
  <c r="I802"/>
  <c r="F802"/>
  <c r="I801"/>
  <c r="F801"/>
  <c r="I800"/>
  <c r="F800"/>
  <c r="I799"/>
  <c r="F799"/>
  <c r="I798"/>
  <c r="F798"/>
  <c r="I797"/>
  <c r="F797"/>
  <c r="I796"/>
  <c r="F796"/>
  <c r="I795"/>
  <c r="F795"/>
  <c r="I794"/>
  <c r="F794"/>
  <c r="I793"/>
  <c r="F793"/>
  <c r="I792"/>
  <c r="F792"/>
  <c r="I791"/>
  <c r="F791"/>
  <c r="I779"/>
  <c r="F779"/>
  <c r="I778"/>
  <c r="F778"/>
  <c r="I777"/>
  <c r="F777"/>
  <c r="I776"/>
  <c r="F776"/>
  <c r="I775"/>
  <c r="F775"/>
  <c r="I774"/>
  <c r="F774"/>
  <c r="I773"/>
  <c r="F773"/>
  <c r="I772"/>
  <c r="F772"/>
  <c r="I771"/>
  <c r="F771"/>
  <c r="I770"/>
  <c r="F770"/>
  <c r="I769"/>
  <c r="F769"/>
  <c r="I768"/>
  <c r="F768"/>
  <c r="I767"/>
  <c r="F767"/>
  <c r="I766"/>
  <c r="F766"/>
  <c r="I765"/>
  <c r="F765"/>
  <c r="I764"/>
  <c r="F764"/>
  <c r="I763"/>
  <c r="F763"/>
  <c r="I762"/>
  <c r="F762"/>
  <c r="I761"/>
  <c r="F761"/>
  <c r="I760"/>
  <c r="F760"/>
  <c r="I759"/>
  <c r="F759"/>
  <c r="I758"/>
  <c r="F758"/>
  <c r="I757"/>
  <c r="F757"/>
  <c r="I756"/>
  <c r="F756"/>
  <c r="I755"/>
  <c r="F755"/>
  <c r="I754"/>
  <c r="F754"/>
  <c r="I753"/>
  <c r="F753"/>
  <c r="I752"/>
  <c r="F752"/>
  <c r="I751"/>
  <c r="F751"/>
  <c r="I750"/>
  <c r="F750"/>
  <c r="I749"/>
  <c r="F749"/>
  <c r="I748"/>
  <c r="F748"/>
  <c r="I747"/>
  <c r="F747"/>
  <c r="I746"/>
  <c r="F746"/>
  <c r="I745"/>
  <c r="E745"/>
  <c r="F745" s="1"/>
  <c r="I735"/>
  <c r="F735"/>
  <c r="I734"/>
  <c r="F734"/>
  <c r="I733"/>
  <c r="F733"/>
  <c r="I732"/>
  <c r="F732"/>
  <c r="I731"/>
  <c r="F731"/>
  <c r="I730"/>
  <c r="F730"/>
  <c r="I729"/>
  <c r="F729"/>
  <c r="I728"/>
  <c r="F728"/>
  <c r="I727"/>
  <c r="F727"/>
  <c r="I726"/>
  <c r="F726"/>
  <c r="I725"/>
  <c r="F725"/>
  <c r="I724"/>
  <c r="F724"/>
  <c r="I723"/>
  <c r="F723"/>
  <c r="I722"/>
  <c r="F722"/>
  <c r="I721"/>
  <c r="F721"/>
  <c r="I720"/>
  <c r="F720"/>
  <c r="I719"/>
  <c r="F719"/>
  <c r="I718"/>
  <c r="F718"/>
  <c r="I717"/>
  <c r="F717"/>
  <c r="I716"/>
  <c r="F716"/>
  <c r="I715"/>
  <c r="F715"/>
  <c r="I714"/>
  <c r="F714"/>
  <c r="I713"/>
  <c r="F713"/>
  <c r="I712"/>
  <c r="F712"/>
  <c r="I711"/>
  <c r="F711"/>
  <c r="I710"/>
  <c r="F710"/>
  <c r="I709"/>
  <c r="F709"/>
  <c r="I708"/>
  <c r="F708"/>
  <c r="I707"/>
  <c r="F707"/>
  <c r="I706"/>
  <c r="F706"/>
  <c r="I705"/>
  <c r="F705"/>
  <c r="I704"/>
  <c r="F704"/>
  <c r="I703"/>
  <c r="F703"/>
  <c r="I702"/>
  <c r="F702"/>
  <c r="I701"/>
  <c r="E701"/>
  <c r="F701" s="1"/>
  <c r="I691"/>
  <c r="F691"/>
  <c r="I690"/>
  <c r="F690"/>
  <c r="I689"/>
  <c r="F689"/>
  <c r="I688"/>
  <c r="F688"/>
  <c r="I687"/>
  <c r="F687"/>
  <c r="I686"/>
  <c r="F686"/>
  <c r="I685"/>
  <c r="F685"/>
  <c r="I684"/>
  <c r="F684"/>
  <c r="I683"/>
  <c r="F683"/>
  <c r="I682"/>
  <c r="F682"/>
  <c r="I681"/>
  <c r="F681"/>
  <c r="I680"/>
  <c r="F680"/>
  <c r="I679"/>
  <c r="F679"/>
  <c r="I678"/>
  <c r="F678"/>
  <c r="I677"/>
  <c r="F677"/>
  <c r="I676"/>
  <c r="F676"/>
  <c r="I675"/>
  <c r="F675"/>
  <c r="I674"/>
  <c r="F674"/>
  <c r="I673"/>
  <c r="F673"/>
  <c r="I672"/>
  <c r="F672"/>
  <c r="I671"/>
  <c r="F671"/>
  <c r="I670"/>
  <c r="F670"/>
  <c r="I669"/>
  <c r="F669"/>
  <c r="I668"/>
  <c r="F668"/>
  <c r="I667"/>
  <c r="F667"/>
  <c r="I666"/>
  <c r="F666"/>
  <c r="I665"/>
  <c r="F665"/>
  <c r="I664"/>
  <c r="F664"/>
  <c r="I663"/>
  <c r="F663"/>
  <c r="I662"/>
  <c r="F662"/>
  <c r="I661"/>
  <c r="F661"/>
  <c r="I660"/>
  <c r="F660"/>
  <c r="I659"/>
  <c r="F659"/>
  <c r="I658"/>
  <c r="F658"/>
  <c r="I657"/>
  <c r="E657"/>
  <c r="F657" s="1"/>
  <c r="I647"/>
  <c r="F647"/>
  <c r="I646"/>
  <c r="F646"/>
  <c r="I645"/>
  <c r="F645"/>
  <c r="I644"/>
  <c r="F644"/>
  <c r="I643"/>
  <c r="F643"/>
  <c r="I642"/>
  <c r="F642"/>
  <c r="I641"/>
  <c r="F641"/>
  <c r="I640"/>
  <c r="F640"/>
  <c r="I639"/>
  <c r="F639"/>
  <c r="I638"/>
  <c r="F638"/>
  <c r="I637"/>
  <c r="F637"/>
  <c r="I636"/>
  <c r="F636"/>
  <c r="I635"/>
  <c r="F635"/>
  <c r="I634"/>
  <c r="F634"/>
  <c r="I633"/>
  <c r="F633"/>
  <c r="I632"/>
  <c r="F632"/>
  <c r="I631"/>
  <c r="F631"/>
  <c r="I630"/>
  <c r="F630"/>
  <c r="I629"/>
  <c r="F629"/>
  <c r="I628"/>
  <c r="F628"/>
  <c r="I627"/>
  <c r="F627"/>
  <c r="I626"/>
  <c r="F626"/>
  <c r="I625"/>
  <c r="F625"/>
  <c r="I624"/>
  <c r="F624"/>
  <c r="I623"/>
  <c r="F623"/>
  <c r="I622"/>
  <c r="F622"/>
  <c r="I621"/>
  <c r="F621"/>
  <c r="I620"/>
  <c r="F620"/>
  <c r="I619"/>
  <c r="F619"/>
  <c r="I618"/>
  <c r="F618"/>
  <c r="I617"/>
  <c r="F617"/>
  <c r="I616"/>
  <c r="F616"/>
  <c r="I615"/>
  <c r="F615"/>
  <c r="I614"/>
  <c r="F614"/>
  <c r="I613"/>
  <c r="E613"/>
  <c r="F613" s="1"/>
  <c r="I603"/>
  <c r="F603"/>
  <c r="I602"/>
  <c r="F602"/>
  <c r="I601"/>
  <c r="F601"/>
  <c r="I600"/>
  <c r="F600"/>
  <c r="I599"/>
  <c r="F599"/>
  <c r="I598"/>
  <c r="F598"/>
  <c r="I597"/>
  <c r="F597"/>
  <c r="I596"/>
  <c r="F596"/>
  <c r="I595"/>
  <c r="F595"/>
  <c r="I594"/>
  <c r="F594"/>
  <c r="I593"/>
  <c r="F593"/>
  <c r="I592"/>
  <c r="F592"/>
  <c r="I591"/>
  <c r="F591"/>
  <c r="I590"/>
  <c r="F590"/>
  <c r="I589"/>
  <c r="F589"/>
  <c r="I588"/>
  <c r="F588"/>
  <c r="I587"/>
  <c r="F587"/>
  <c r="I586"/>
  <c r="F586"/>
  <c r="I585"/>
  <c r="F585"/>
  <c r="I584"/>
  <c r="F584"/>
  <c r="I583"/>
  <c r="F583"/>
  <c r="I582"/>
  <c r="F582"/>
  <c r="I581"/>
  <c r="F581"/>
  <c r="I580"/>
  <c r="F580"/>
  <c r="I579"/>
  <c r="F579"/>
  <c r="I578"/>
  <c r="F578"/>
  <c r="I577"/>
  <c r="F577"/>
  <c r="I576"/>
  <c r="I575"/>
  <c r="F575"/>
  <c r="I574"/>
  <c r="F574"/>
  <c r="I573"/>
  <c r="F573"/>
  <c r="I572"/>
  <c r="F572"/>
  <c r="I571"/>
  <c r="F571"/>
  <c r="I570"/>
  <c r="F570"/>
  <c r="I569"/>
  <c r="E569"/>
  <c r="F569" s="1"/>
  <c r="I559"/>
  <c r="F559"/>
  <c r="I558"/>
  <c r="F558"/>
  <c r="I557"/>
  <c r="F557"/>
  <c r="I556"/>
  <c r="F556"/>
  <c r="I555"/>
  <c r="F555"/>
  <c r="I554"/>
  <c r="F554"/>
  <c r="I553"/>
  <c r="F553"/>
  <c r="I552"/>
  <c r="F552"/>
  <c r="I551"/>
  <c r="F551"/>
  <c r="I550"/>
  <c r="F550"/>
  <c r="I549"/>
  <c r="F549"/>
  <c r="I548"/>
  <c r="F548"/>
  <c r="I547"/>
  <c r="F547"/>
  <c r="I546"/>
  <c r="F546"/>
  <c r="I545"/>
  <c r="F545"/>
  <c r="I544"/>
  <c r="F544"/>
  <c r="I543"/>
  <c r="F543"/>
  <c r="I542"/>
  <c r="F542"/>
  <c r="I541"/>
  <c r="F541"/>
  <c r="I540"/>
  <c r="F540"/>
  <c r="I539"/>
  <c r="F539"/>
  <c r="I538"/>
  <c r="F538"/>
  <c r="I537"/>
  <c r="F537"/>
  <c r="I536"/>
  <c r="F536"/>
  <c r="I535"/>
  <c r="F535"/>
  <c r="I534"/>
  <c r="F534"/>
  <c r="I533"/>
  <c r="F533"/>
  <c r="I532"/>
  <c r="F532"/>
  <c r="I531"/>
  <c r="F531"/>
  <c r="I530"/>
  <c r="F530"/>
  <c r="I529"/>
  <c r="F529"/>
  <c r="F528"/>
  <c r="I527"/>
  <c r="F527"/>
  <c r="I526"/>
  <c r="F526"/>
  <c r="I525"/>
  <c r="E525"/>
  <c r="F525" s="1"/>
  <c r="I515"/>
  <c r="F515"/>
  <c r="I514"/>
  <c r="F514"/>
  <c r="I513"/>
  <c r="F513"/>
  <c r="I512"/>
  <c r="F512"/>
  <c r="I511"/>
  <c r="F511"/>
  <c r="I510"/>
  <c r="F510"/>
  <c r="I509"/>
  <c r="F509"/>
  <c r="I508"/>
  <c r="F508"/>
  <c r="I507"/>
  <c r="F507"/>
  <c r="I506"/>
  <c r="F506"/>
  <c r="I505"/>
  <c r="F505"/>
  <c r="I504"/>
  <c r="F504"/>
  <c r="I503"/>
  <c r="F503"/>
  <c r="I502"/>
  <c r="F502"/>
  <c r="I501"/>
  <c r="F501"/>
  <c r="I500"/>
  <c r="F500"/>
  <c r="I499"/>
  <c r="F499"/>
  <c r="I498"/>
  <c r="F498"/>
  <c r="I497"/>
  <c r="F497"/>
  <c r="I496"/>
  <c r="F496"/>
  <c r="I427"/>
  <c r="F427"/>
  <c r="I426"/>
  <c r="F426"/>
  <c r="I425"/>
  <c r="F425"/>
  <c r="I424"/>
  <c r="F424"/>
  <c r="I423"/>
  <c r="F423"/>
  <c r="I422"/>
  <c r="F422"/>
  <c r="I421"/>
  <c r="F421"/>
  <c r="I420"/>
  <c r="F420"/>
  <c r="I419"/>
  <c r="F419"/>
  <c r="I418"/>
  <c r="F418"/>
  <c r="I417"/>
  <c r="F417"/>
  <c r="I416"/>
  <c r="F416"/>
  <c r="I415"/>
  <c r="F415"/>
  <c r="I414"/>
  <c r="F414"/>
  <c r="I413"/>
  <c r="F413"/>
  <c r="I412"/>
  <c r="F412"/>
  <c r="I411"/>
  <c r="F411"/>
  <c r="I410"/>
  <c r="F410"/>
  <c r="I409"/>
  <c r="F409"/>
  <c r="I408"/>
  <c r="F408"/>
  <c r="I407"/>
  <c r="F407"/>
  <c r="I406"/>
  <c r="F406"/>
  <c r="I405"/>
  <c r="F405"/>
  <c r="I404"/>
  <c r="F404"/>
  <c r="I403"/>
  <c r="F403"/>
  <c r="I402"/>
  <c r="F402"/>
  <c r="I401"/>
  <c r="F401"/>
  <c r="I400"/>
  <c r="F400"/>
  <c r="I399"/>
  <c r="F399"/>
  <c r="I398"/>
  <c r="F398"/>
  <c r="I397"/>
  <c r="F397"/>
  <c r="I396"/>
  <c r="F396"/>
  <c r="I395"/>
  <c r="F395"/>
  <c r="I394"/>
  <c r="F394"/>
  <c r="I393"/>
  <c r="F393"/>
  <c r="I383"/>
  <c r="F383"/>
  <c r="I382"/>
  <c r="F382"/>
  <c r="I381"/>
  <c r="F381"/>
  <c r="I380"/>
  <c r="F380"/>
  <c r="I379"/>
  <c r="F379"/>
  <c r="I378"/>
  <c r="F378"/>
  <c r="I377"/>
  <c r="F377"/>
  <c r="I376"/>
  <c r="F376"/>
  <c r="I375"/>
  <c r="F375"/>
  <c r="I374"/>
  <c r="F374"/>
  <c r="I373"/>
  <c r="F373"/>
  <c r="I372"/>
  <c r="F372"/>
  <c r="I371"/>
  <c r="F371"/>
  <c r="I370"/>
  <c r="F370"/>
  <c r="I369"/>
  <c r="F369"/>
  <c r="I368"/>
  <c r="F368"/>
  <c r="I367"/>
  <c r="F367"/>
  <c r="I366"/>
  <c r="F366"/>
  <c r="I365"/>
  <c r="F365"/>
  <c r="I364"/>
  <c r="F364"/>
  <c r="I363"/>
  <c r="F363"/>
  <c r="I362"/>
  <c r="F362"/>
  <c r="I361"/>
  <c r="F361"/>
  <c r="I360"/>
  <c r="F360"/>
  <c r="I359"/>
  <c r="F359"/>
  <c r="I358"/>
  <c r="F358"/>
  <c r="I357"/>
  <c r="F357"/>
  <c r="I356"/>
  <c r="F356"/>
  <c r="I355"/>
  <c r="F355"/>
  <c r="I354"/>
  <c r="F354"/>
  <c r="I353"/>
  <c r="F353"/>
  <c r="I352"/>
  <c r="F352"/>
  <c r="I351"/>
  <c r="F351"/>
  <c r="I350"/>
  <c r="F350"/>
  <c r="I349"/>
  <c r="F349"/>
  <c r="I338"/>
  <c r="F338"/>
  <c r="I337"/>
  <c r="F337"/>
  <c r="I336"/>
  <c r="F336"/>
  <c r="I335"/>
  <c r="F335"/>
  <c r="I334"/>
  <c r="F334"/>
  <c r="I333"/>
  <c r="F333"/>
  <c r="I332"/>
  <c r="F332"/>
  <c r="I331"/>
  <c r="F331"/>
  <c r="I330"/>
  <c r="F330"/>
  <c r="I329"/>
  <c r="F329"/>
  <c r="I328"/>
  <c r="F328"/>
  <c r="I327"/>
  <c r="F327"/>
  <c r="I326"/>
  <c r="F326"/>
  <c r="I325"/>
  <c r="F325"/>
  <c r="I324"/>
  <c r="F324"/>
  <c r="I323"/>
  <c r="F323"/>
  <c r="I322"/>
  <c r="F322"/>
  <c r="I321"/>
  <c r="F321"/>
  <c r="I320"/>
  <c r="F320"/>
  <c r="I319"/>
  <c r="F319"/>
  <c r="I318"/>
  <c r="F318"/>
  <c r="I317"/>
  <c r="F317"/>
  <c r="I316"/>
  <c r="F316"/>
  <c r="I315"/>
  <c r="F315"/>
  <c r="I314"/>
  <c r="F314"/>
  <c r="I313"/>
  <c r="F313"/>
  <c r="I312"/>
  <c r="F312"/>
  <c r="I311"/>
  <c r="F311"/>
  <c r="I310"/>
  <c r="F310"/>
  <c r="I309"/>
  <c r="F309"/>
  <c r="I308"/>
  <c r="F308"/>
  <c r="I307"/>
  <c r="F307"/>
  <c r="I306"/>
  <c r="F306"/>
  <c r="I305"/>
  <c r="F305"/>
  <c r="I295"/>
  <c r="F295"/>
  <c r="I294"/>
  <c r="F294"/>
  <c r="I293"/>
  <c r="F293"/>
  <c r="I292"/>
  <c r="F292"/>
  <c r="I291"/>
  <c r="F291"/>
  <c r="I290"/>
  <c r="F290"/>
  <c r="I289"/>
  <c r="F289"/>
  <c r="I288"/>
  <c r="F288"/>
  <c r="I287"/>
  <c r="F287"/>
  <c r="I286"/>
  <c r="F286"/>
  <c r="I285"/>
  <c r="F285"/>
  <c r="I284"/>
  <c r="F284"/>
  <c r="I283"/>
  <c r="F283"/>
  <c r="I282"/>
  <c r="F282"/>
  <c r="I281"/>
  <c r="F281"/>
  <c r="I280"/>
  <c r="F280"/>
  <c r="I279"/>
  <c r="F279"/>
  <c r="I278"/>
  <c r="F278"/>
  <c r="I277"/>
  <c r="F277"/>
  <c r="I276"/>
  <c r="F276"/>
  <c r="I275"/>
  <c r="F275"/>
  <c r="I274"/>
  <c r="F274"/>
  <c r="I273"/>
  <c r="F273"/>
  <c r="I272"/>
  <c r="F272"/>
  <c r="I271"/>
  <c r="F271"/>
  <c r="I270"/>
  <c r="F270"/>
  <c r="I269"/>
  <c r="F269"/>
  <c r="I268"/>
  <c r="F268"/>
  <c r="I267"/>
  <c r="F267"/>
  <c r="I266"/>
  <c r="F266"/>
  <c r="I265"/>
  <c r="F265"/>
  <c r="I264"/>
  <c r="F264"/>
  <c r="I263"/>
  <c r="F263"/>
  <c r="I262"/>
  <c r="F262"/>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F235"/>
  <c r="I234"/>
  <c r="F234"/>
  <c r="I233"/>
  <c r="F233"/>
  <c r="I232"/>
  <c r="F232"/>
  <c r="I231"/>
  <c r="F231"/>
  <c r="I230"/>
  <c r="F230"/>
  <c r="I229"/>
  <c r="F229"/>
  <c r="I228"/>
  <c r="F228"/>
  <c r="I227"/>
  <c r="F227"/>
  <c r="I226"/>
  <c r="F226"/>
  <c r="I225"/>
  <c r="F225"/>
  <c r="I224"/>
  <c r="F224"/>
  <c r="I223"/>
  <c r="F223"/>
  <c r="I222"/>
  <c r="F222"/>
  <c r="I221"/>
  <c r="F221"/>
  <c r="I220"/>
  <c r="F220"/>
  <c r="I219"/>
  <c r="F219"/>
  <c r="I191"/>
  <c r="F191"/>
  <c r="I190"/>
  <c r="F190"/>
  <c r="I189"/>
  <c r="F189"/>
  <c r="I188"/>
  <c r="F188"/>
  <c r="I187"/>
  <c r="F187"/>
  <c r="I186"/>
  <c r="F186"/>
  <c r="I185"/>
  <c r="F185"/>
  <c r="I184"/>
  <c r="F184"/>
  <c r="I183"/>
  <c r="F183"/>
  <c r="I182"/>
  <c r="F182"/>
  <c r="I181"/>
  <c r="F181"/>
  <c r="I180"/>
  <c r="F180"/>
  <c r="I179"/>
  <c r="F179"/>
  <c r="I178"/>
  <c r="F178"/>
  <c r="I177"/>
  <c r="F177"/>
  <c r="I176"/>
  <c r="F176"/>
  <c r="I145"/>
  <c r="F145"/>
  <c r="I144"/>
  <c r="F144"/>
  <c r="I143"/>
  <c r="F143"/>
  <c r="I142"/>
  <c r="F142"/>
  <c r="I141"/>
  <c r="F141"/>
  <c r="I140"/>
  <c r="F140"/>
  <c r="I139"/>
  <c r="F139"/>
  <c r="I138"/>
  <c r="F138"/>
  <c r="I137"/>
  <c r="F137"/>
  <c r="I136"/>
  <c r="F136"/>
  <c r="I135"/>
  <c r="F135"/>
  <c r="I134"/>
  <c r="F134"/>
  <c r="I133"/>
  <c r="F133"/>
  <c r="I100"/>
  <c r="F100"/>
  <c r="I99"/>
  <c r="F99"/>
  <c r="I98"/>
  <c r="F98"/>
  <c r="I97"/>
  <c r="F97"/>
  <c r="I96"/>
  <c r="F96"/>
  <c r="I95"/>
  <c r="F95"/>
  <c r="I94"/>
  <c r="F94"/>
  <c r="I93"/>
  <c r="F93"/>
  <c r="I92"/>
  <c r="F92"/>
  <c r="I91"/>
  <c r="F91"/>
  <c r="I90"/>
  <c r="F90"/>
  <c r="I52"/>
  <c r="F52"/>
  <c r="I51"/>
  <c r="F51"/>
  <c r="I50"/>
  <c r="F50"/>
  <c r="I49"/>
  <c r="F49"/>
  <c r="I48"/>
  <c r="F48"/>
  <c r="I47"/>
  <c r="F47"/>
  <c r="I46"/>
  <c r="F46"/>
  <c r="J54" i="10"/>
  <c r="J53"/>
  <c r="J51"/>
  <c r="J50"/>
  <c r="J49"/>
  <c r="J46"/>
  <c r="J45"/>
  <c r="J44"/>
  <c r="J42"/>
  <c r="J41"/>
  <c r="J77"/>
  <c r="J76"/>
  <c r="J75"/>
  <c r="J74"/>
  <c r="J73"/>
  <c r="J72"/>
  <c r="J71"/>
  <c r="J70"/>
  <c r="J69"/>
  <c r="J68"/>
  <c r="J67"/>
  <c r="J66"/>
  <c r="J65"/>
  <c r="J100"/>
  <c r="J99"/>
  <c r="J98"/>
  <c r="J97"/>
  <c r="J96"/>
  <c r="J95"/>
  <c r="J94"/>
  <c r="J93"/>
  <c r="J92"/>
  <c r="J91"/>
  <c r="J90"/>
  <c r="J89"/>
  <c r="J88"/>
  <c r="J123"/>
  <c r="J122"/>
  <c r="J121"/>
  <c r="J120"/>
  <c r="J119"/>
  <c r="J118"/>
  <c r="J117"/>
  <c r="J116"/>
  <c r="J115"/>
  <c r="J114"/>
  <c r="J113"/>
  <c r="J112"/>
  <c r="J111"/>
  <c r="J146"/>
  <c r="J145"/>
  <c r="J144"/>
  <c r="J143"/>
  <c r="J142"/>
  <c r="J141"/>
  <c r="J140"/>
  <c r="J139"/>
  <c r="J138"/>
  <c r="J137"/>
  <c r="J136"/>
  <c r="J135"/>
  <c r="J134"/>
  <c r="J169"/>
  <c r="J168"/>
  <c r="J167"/>
  <c r="J166"/>
  <c r="J165"/>
  <c r="J164"/>
  <c r="J163"/>
  <c r="J162"/>
  <c r="J161"/>
  <c r="J160"/>
  <c r="J159"/>
  <c r="J158"/>
  <c r="J157"/>
  <c r="J192"/>
  <c r="J191"/>
  <c r="J190"/>
  <c r="J189"/>
  <c r="J188"/>
  <c r="J187"/>
  <c r="J186"/>
  <c r="J185"/>
  <c r="J184"/>
  <c r="J183"/>
  <c r="J182"/>
  <c r="J181"/>
  <c r="J180"/>
  <c r="J215"/>
  <c r="J214"/>
  <c r="J213"/>
  <c r="J212"/>
  <c r="J211"/>
  <c r="J210"/>
  <c r="J209"/>
  <c r="J208"/>
  <c r="J207"/>
  <c r="J206"/>
  <c r="J205"/>
  <c r="J204"/>
  <c r="J203"/>
  <c r="J238"/>
  <c r="J237"/>
  <c r="J236"/>
  <c r="J235"/>
  <c r="J234"/>
  <c r="J233"/>
  <c r="J232"/>
  <c r="J231"/>
  <c r="J230"/>
  <c r="J229"/>
  <c r="J228"/>
  <c r="J227"/>
  <c r="J226"/>
  <c r="J261"/>
  <c r="J260"/>
  <c r="J259"/>
  <c r="J258"/>
  <c r="J257"/>
  <c r="J256"/>
  <c r="J255"/>
  <c r="J254"/>
  <c r="J253"/>
  <c r="J252"/>
  <c r="J251"/>
  <c r="J250"/>
  <c r="J249"/>
  <c r="J284"/>
  <c r="J283"/>
  <c r="J282"/>
  <c r="J281"/>
  <c r="J280"/>
  <c r="J279"/>
  <c r="J278"/>
  <c r="J277"/>
  <c r="J276"/>
  <c r="J275"/>
  <c r="J274"/>
  <c r="J273"/>
  <c r="J272"/>
  <c r="I284"/>
  <c r="F284"/>
  <c r="I283"/>
  <c r="F283"/>
  <c r="I282"/>
  <c r="F282"/>
  <c r="I281"/>
  <c r="F281"/>
  <c r="I280"/>
  <c r="F280"/>
  <c r="I279"/>
  <c r="F279"/>
  <c r="I278"/>
  <c r="F278"/>
  <c r="I277"/>
  <c r="F277"/>
  <c r="I276"/>
  <c r="F276"/>
  <c r="I275"/>
  <c r="F275"/>
  <c r="I274"/>
  <c r="F274"/>
  <c r="I273"/>
  <c r="F273"/>
  <c r="I272"/>
  <c r="E272"/>
  <c r="F272" s="1"/>
  <c r="I271"/>
  <c r="E271"/>
  <c r="F271" s="1"/>
  <c r="I261"/>
  <c r="F261"/>
  <c r="I260"/>
  <c r="F260"/>
  <c r="I259"/>
  <c r="F259"/>
  <c r="I258"/>
  <c r="F258"/>
  <c r="I257"/>
  <c r="F257"/>
  <c r="I256"/>
  <c r="F256"/>
  <c r="I255"/>
  <c r="F255"/>
  <c r="I254"/>
  <c r="F254"/>
  <c r="I253"/>
  <c r="F253"/>
  <c r="I252"/>
  <c r="F252"/>
  <c r="I251"/>
  <c r="F251"/>
  <c r="I250"/>
  <c r="F250"/>
  <c r="I249"/>
  <c r="E249"/>
  <c r="F249" s="1"/>
  <c r="I248"/>
  <c r="E248"/>
  <c r="F248" s="1"/>
  <c r="I238"/>
  <c r="F238"/>
  <c r="I237"/>
  <c r="F237"/>
  <c r="I236"/>
  <c r="F236"/>
  <c r="I235"/>
  <c r="F235"/>
  <c r="I234"/>
  <c r="F234"/>
  <c r="I233"/>
  <c r="F233"/>
  <c r="I232"/>
  <c r="F232"/>
  <c r="I231"/>
  <c r="F231"/>
  <c r="I230"/>
  <c r="F230"/>
  <c r="I229"/>
  <c r="F229"/>
  <c r="I228"/>
  <c r="F228"/>
  <c r="I227"/>
  <c r="F227"/>
  <c r="I226"/>
  <c r="E226"/>
  <c r="F226" s="1"/>
  <c r="I225"/>
  <c r="E225"/>
  <c r="F225" s="1"/>
  <c r="I215"/>
  <c r="F215"/>
  <c r="I214"/>
  <c r="F214"/>
  <c r="I213"/>
  <c r="F213"/>
  <c r="I212"/>
  <c r="F212"/>
  <c r="I211"/>
  <c r="F211"/>
  <c r="I210"/>
  <c r="F210"/>
  <c r="I209"/>
  <c r="F209"/>
  <c r="I208"/>
  <c r="F208"/>
  <c r="I207"/>
  <c r="F207"/>
  <c r="I206"/>
  <c r="F206"/>
  <c r="I205"/>
  <c r="F205"/>
  <c r="I204"/>
  <c r="F204"/>
  <c r="I203"/>
  <c r="E203"/>
  <c r="F203" s="1"/>
  <c r="I202"/>
  <c r="E202"/>
  <c r="F202" s="1"/>
  <c r="I192"/>
  <c r="F192"/>
  <c r="I191"/>
  <c r="F191"/>
  <c r="I190"/>
  <c r="F190"/>
  <c r="I189"/>
  <c r="F189"/>
  <c r="I188"/>
  <c r="F188"/>
  <c r="I187"/>
  <c r="F187"/>
  <c r="I186"/>
  <c r="F186"/>
  <c r="I185"/>
  <c r="F185"/>
  <c r="I184"/>
  <c r="F184"/>
  <c r="I183"/>
  <c r="F183"/>
  <c r="I182"/>
  <c r="F182"/>
  <c r="I181"/>
  <c r="F181"/>
  <c r="I180"/>
  <c r="E180"/>
  <c r="F180" s="1"/>
  <c r="I179"/>
  <c r="E179"/>
  <c r="F179" s="1"/>
  <c r="I169"/>
  <c r="F169"/>
  <c r="I168"/>
  <c r="F168"/>
  <c r="I167"/>
  <c r="F167"/>
  <c r="I166"/>
  <c r="F166"/>
  <c r="I165"/>
  <c r="F165"/>
  <c r="I164"/>
  <c r="F164"/>
  <c r="I163"/>
  <c r="F163"/>
  <c r="I162"/>
  <c r="F162"/>
  <c r="I161"/>
  <c r="F161"/>
  <c r="I160"/>
  <c r="F160"/>
  <c r="I159"/>
  <c r="F159"/>
  <c r="I158"/>
  <c r="F158"/>
  <c r="I157"/>
  <c r="E157"/>
  <c r="F157" s="1"/>
  <c r="I156"/>
  <c r="E156"/>
  <c r="F156" s="1"/>
  <c r="I146"/>
  <c r="F146"/>
  <c r="I145"/>
  <c r="F145"/>
  <c r="I144"/>
  <c r="F144"/>
  <c r="I143"/>
  <c r="F143"/>
  <c r="I142"/>
  <c r="F142"/>
  <c r="I141"/>
  <c r="F141"/>
  <c r="I140"/>
  <c r="F140"/>
  <c r="I139"/>
  <c r="F139"/>
  <c r="I138"/>
  <c r="F138"/>
  <c r="I137"/>
  <c r="F137"/>
  <c r="I136"/>
  <c r="F136"/>
  <c r="I135"/>
  <c r="F135"/>
  <c r="I134"/>
  <c r="E134"/>
  <c r="F134" s="1"/>
  <c r="I133"/>
  <c r="E133"/>
  <c r="F133" s="1"/>
  <c r="I123"/>
  <c r="F123"/>
  <c r="I122"/>
  <c r="F122"/>
  <c r="I121"/>
  <c r="F121"/>
  <c r="I120"/>
  <c r="F120"/>
  <c r="I119"/>
  <c r="F119"/>
  <c r="I118"/>
  <c r="F118"/>
  <c r="I117"/>
  <c r="F117"/>
  <c r="I116"/>
  <c r="F116"/>
  <c r="I115"/>
  <c r="F115"/>
  <c r="I114"/>
  <c r="F114"/>
  <c r="I113"/>
  <c r="F113"/>
  <c r="I112"/>
  <c r="F112"/>
  <c r="I111"/>
  <c r="E111"/>
  <c r="F111" s="1"/>
  <c r="I110"/>
  <c r="E110"/>
  <c r="F110" s="1"/>
  <c r="I100"/>
  <c r="F100"/>
  <c r="I99"/>
  <c r="F99"/>
  <c r="I98"/>
  <c r="F98"/>
  <c r="I97"/>
  <c r="F97"/>
  <c r="I96"/>
  <c r="F96"/>
  <c r="I95"/>
  <c r="F95"/>
  <c r="I94"/>
  <c r="F94"/>
  <c r="I93"/>
  <c r="F93"/>
  <c r="I92"/>
  <c r="F92"/>
  <c r="I91"/>
  <c r="F91"/>
  <c r="I90"/>
  <c r="F90"/>
  <c r="I89"/>
  <c r="F89"/>
  <c r="I88"/>
  <c r="E88"/>
  <c r="F88" s="1"/>
  <c r="I87"/>
  <c r="E87"/>
  <c r="F87" s="1"/>
  <c r="I77"/>
  <c r="F77"/>
  <c r="I76"/>
  <c r="F76"/>
  <c r="I75"/>
  <c r="F75"/>
  <c r="I74"/>
  <c r="F74"/>
  <c r="I73"/>
  <c r="F73"/>
  <c r="I72"/>
  <c r="I71"/>
  <c r="F71"/>
  <c r="I70"/>
  <c r="F70"/>
  <c r="I69"/>
  <c r="F69"/>
  <c r="I68"/>
  <c r="F68"/>
  <c r="I67"/>
  <c r="F67"/>
  <c r="I66"/>
  <c r="F66"/>
  <c r="I65"/>
  <c r="E65"/>
  <c r="F65" s="1"/>
  <c r="I64"/>
  <c r="E64"/>
  <c r="F64" s="1"/>
  <c r="I54"/>
  <c r="F54"/>
  <c r="I53"/>
  <c r="F53"/>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76" i="8"/>
  <c r="K975"/>
  <c r="K974"/>
  <c r="K973"/>
  <c r="K972"/>
  <c r="K971"/>
  <c r="K970"/>
  <c r="K969"/>
  <c r="K968"/>
  <c r="K967"/>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16"/>
  <c r="K915"/>
  <c r="K914"/>
  <c r="K913"/>
  <c r="K912"/>
  <c r="K911"/>
  <c r="K910"/>
  <c r="K909"/>
  <c r="K90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56"/>
  <c r="K855"/>
  <c r="K854"/>
  <c r="K853"/>
  <c r="K852"/>
  <c r="K851"/>
  <c r="K850"/>
  <c r="K849"/>
  <c r="K84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796"/>
  <c r="K795"/>
  <c r="K794"/>
  <c r="K793"/>
  <c r="K792"/>
  <c r="K791"/>
  <c r="K790"/>
  <c r="K789"/>
  <c r="K78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36"/>
  <c r="K735"/>
  <c r="K734"/>
  <c r="K733"/>
  <c r="K732"/>
  <c r="K731"/>
  <c r="K730"/>
  <c r="K729"/>
  <c r="K72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76"/>
  <c r="K675"/>
  <c r="K674"/>
  <c r="K673"/>
  <c r="K672"/>
  <c r="K671"/>
  <c r="K670"/>
  <c r="K669"/>
  <c r="K66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16"/>
  <c r="K615"/>
  <c r="K614"/>
  <c r="K613"/>
  <c r="K612"/>
  <c r="K611"/>
  <c r="K610"/>
  <c r="K609"/>
  <c r="K60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496"/>
  <c r="K495"/>
  <c r="K494"/>
  <c r="K49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J976"/>
  <c r="J975"/>
  <c r="J974"/>
  <c r="G974"/>
  <c r="F976" s="1"/>
  <c r="G976" s="1"/>
  <c r="J973"/>
  <c r="G973"/>
  <c r="J972"/>
  <c r="G972"/>
  <c r="J971"/>
  <c r="G971"/>
  <c r="J970"/>
  <c r="J969"/>
  <c r="J968"/>
  <c r="G968"/>
  <c r="F970" s="1"/>
  <c r="G970" s="1"/>
  <c r="J967"/>
  <c r="J966"/>
  <c r="J965"/>
  <c r="F965"/>
  <c r="G965" s="1"/>
  <c r="J964"/>
  <c r="J963"/>
  <c r="J962"/>
  <c r="F962"/>
  <c r="G962" s="1"/>
  <c r="J961"/>
  <c r="J960"/>
  <c r="J959"/>
  <c r="F959"/>
  <c r="G959"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16"/>
  <c r="J915"/>
  <c r="J914"/>
  <c r="G914"/>
  <c r="F915" s="1"/>
  <c r="G915" s="1"/>
  <c r="J913"/>
  <c r="G913"/>
  <c r="J912"/>
  <c r="G912"/>
  <c r="J911"/>
  <c r="G911"/>
  <c r="J910"/>
  <c r="J909"/>
  <c r="J908"/>
  <c r="G908"/>
  <c r="F909" s="1"/>
  <c r="G909" s="1"/>
  <c r="J907"/>
  <c r="J906"/>
  <c r="J905"/>
  <c r="F905"/>
  <c r="G905" s="1"/>
  <c r="J904"/>
  <c r="J903"/>
  <c r="J902"/>
  <c r="F902"/>
  <c r="G902" s="1"/>
  <c r="J901"/>
  <c r="J900"/>
  <c r="J899"/>
  <c r="F899"/>
  <c r="G899"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56"/>
  <c r="J855"/>
  <c r="J854"/>
  <c r="G854"/>
  <c r="F856" s="1"/>
  <c r="G856" s="1"/>
  <c r="J853"/>
  <c r="G853"/>
  <c r="J852"/>
  <c r="G852"/>
  <c r="J851"/>
  <c r="G851"/>
  <c r="J850"/>
  <c r="J849"/>
  <c r="J848"/>
  <c r="G848"/>
  <c r="F850" s="1"/>
  <c r="G850" s="1"/>
  <c r="J847"/>
  <c r="J846"/>
  <c r="J845"/>
  <c r="F845"/>
  <c r="G845" s="1"/>
  <c r="J844"/>
  <c r="J843"/>
  <c r="J842"/>
  <c r="F842"/>
  <c r="G842" s="1"/>
  <c r="J841"/>
  <c r="J840"/>
  <c r="J839"/>
  <c r="F839"/>
  <c r="G839"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F814" s="1"/>
  <c r="G814" s="1"/>
  <c r="J811"/>
  <c r="J810"/>
  <c r="J809"/>
  <c r="F809"/>
  <c r="G809" s="1"/>
  <c r="F810" s="1"/>
  <c r="G810" s="1"/>
  <c r="J808"/>
  <c r="J807"/>
  <c r="J806"/>
  <c r="F806"/>
  <c r="G806" s="1"/>
  <c r="F807" s="1"/>
  <c r="G807" s="1"/>
  <c r="J796"/>
  <c r="J795"/>
  <c r="J794"/>
  <c r="G794"/>
  <c r="J793"/>
  <c r="G793"/>
  <c r="J792"/>
  <c r="G792"/>
  <c r="J791"/>
  <c r="G791"/>
  <c r="J790"/>
  <c r="J789"/>
  <c r="J788"/>
  <c r="G788"/>
  <c r="J787"/>
  <c r="J786"/>
  <c r="J785"/>
  <c r="F785"/>
  <c r="G785" s="1"/>
  <c r="F787" s="1"/>
  <c r="G787" s="1"/>
  <c r="J784"/>
  <c r="J783"/>
  <c r="J782"/>
  <c r="F782"/>
  <c r="G782" s="1"/>
  <c r="F784" s="1"/>
  <c r="G784" s="1"/>
  <c r="J781"/>
  <c r="J780"/>
  <c r="J779"/>
  <c r="F779"/>
  <c r="G779" s="1"/>
  <c r="F780" s="1"/>
  <c r="G780" s="1"/>
  <c r="J778"/>
  <c r="J777"/>
  <c r="J776"/>
  <c r="F776"/>
  <c r="G776" s="1"/>
  <c r="F778" s="1"/>
  <c r="G778" s="1"/>
  <c r="J775"/>
  <c r="J774"/>
  <c r="J773"/>
  <c r="F773"/>
  <c r="G773" s="1"/>
  <c r="F774" s="1"/>
  <c r="G774" s="1"/>
  <c r="J772"/>
  <c r="J771"/>
  <c r="J770"/>
  <c r="F770"/>
  <c r="G770" s="1"/>
  <c r="F772" s="1"/>
  <c r="G772" s="1"/>
  <c r="J769"/>
  <c r="J768"/>
  <c r="J767"/>
  <c r="F767"/>
  <c r="G767" s="1"/>
  <c r="F768" s="1"/>
  <c r="G768" s="1"/>
  <c r="J766"/>
  <c r="J765"/>
  <c r="J764"/>
  <c r="F764"/>
  <c r="G764" s="1"/>
  <c r="F766" s="1"/>
  <c r="G766" s="1"/>
  <c r="J763"/>
  <c r="J762"/>
  <c r="J761"/>
  <c r="F761"/>
  <c r="G761" s="1"/>
  <c r="F763" s="1"/>
  <c r="G763" s="1"/>
  <c r="J760"/>
  <c r="J759"/>
  <c r="J758"/>
  <c r="F758"/>
  <c r="G758" s="1"/>
  <c r="F760" s="1"/>
  <c r="G760" s="1"/>
  <c r="J757"/>
  <c r="J756"/>
  <c r="J755"/>
  <c r="F755"/>
  <c r="G755" s="1"/>
  <c r="F756" s="1"/>
  <c r="G756" s="1"/>
  <c r="J754"/>
  <c r="J753"/>
  <c r="J752"/>
  <c r="F752"/>
  <c r="G752" s="1"/>
  <c r="F753" s="1"/>
  <c r="G753" s="1"/>
  <c r="J751"/>
  <c r="J750"/>
  <c r="J749"/>
  <c r="F749"/>
  <c r="G749" s="1"/>
  <c r="F751" s="1"/>
  <c r="G751" s="1"/>
  <c r="J748"/>
  <c r="J747"/>
  <c r="J746"/>
  <c r="F746"/>
  <c r="G746" s="1"/>
  <c r="F747" s="1"/>
  <c r="G747" s="1"/>
  <c r="J736"/>
  <c r="J735"/>
  <c r="J734"/>
  <c r="G734"/>
  <c r="F736" s="1"/>
  <c r="G736" s="1"/>
  <c r="J733"/>
  <c r="G733"/>
  <c r="J732"/>
  <c r="G732"/>
  <c r="J731"/>
  <c r="G731"/>
  <c r="J730"/>
  <c r="J729"/>
  <c r="J728"/>
  <c r="G728"/>
  <c r="F730" s="1"/>
  <c r="G730" s="1"/>
  <c r="J727"/>
  <c r="J726"/>
  <c r="J725"/>
  <c r="F725"/>
  <c r="G725" s="1"/>
  <c r="F727" s="1"/>
  <c r="G727" s="1"/>
  <c r="J724"/>
  <c r="J723"/>
  <c r="J722"/>
  <c r="F722"/>
  <c r="G722" s="1"/>
  <c r="F724" s="1"/>
  <c r="G724" s="1"/>
  <c r="J721"/>
  <c r="J720"/>
  <c r="J719"/>
  <c r="F719"/>
  <c r="G719" s="1"/>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J676"/>
  <c r="J675"/>
  <c r="J674"/>
  <c r="G674"/>
  <c r="F675" s="1"/>
  <c r="G675" s="1"/>
  <c r="J673"/>
  <c r="G673"/>
  <c r="J672"/>
  <c r="G672"/>
  <c r="J671"/>
  <c r="G671"/>
  <c r="J670"/>
  <c r="J669"/>
  <c r="J668"/>
  <c r="G668"/>
  <c r="F669" s="1"/>
  <c r="G669" s="1"/>
  <c r="J667"/>
  <c r="J666"/>
  <c r="J665"/>
  <c r="F665"/>
  <c r="G665" s="1"/>
  <c r="F667" s="1"/>
  <c r="G667" s="1"/>
  <c r="J664"/>
  <c r="J663"/>
  <c r="J662"/>
  <c r="F662"/>
  <c r="G662" s="1"/>
  <c r="F664" s="1"/>
  <c r="G664" s="1"/>
  <c r="J661"/>
  <c r="J660"/>
  <c r="J659"/>
  <c r="F659"/>
  <c r="G659" s="1"/>
  <c r="F661" s="1"/>
  <c r="G661"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J616"/>
  <c r="J615"/>
  <c r="J614"/>
  <c r="G614"/>
  <c r="F616" s="1"/>
  <c r="G616" s="1"/>
  <c r="J613"/>
  <c r="G613"/>
  <c r="J612"/>
  <c r="G612"/>
  <c r="J611"/>
  <c r="G611"/>
  <c r="J610"/>
  <c r="J609"/>
  <c r="J608"/>
  <c r="G608"/>
  <c r="F610" s="1"/>
  <c r="G610" s="1"/>
  <c r="J607"/>
  <c r="J606"/>
  <c r="J605"/>
  <c r="F605"/>
  <c r="G605" s="1"/>
  <c r="J604"/>
  <c r="J603"/>
  <c r="J602"/>
  <c r="F602"/>
  <c r="G602" s="1"/>
  <c r="J601"/>
  <c r="J600"/>
  <c r="J599"/>
  <c r="F599"/>
  <c r="G599" s="1"/>
  <c r="J598"/>
  <c r="J597"/>
  <c r="J596"/>
  <c r="F596"/>
  <c r="G596" s="1"/>
  <c r="J595"/>
  <c r="J594"/>
  <c r="J593"/>
  <c r="F593"/>
  <c r="G593" s="1"/>
  <c r="J592"/>
  <c r="J591"/>
  <c r="J590"/>
  <c r="F590"/>
  <c r="G590" s="1"/>
  <c r="J589"/>
  <c r="J588"/>
  <c r="J587"/>
  <c r="F587"/>
  <c r="G587" s="1"/>
  <c r="J586"/>
  <c r="J585"/>
  <c r="J584"/>
  <c r="F584"/>
  <c r="G584" s="1"/>
  <c r="J583"/>
  <c r="J582"/>
  <c r="J581"/>
  <c r="F581"/>
  <c r="G581" s="1"/>
  <c r="F583" s="1"/>
  <c r="G583" s="1"/>
  <c r="J580"/>
  <c r="J579"/>
  <c r="J578"/>
  <c r="F578"/>
  <c r="G578" s="1"/>
  <c r="F580" s="1"/>
  <c r="G580" s="1"/>
  <c r="J577"/>
  <c r="J576"/>
  <c r="J575"/>
  <c r="F575"/>
  <c r="G575" s="1"/>
  <c r="F577" s="1"/>
  <c r="G577" s="1"/>
  <c r="J574"/>
  <c r="J573"/>
  <c r="J572"/>
  <c r="F572"/>
  <c r="G572" s="1"/>
  <c r="F574" s="1"/>
  <c r="G574" s="1"/>
  <c r="J571"/>
  <c r="J570"/>
  <c r="J569"/>
  <c r="F569"/>
  <c r="G569" s="1"/>
  <c r="F571" s="1"/>
  <c r="G571" s="1"/>
  <c r="J568"/>
  <c r="J567"/>
  <c r="J566"/>
  <c r="F566"/>
  <c r="G566" s="1"/>
  <c r="F568" s="1"/>
  <c r="G568" s="1"/>
  <c r="J556"/>
  <c r="J555"/>
  <c r="J554"/>
  <c r="G554"/>
  <c r="F555" s="1"/>
  <c r="G555" s="1"/>
  <c r="J553"/>
  <c r="G553"/>
  <c r="J552"/>
  <c r="G552"/>
  <c r="J551"/>
  <c r="G551"/>
  <c r="J550"/>
  <c r="J549"/>
  <c r="J548"/>
  <c r="G548"/>
  <c r="F550" s="1"/>
  <c r="G550" s="1"/>
  <c r="J547"/>
  <c r="J546"/>
  <c r="J545"/>
  <c r="F545"/>
  <c r="G545" s="1"/>
  <c r="F547" s="1"/>
  <c r="G547" s="1"/>
  <c r="J544"/>
  <c r="J543"/>
  <c r="J542"/>
  <c r="F542"/>
  <c r="G542" s="1"/>
  <c r="F544" s="1"/>
  <c r="G544" s="1"/>
  <c r="J541"/>
  <c r="J540"/>
  <c r="J539"/>
  <c r="F539"/>
  <c r="G539" s="1"/>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496"/>
  <c r="J495"/>
  <c r="J494"/>
  <c r="G494"/>
  <c r="F495" s="1"/>
  <c r="G495" s="1"/>
  <c r="J493"/>
  <c r="G493"/>
  <c r="J492"/>
  <c r="G492"/>
  <c r="J491"/>
  <c r="G491"/>
  <c r="J490"/>
  <c r="J489"/>
  <c r="J488"/>
  <c r="G488"/>
  <c r="F489" s="1"/>
  <c r="G489" s="1"/>
  <c r="J487"/>
  <c r="J486"/>
  <c r="J485"/>
  <c r="F485"/>
  <c r="G485" s="1"/>
  <c r="J484"/>
  <c r="J483"/>
  <c r="J482"/>
  <c r="F482"/>
  <c r="G482" s="1"/>
  <c r="J481"/>
  <c r="J480"/>
  <c r="J479"/>
  <c r="F479"/>
  <c r="G479"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36"/>
  <c r="J435"/>
  <c r="J434"/>
  <c r="G434"/>
  <c r="F436" s="1"/>
  <c r="G436" s="1"/>
  <c r="J433"/>
  <c r="G433"/>
  <c r="J432"/>
  <c r="G432"/>
  <c r="J431"/>
  <c r="G431"/>
  <c r="J430"/>
  <c r="J429"/>
  <c r="J428"/>
  <c r="G428"/>
  <c r="F430" s="1"/>
  <c r="G430" s="1"/>
  <c r="J427"/>
  <c r="J426"/>
  <c r="J425"/>
  <c r="F425"/>
  <c r="G425" s="1"/>
  <c r="J424"/>
  <c r="J423"/>
  <c r="J422"/>
  <c r="F422"/>
  <c r="G422" s="1"/>
  <c r="J421"/>
  <c r="J420"/>
  <c r="J419"/>
  <c r="F419"/>
  <c r="G419"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76"/>
  <c r="J375"/>
  <c r="J374"/>
  <c r="G374"/>
  <c r="F375" s="1"/>
  <c r="G375" s="1"/>
  <c r="J373"/>
  <c r="G373"/>
  <c r="J372"/>
  <c r="G372"/>
  <c r="J371"/>
  <c r="G371"/>
  <c r="J370"/>
  <c r="J369"/>
  <c r="J368"/>
  <c r="G368"/>
  <c r="F369" s="1"/>
  <c r="G369" s="1"/>
  <c r="J367"/>
  <c r="J366"/>
  <c r="J365"/>
  <c r="F365"/>
  <c r="G365" s="1"/>
  <c r="J364"/>
  <c r="J363"/>
  <c r="J362"/>
  <c r="F362"/>
  <c r="G362" s="1"/>
  <c r="J361"/>
  <c r="J360"/>
  <c r="J359"/>
  <c r="F359"/>
  <c r="G359"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16"/>
  <c r="J315"/>
  <c r="J314"/>
  <c r="G314"/>
  <c r="F316" s="1"/>
  <c r="G316" s="1"/>
  <c r="J313"/>
  <c r="G313"/>
  <c r="J312"/>
  <c r="G312"/>
  <c r="J311"/>
  <c r="G311"/>
  <c r="J310"/>
  <c r="J309"/>
  <c r="J308"/>
  <c r="G308"/>
  <c r="F310" s="1"/>
  <c r="G310" s="1"/>
  <c r="J307"/>
  <c r="J306"/>
  <c r="J305"/>
  <c r="F305"/>
  <c r="G305" s="1"/>
  <c r="J304"/>
  <c r="J303"/>
  <c r="J302"/>
  <c r="F302"/>
  <c r="G302" s="1"/>
  <c r="J301"/>
  <c r="J300"/>
  <c r="J299"/>
  <c r="F299"/>
  <c r="G299"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56"/>
  <c r="J255"/>
  <c r="J254"/>
  <c r="G254"/>
  <c r="F255" s="1"/>
  <c r="G255" s="1"/>
  <c r="J253"/>
  <c r="G253"/>
  <c r="J252"/>
  <c r="G252"/>
  <c r="J251"/>
  <c r="G251"/>
  <c r="J250"/>
  <c r="J249"/>
  <c r="J248"/>
  <c r="G248"/>
  <c r="F249" s="1"/>
  <c r="G249" s="1"/>
  <c r="J247"/>
  <c r="J246"/>
  <c r="J245"/>
  <c r="F245"/>
  <c r="G245" s="1"/>
  <c r="F247" s="1"/>
  <c r="G247" s="1"/>
  <c r="J244"/>
  <c r="J243"/>
  <c r="J242"/>
  <c r="F242"/>
  <c r="G242" s="1"/>
  <c r="F244" s="1"/>
  <c r="G244" s="1"/>
  <c r="J241"/>
  <c r="J240"/>
  <c r="J239"/>
  <c r="F239"/>
  <c r="G239" s="1"/>
  <c r="F241" s="1"/>
  <c r="G241"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J196"/>
  <c r="J195"/>
  <c r="J194"/>
  <c r="G194"/>
  <c r="F196" s="1"/>
  <c r="G196" s="1"/>
  <c r="J193"/>
  <c r="G193"/>
  <c r="J192"/>
  <c r="G192"/>
  <c r="J191"/>
  <c r="G191"/>
  <c r="J190"/>
  <c r="J189"/>
  <c r="J188"/>
  <c r="G188"/>
  <c r="F190" s="1"/>
  <c r="G190" s="1"/>
  <c r="J187"/>
  <c r="J186"/>
  <c r="J185"/>
  <c r="F185"/>
  <c r="G185" s="1"/>
  <c r="F187" s="1"/>
  <c r="G187" s="1"/>
  <c r="J184"/>
  <c r="J183"/>
  <c r="J182"/>
  <c r="F182"/>
  <c r="G182" s="1"/>
  <c r="F184" s="1"/>
  <c r="G184" s="1"/>
  <c r="J181"/>
  <c r="J180"/>
  <c r="J179"/>
  <c r="F179"/>
  <c r="G179" s="1"/>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J130"/>
  <c r="G130"/>
  <c r="J129"/>
  <c r="G129"/>
  <c r="J128"/>
  <c r="G128"/>
  <c r="J127"/>
  <c r="J126"/>
  <c r="J125"/>
  <c r="G125"/>
  <c r="J124"/>
  <c r="J123"/>
  <c r="J122"/>
  <c r="F122"/>
  <c r="G122" s="1"/>
  <c r="F124" s="1"/>
  <c r="G124" s="1"/>
  <c r="J121"/>
  <c r="J120"/>
  <c r="J119"/>
  <c r="F119"/>
  <c r="G119" s="1"/>
  <c r="F121" s="1"/>
  <c r="G121"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39" i="12" l="1"/>
  <c r="D124" i="9"/>
  <c r="D72" i="40"/>
  <c r="P60" i="43"/>
  <c r="Q61"/>
  <c r="P62"/>
  <c r="Q63"/>
  <c r="P64"/>
  <c r="Q65"/>
  <c r="P66"/>
  <c r="Q67"/>
  <c r="P68"/>
  <c r="Q69"/>
  <c r="P70"/>
  <c r="Q71"/>
  <c r="P72"/>
  <c r="Q73"/>
  <c r="P74"/>
  <c r="Q75"/>
  <c r="P76"/>
  <c r="Q77"/>
  <c r="P78"/>
  <c r="Q79"/>
  <c r="P80"/>
  <c r="Q81"/>
  <c r="P82"/>
  <c r="Q83"/>
  <c r="P84"/>
  <c r="Q85"/>
  <c r="P86"/>
  <c r="Q87"/>
  <c r="P88"/>
  <c r="Q89"/>
  <c r="P90"/>
  <c r="Q91"/>
  <c r="P92"/>
  <c r="F126" i="8"/>
  <c r="G126" s="1"/>
  <c r="F127"/>
  <c r="D143" i="9"/>
  <c r="D219"/>
  <c r="F189" i="8"/>
  <c r="G189" s="1"/>
  <c r="D86" i="9"/>
  <c r="F429" i="8"/>
  <c r="G429" s="1"/>
  <c r="D200" i="9"/>
  <c r="D103" i="40"/>
  <c r="D96" i="43"/>
  <c r="D40" i="42"/>
  <c r="D160"/>
  <c r="D70"/>
  <c r="D41" i="40"/>
  <c r="D126" i="12"/>
  <c r="D212"/>
  <c r="D518"/>
  <c r="D606"/>
  <c r="D694"/>
  <c r="D430"/>
  <c r="D342"/>
  <c r="D738"/>
  <c r="D826"/>
  <c r="D181" i="9"/>
  <c r="D105"/>
  <c r="D29"/>
  <c r="D48"/>
  <c r="D162"/>
  <c r="F315" i="8"/>
  <c r="G315" s="1"/>
  <c r="F195"/>
  <c r="G195" s="1"/>
  <c r="F309"/>
  <c r="G309" s="1"/>
  <c r="F435"/>
  <c r="G435" s="1"/>
  <c r="G127"/>
  <c r="F250"/>
  <c r="G250" s="1"/>
  <c r="F256"/>
  <c r="G256" s="1"/>
  <c r="F370"/>
  <c r="G370" s="1"/>
  <c r="F376"/>
  <c r="G376" s="1"/>
  <c r="F490"/>
  <c r="G490" s="1"/>
  <c r="F496"/>
  <c r="G496" s="1"/>
  <c r="F556"/>
  <c r="G556" s="1"/>
  <c r="F609"/>
  <c r="G609" s="1"/>
  <c r="F615"/>
  <c r="G615" s="1"/>
  <c r="F670"/>
  <c r="G670" s="1"/>
  <c r="F676"/>
  <c r="G676" s="1"/>
  <c r="F729"/>
  <c r="G729" s="1"/>
  <c r="F735"/>
  <c r="G735" s="1"/>
  <c r="F849"/>
  <c r="G849" s="1"/>
  <c r="F855"/>
  <c r="G855" s="1"/>
  <c r="F910"/>
  <c r="G910" s="1"/>
  <c r="F916"/>
  <c r="G916" s="1"/>
  <c r="F969"/>
  <c r="G969" s="1"/>
  <c r="F975"/>
  <c r="G975" s="1"/>
  <c r="F750"/>
  <c r="G750" s="1"/>
  <c r="F786"/>
  <c r="G786" s="1"/>
  <c r="F759"/>
  <c r="G759" s="1"/>
  <c r="D105" i="7"/>
  <c r="D33" i="10"/>
  <c r="D149"/>
  <c r="D241"/>
  <c r="D264"/>
  <c r="D103"/>
  <c r="D195"/>
  <c r="F777" i="8"/>
  <c r="G777" s="1"/>
  <c r="F813"/>
  <c r="G813" s="1"/>
  <c r="F765"/>
  <c r="G765" s="1"/>
  <c r="F762"/>
  <c r="G762" s="1"/>
  <c r="F771"/>
  <c r="G771" s="1"/>
  <c r="F754"/>
  <c r="G754" s="1"/>
  <c r="F775"/>
  <c r="G775" s="1"/>
  <c r="F783"/>
  <c r="G783" s="1"/>
  <c r="D48" i="7"/>
  <c r="D29"/>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50" i="12"/>
  <c r="D562"/>
  <c r="D169"/>
  <c r="D255"/>
  <c r="D386"/>
  <c r="D298"/>
  <c r="D782"/>
  <c r="D218" i="10"/>
  <c r="D172"/>
  <c r="D126"/>
  <c r="D80"/>
  <c r="F769" i="8"/>
  <c r="G769" s="1"/>
  <c r="F781"/>
  <c r="G781" s="1"/>
  <c r="F811"/>
  <c r="G811" s="1"/>
  <c r="F817"/>
  <c r="G817" s="1"/>
  <c r="F816"/>
  <c r="G816" s="1"/>
  <c r="F823"/>
  <c r="G823" s="1"/>
  <c r="F822"/>
  <c r="G822" s="1"/>
  <c r="F757"/>
  <c r="G757" s="1"/>
  <c r="F748"/>
  <c r="G748" s="1"/>
  <c r="F790"/>
  <c r="G790" s="1"/>
  <c r="F789"/>
  <c r="G789" s="1"/>
  <c r="F868"/>
  <c r="G868" s="1"/>
  <c r="F867"/>
  <c r="G867" s="1"/>
  <c r="F796"/>
  <c r="G796" s="1"/>
  <c r="F795"/>
  <c r="G795" s="1"/>
  <c r="F808"/>
  <c r="G808" s="1"/>
  <c r="F820"/>
  <c r="G820" s="1"/>
  <c r="F819"/>
  <c r="G819" s="1"/>
  <c r="F928"/>
  <c r="G928" s="1"/>
  <c r="F927"/>
  <c r="G927" s="1"/>
  <c r="F829"/>
  <c r="G829" s="1"/>
  <c r="F828"/>
  <c r="G828" s="1"/>
  <c r="F835"/>
  <c r="G835" s="1"/>
  <c r="F834"/>
  <c r="G834" s="1"/>
  <c r="F841"/>
  <c r="G841" s="1"/>
  <c r="F840"/>
  <c r="G840" s="1"/>
  <c r="F847"/>
  <c r="G847" s="1"/>
  <c r="F846"/>
  <c r="G846" s="1"/>
  <c r="F871"/>
  <c r="G871" s="1"/>
  <c r="F870"/>
  <c r="G870" s="1"/>
  <c r="F877"/>
  <c r="G877" s="1"/>
  <c r="F876"/>
  <c r="G876" s="1"/>
  <c r="F883"/>
  <c r="G883" s="1"/>
  <c r="F882"/>
  <c r="G882" s="1"/>
  <c r="F889"/>
  <c r="G889" s="1"/>
  <c r="F888"/>
  <c r="G888" s="1"/>
  <c r="F895"/>
  <c r="G895" s="1"/>
  <c r="F894"/>
  <c r="G894" s="1"/>
  <c r="F901"/>
  <c r="G901" s="1"/>
  <c r="F900"/>
  <c r="G900" s="1"/>
  <c r="F907"/>
  <c r="G907" s="1"/>
  <c r="F906"/>
  <c r="G906" s="1"/>
  <c r="F931"/>
  <c r="G931" s="1"/>
  <c r="F930"/>
  <c r="G930" s="1"/>
  <c r="F937"/>
  <c r="G937" s="1"/>
  <c r="F936"/>
  <c r="G936" s="1"/>
  <c r="F943"/>
  <c r="G943" s="1"/>
  <c r="F942"/>
  <c r="G942" s="1"/>
  <c r="F949"/>
  <c r="G949" s="1"/>
  <c r="F948"/>
  <c r="G948" s="1"/>
  <c r="F955"/>
  <c r="G955" s="1"/>
  <c r="F954"/>
  <c r="G954" s="1"/>
  <c r="F961"/>
  <c r="G961" s="1"/>
  <c r="F960"/>
  <c r="G960" s="1"/>
  <c r="F967"/>
  <c r="G967" s="1"/>
  <c r="F966"/>
  <c r="G966" s="1"/>
  <c r="F826"/>
  <c r="G826" s="1"/>
  <c r="F825"/>
  <c r="G825" s="1"/>
  <c r="F838"/>
  <c r="G838" s="1"/>
  <c r="F837"/>
  <c r="G837" s="1"/>
  <c r="F874"/>
  <c r="G874" s="1"/>
  <c r="F873"/>
  <c r="G873" s="1"/>
  <c r="F880"/>
  <c r="G880" s="1"/>
  <c r="F879"/>
  <c r="G879" s="1"/>
  <c r="F886"/>
  <c r="G886" s="1"/>
  <c r="F885"/>
  <c r="G885" s="1"/>
  <c r="F892"/>
  <c r="G892" s="1"/>
  <c r="F891"/>
  <c r="G891" s="1"/>
  <c r="F898"/>
  <c r="G898" s="1"/>
  <c r="F897"/>
  <c r="G897" s="1"/>
  <c r="F904"/>
  <c r="G904" s="1"/>
  <c r="F903"/>
  <c r="G903" s="1"/>
  <c r="F934"/>
  <c r="G934" s="1"/>
  <c r="F933"/>
  <c r="G933" s="1"/>
  <c r="F940"/>
  <c r="G940" s="1"/>
  <c r="F939"/>
  <c r="G939" s="1"/>
  <c r="F946"/>
  <c r="G946" s="1"/>
  <c r="F945"/>
  <c r="G945" s="1"/>
  <c r="F952"/>
  <c r="G952" s="1"/>
  <c r="F951"/>
  <c r="G951" s="1"/>
  <c r="F958"/>
  <c r="G958" s="1"/>
  <c r="F957"/>
  <c r="G957" s="1"/>
  <c r="F964"/>
  <c r="G964" s="1"/>
  <c r="F963"/>
  <c r="G963" s="1"/>
  <c r="F832"/>
  <c r="G832" s="1"/>
  <c r="F831"/>
  <c r="G831" s="1"/>
  <c r="F844"/>
  <c r="G844" s="1"/>
  <c r="F843"/>
  <c r="G843" s="1"/>
  <c r="F589"/>
  <c r="G589" s="1"/>
  <c r="F588"/>
  <c r="G588" s="1"/>
  <c r="F595"/>
  <c r="G595" s="1"/>
  <c r="F594"/>
  <c r="G594" s="1"/>
  <c r="F601"/>
  <c r="G601" s="1"/>
  <c r="F600"/>
  <c r="G600" s="1"/>
  <c r="F607"/>
  <c r="G607" s="1"/>
  <c r="F606"/>
  <c r="G606" s="1"/>
  <c r="F549"/>
  <c r="G549" s="1"/>
  <c r="F507"/>
  <c r="G507" s="1"/>
  <c r="F510"/>
  <c r="G510" s="1"/>
  <c r="F513"/>
  <c r="G513" s="1"/>
  <c r="F516"/>
  <c r="G516" s="1"/>
  <c r="F519"/>
  <c r="G519" s="1"/>
  <c r="F522"/>
  <c r="G522" s="1"/>
  <c r="F525"/>
  <c r="G525" s="1"/>
  <c r="F528"/>
  <c r="G528" s="1"/>
  <c r="F531"/>
  <c r="G531" s="1"/>
  <c r="F534"/>
  <c r="G534" s="1"/>
  <c r="F537"/>
  <c r="G537" s="1"/>
  <c r="F540"/>
  <c r="G540" s="1"/>
  <c r="F543"/>
  <c r="G543" s="1"/>
  <c r="F546"/>
  <c r="G546" s="1"/>
  <c r="F567"/>
  <c r="G567" s="1"/>
  <c r="F570"/>
  <c r="G570" s="1"/>
  <c r="F573"/>
  <c r="G573" s="1"/>
  <c r="F576"/>
  <c r="G576" s="1"/>
  <c r="F579"/>
  <c r="G579" s="1"/>
  <c r="F582"/>
  <c r="G582" s="1"/>
  <c r="F586"/>
  <c r="G586" s="1"/>
  <c r="F585"/>
  <c r="G585" s="1"/>
  <c r="F592"/>
  <c r="G592" s="1"/>
  <c r="F591"/>
  <c r="G591" s="1"/>
  <c r="F598"/>
  <c r="G598" s="1"/>
  <c r="F597"/>
  <c r="G597" s="1"/>
  <c r="F604"/>
  <c r="G604" s="1"/>
  <c r="F603"/>
  <c r="G603" s="1"/>
  <c r="F628"/>
  <c r="G628" s="1"/>
  <c r="F627"/>
  <c r="G627" s="1"/>
  <c r="F688"/>
  <c r="G688" s="1"/>
  <c r="F687"/>
  <c r="G687" s="1"/>
  <c r="F630"/>
  <c r="G630" s="1"/>
  <c r="F633"/>
  <c r="G633" s="1"/>
  <c r="F636"/>
  <c r="G636" s="1"/>
  <c r="F639"/>
  <c r="G639" s="1"/>
  <c r="F642"/>
  <c r="G642" s="1"/>
  <c r="F645"/>
  <c r="G645" s="1"/>
  <c r="F648"/>
  <c r="G648" s="1"/>
  <c r="F651"/>
  <c r="G651" s="1"/>
  <c r="F654"/>
  <c r="G654" s="1"/>
  <c r="F657"/>
  <c r="G657" s="1"/>
  <c r="F660"/>
  <c r="G660" s="1"/>
  <c r="F663"/>
  <c r="G663" s="1"/>
  <c r="F666"/>
  <c r="G666" s="1"/>
  <c r="F690"/>
  <c r="G690" s="1"/>
  <c r="F693"/>
  <c r="G693" s="1"/>
  <c r="F696"/>
  <c r="G696" s="1"/>
  <c r="F699"/>
  <c r="G699" s="1"/>
  <c r="F702"/>
  <c r="G702" s="1"/>
  <c r="F705"/>
  <c r="G705" s="1"/>
  <c r="F708"/>
  <c r="G708" s="1"/>
  <c r="F711"/>
  <c r="G711" s="1"/>
  <c r="F714"/>
  <c r="G714" s="1"/>
  <c r="F717"/>
  <c r="G717" s="1"/>
  <c r="F720"/>
  <c r="G720" s="1"/>
  <c r="F723"/>
  <c r="G723" s="1"/>
  <c r="F726"/>
  <c r="G726" s="1"/>
  <c r="F274"/>
  <c r="G274" s="1"/>
  <c r="F273"/>
  <c r="G273" s="1"/>
  <c r="F280"/>
  <c r="G280" s="1"/>
  <c r="F279"/>
  <c r="G279" s="1"/>
  <c r="F292"/>
  <c r="G292" s="1"/>
  <c r="F291"/>
  <c r="G291" s="1"/>
  <c r="F298"/>
  <c r="G298" s="1"/>
  <c r="F297"/>
  <c r="G297" s="1"/>
  <c r="F304"/>
  <c r="G304" s="1"/>
  <c r="F303"/>
  <c r="G303" s="1"/>
  <c r="F328"/>
  <c r="G328" s="1"/>
  <c r="F327"/>
  <c r="G327" s="1"/>
  <c r="F271"/>
  <c r="G271" s="1"/>
  <c r="F270"/>
  <c r="G270" s="1"/>
  <c r="F277"/>
  <c r="G277" s="1"/>
  <c r="F276"/>
  <c r="G276" s="1"/>
  <c r="F283"/>
  <c r="G283" s="1"/>
  <c r="F282"/>
  <c r="G282" s="1"/>
  <c r="F289"/>
  <c r="G289" s="1"/>
  <c r="F288"/>
  <c r="G288" s="1"/>
  <c r="F295"/>
  <c r="G295" s="1"/>
  <c r="F294"/>
  <c r="G294" s="1"/>
  <c r="F301"/>
  <c r="G301" s="1"/>
  <c r="F300"/>
  <c r="G300" s="1"/>
  <c r="F307"/>
  <c r="G307" s="1"/>
  <c r="F306"/>
  <c r="G306" s="1"/>
  <c r="F334"/>
  <c r="G334" s="1"/>
  <c r="F333"/>
  <c r="G333" s="1"/>
  <c r="F340"/>
  <c r="G340" s="1"/>
  <c r="F339"/>
  <c r="G339" s="1"/>
  <c r="F286"/>
  <c r="G286" s="1"/>
  <c r="F285"/>
  <c r="G285" s="1"/>
  <c r="F268"/>
  <c r="G268" s="1"/>
  <c r="F267"/>
  <c r="G267" s="1"/>
  <c r="F331"/>
  <c r="G331" s="1"/>
  <c r="F330"/>
  <c r="G330" s="1"/>
  <c r="F337"/>
  <c r="G337" s="1"/>
  <c r="F336"/>
  <c r="G336" s="1"/>
  <c r="F343"/>
  <c r="G343" s="1"/>
  <c r="F342"/>
  <c r="G342" s="1"/>
  <c r="F388"/>
  <c r="G388" s="1"/>
  <c r="F387"/>
  <c r="G387" s="1"/>
  <c r="F451"/>
  <c r="G451" s="1"/>
  <c r="F450"/>
  <c r="G450" s="1"/>
  <c r="F457"/>
  <c r="G457" s="1"/>
  <c r="F456"/>
  <c r="G456" s="1"/>
  <c r="F463"/>
  <c r="G463" s="1"/>
  <c r="F462"/>
  <c r="G462" s="1"/>
  <c r="F469"/>
  <c r="G469" s="1"/>
  <c r="F468"/>
  <c r="G468" s="1"/>
  <c r="F475"/>
  <c r="G475" s="1"/>
  <c r="F474"/>
  <c r="G474" s="1"/>
  <c r="F481"/>
  <c r="G481" s="1"/>
  <c r="F480"/>
  <c r="G480" s="1"/>
  <c r="F487"/>
  <c r="G487" s="1"/>
  <c r="F486"/>
  <c r="G486" s="1"/>
  <c r="F349"/>
  <c r="G349" s="1"/>
  <c r="F348"/>
  <c r="G348" s="1"/>
  <c r="F355"/>
  <c r="G355" s="1"/>
  <c r="F354"/>
  <c r="G354" s="1"/>
  <c r="F361"/>
  <c r="G361" s="1"/>
  <c r="F360"/>
  <c r="G360" s="1"/>
  <c r="F367"/>
  <c r="G367" s="1"/>
  <c r="F366"/>
  <c r="G366" s="1"/>
  <c r="F391"/>
  <c r="G391" s="1"/>
  <c r="F390"/>
  <c r="G390" s="1"/>
  <c r="F397"/>
  <c r="G397" s="1"/>
  <c r="F396"/>
  <c r="G396" s="1"/>
  <c r="F403"/>
  <c r="G403" s="1"/>
  <c r="F402"/>
  <c r="G402" s="1"/>
  <c r="F409"/>
  <c r="G409" s="1"/>
  <c r="F408"/>
  <c r="G408" s="1"/>
  <c r="F415"/>
  <c r="G415" s="1"/>
  <c r="F414"/>
  <c r="G414" s="1"/>
  <c r="F421"/>
  <c r="G421" s="1"/>
  <c r="F420"/>
  <c r="G420" s="1"/>
  <c r="F427"/>
  <c r="G427" s="1"/>
  <c r="F426"/>
  <c r="G426" s="1"/>
  <c r="F454"/>
  <c r="G454" s="1"/>
  <c r="F453"/>
  <c r="G453" s="1"/>
  <c r="F460"/>
  <c r="G460" s="1"/>
  <c r="F459"/>
  <c r="G459" s="1"/>
  <c r="F466"/>
  <c r="G466" s="1"/>
  <c r="F465"/>
  <c r="G465" s="1"/>
  <c r="F472"/>
  <c r="G472" s="1"/>
  <c r="F471"/>
  <c r="G471" s="1"/>
  <c r="F478"/>
  <c r="G478" s="1"/>
  <c r="F477"/>
  <c r="G477" s="1"/>
  <c r="F484"/>
  <c r="G484" s="1"/>
  <c r="F483"/>
  <c r="G483" s="1"/>
  <c r="F346"/>
  <c r="G346" s="1"/>
  <c r="F345"/>
  <c r="G345" s="1"/>
  <c r="F352"/>
  <c r="G352" s="1"/>
  <c r="F351"/>
  <c r="G351" s="1"/>
  <c r="F358"/>
  <c r="G358" s="1"/>
  <c r="F357"/>
  <c r="G357" s="1"/>
  <c r="F364"/>
  <c r="G364" s="1"/>
  <c r="F363"/>
  <c r="G363" s="1"/>
  <c r="F394"/>
  <c r="G394" s="1"/>
  <c r="F393"/>
  <c r="G393" s="1"/>
  <c r="F400"/>
  <c r="G400" s="1"/>
  <c r="F399"/>
  <c r="G399" s="1"/>
  <c r="F406"/>
  <c r="G406" s="1"/>
  <c r="F405"/>
  <c r="G405" s="1"/>
  <c r="F412"/>
  <c r="G412" s="1"/>
  <c r="F411"/>
  <c r="G411" s="1"/>
  <c r="F418"/>
  <c r="G418" s="1"/>
  <c r="F417"/>
  <c r="G417" s="1"/>
  <c r="F424"/>
  <c r="G424" s="1"/>
  <c r="F423"/>
  <c r="G423" s="1"/>
  <c r="F448"/>
  <c r="G448" s="1"/>
  <c r="F447"/>
  <c r="G447" s="1"/>
  <c r="F148"/>
  <c r="G148" s="1"/>
  <c r="F147"/>
  <c r="G147" s="1"/>
  <c r="D139" s="1"/>
  <c r="F208"/>
  <c r="G208" s="1"/>
  <c r="F207"/>
  <c r="G207" s="1"/>
  <c r="F150"/>
  <c r="G150" s="1"/>
  <c r="F153"/>
  <c r="G153" s="1"/>
  <c r="F156"/>
  <c r="G156" s="1"/>
  <c r="F159"/>
  <c r="G159" s="1"/>
  <c r="F162"/>
  <c r="G162" s="1"/>
  <c r="F165"/>
  <c r="G165" s="1"/>
  <c r="F168"/>
  <c r="G168" s="1"/>
  <c r="F171"/>
  <c r="G171" s="1"/>
  <c r="F174"/>
  <c r="G174" s="1"/>
  <c r="F177"/>
  <c r="G177" s="1"/>
  <c r="F180"/>
  <c r="G180" s="1"/>
  <c r="F183"/>
  <c r="G183" s="1"/>
  <c r="F186"/>
  <c r="G186" s="1"/>
  <c r="F210"/>
  <c r="G210" s="1"/>
  <c r="F213"/>
  <c r="G213" s="1"/>
  <c r="F216"/>
  <c r="G216" s="1"/>
  <c r="F219"/>
  <c r="G219" s="1"/>
  <c r="F222"/>
  <c r="G222" s="1"/>
  <c r="F225"/>
  <c r="G225" s="1"/>
  <c r="F228"/>
  <c r="G228" s="1"/>
  <c r="F231"/>
  <c r="G231" s="1"/>
  <c r="F234"/>
  <c r="G234" s="1"/>
  <c r="F237"/>
  <c r="G237" s="1"/>
  <c r="F240"/>
  <c r="G240" s="1"/>
  <c r="F243"/>
  <c r="G243" s="1"/>
  <c r="F246"/>
  <c r="G246" s="1"/>
  <c r="F84"/>
  <c r="G84" s="1"/>
  <c r="F85"/>
  <c r="G85" s="1"/>
  <c r="F87"/>
  <c r="G87" s="1"/>
  <c r="F90"/>
  <c r="G90" s="1"/>
  <c r="F93"/>
  <c r="G93" s="1"/>
  <c r="F96"/>
  <c r="G96" s="1"/>
  <c r="F99"/>
  <c r="G99" s="1"/>
  <c r="F102"/>
  <c r="G102" s="1"/>
  <c r="F105"/>
  <c r="G105" s="1"/>
  <c r="F108"/>
  <c r="G108" s="1"/>
  <c r="F111"/>
  <c r="G111" s="1"/>
  <c r="F114"/>
  <c r="G114" s="1"/>
  <c r="F117"/>
  <c r="G117" s="1"/>
  <c r="F120"/>
  <c r="G120" s="1"/>
  <c r="F123"/>
  <c r="G123" s="1"/>
  <c r="D181" i="7"/>
  <c r="D124"/>
  <c r="D67"/>
  <c r="G36" i="46"/>
  <c r="H36"/>
  <c r="I36"/>
  <c r="J36"/>
  <c r="K36"/>
  <c r="L36"/>
  <c r="M36"/>
  <c r="N36"/>
  <c r="O36"/>
  <c r="P36"/>
  <c r="I21" i="27" s="1"/>
  <c r="H30" i="45"/>
  <c r="I30"/>
  <c r="J30"/>
  <c r="K30"/>
  <c r="L30"/>
  <c r="M30"/>
  <c r="I10" i="27"/>
  <c r="G47" i="21"/>
  <c r="H47"/>
  <c r="I47"/>
  <c r="J47"/>
  <c r="K47"/>
  <c r="L47"/>
  <c r="M47"/>
  <c r="N47"/>
  <c r="P47"/>
  <c r="I5" i="27" s="1"/>
  <c r="O47" i="21"/>
  <c r="H74" i="22"/>
  <c r="I74"/>
  <c r="J74"/>
  <c r="K74"/>
  <c r="L74"/>
  <c r="M74"/>
  <c r="N74"/>
  <c r="O74"/>
  <c r="P74"/>
  <c r="I6" i="27" s="1"/>
  <c r="G74" i="22"/>
  <c r="D76" i="8" l="1"/>
  <c r="D499"/>
  <c r="D259"/>
  <c r="D739"/>
  <c r="D559"/>
  <c r="D919"/>
  <c r="D859"/>
  <c r="D799"/>
  <c r="D199"/>
  <c r="D439"/>
  <c r="D379"/>
  <c r="D679"/>
  <c r="D619"/>
  <c r="D319"/>
  <c r="J36" i="42" l="1"/>
  <c r="J35"/>
  <c r="J34"/>
  <c r="J33"/>
  <c r="J32"/>
  <c r="J31"/>
  <c r="J30"/>
  <c r="J29"/>
  <c r="J28"/>
  <c r="J27"/>
  <c r="J26"/>
  <c r="J25"/>
  <c r="J24"/>
  <c r="J23"/>
  <c r="J22"/>
  <c r="J21"/>
  <c r="J20"/>
  <c r="J19"/>
  <c r="J37" i="40"/>
  <c r="J36"/>
  <c r="J35"/>
  <c r="J34"/>
  <c r="J33"/>
  <c r="J32"/>
  <c r="J31"/>
  <c r="J30"/>
  <c r="J29"/>
  <c r="J28"/>
  <c r="J27"/>
  <c r="J26"/>
  <c r="J25"/>
  <c r="J24"/>
  <c r="J23"/>
  <c r="J22"/>
  <c r="J21"/>
  <c r="J20"/>
  <c r="J19"/>
  <c r="J36" i="12"/>
  <c r="J35"/>
  <c r="J34"/>
  <c r="J33"/>
  <c r="J32"/>
  <c r="J31"/>
  <c r="J30"/>
  <c r="J29"/>
  <c r="J28"/>
  <c r="J27"/>
  <c r="J26"/>
  <c r="J25"/>
  <c r="J24"/>
  <c r="J23"/>
  <c r="J22"/>
  <c r="J21"/>
  <c r="J20"/>
  <c r="J19"/>
  <c r="J18"/>
  <c r="J17"/>
  <c r="J495"/>
  <c r="J494"/>
  <c r="J493"/>
  <c r="J492"/>
  <c r="J489"/>
  <c r="J488"/>
  <c r="J487"/>
  <c r="J486"/>
  <c r="J485"/>
  <c r="J484"/>
  <c r="J483"/>
  <c r="J29" i="10"/>
  <c r="J28"/>
  <c r="J27"/>
  <c r="J26"/>
  <c r="J25"/>
  <c r="J24"/>
  <c r="J23"/>
  <c r="J22"/>
  <c r="J21"/>
  <c r="J20"/>
  <c r="J19"/>
  <c r="J25" i="9"/>
  <c r="J24"/>
  <c r="J23"/>
  <c r="J22"/>
  <c r="J21"/>
  <c r="J20"/>
  <c r="K58" i="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K128" i="8" l="1"/>
  <c r="K124"/>
  <c r="K120"/>
  <c r="K116"/>
  <c r="K112"/>
  <c r="K108"/>
  <c r="K104"/>
  <c r="K100"/>
  <c r="K96"/>
  <c r="K92"/>
  <c r="K88"/>
  <c r="K84"/>
  <c r="K127"/>
  <c r="K123"/>
  <c r="K119"/>
  <c r="K115"/>
  <c r="K111"/>
  <c r="K107"/>
  <c r="K103"/>
  <c r="K99"/>
  <c r="K95"/>
  <c r="K91"/>
  <c r="K87"/>
  <c r="K130"/>
  <c r="K126"/>
  <c r="K122"/>
  <c r="K118"/>
  <c r="K114"/>
  <c r="K110"/>
  <c r="K106"/>
  <c r="K102"/>
  <c r="K98"/>
  <c r="K94"/>
  <c r="K90"/>
  <c r="K86"/>
  <c r="K121"/>
  <c r="K105"/>
  <c r="K89"/>
  <c r="K109"/>
  <c r="K117"/>
  <c r="K101"/>
  <c r="K85"/>
  <c r="K125"/>
  <c r="K129"/>
  <c r="K113"/>
  <c r="K97"/>
  <c r="K93"/>
  <c r="P21" i="47"/>
  <c r="I12" i="27" s="1"/>
  <c r="O21" i="47"/>
  <c r="N21"/>
  <c r="M21"/>
  <c r="L21"/>
  <c r="K21"/>
  <c r="J21"/>
  <c r="I21"/>
  <c r="H21"/>
  <c r="G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D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93" i="8" l="1"/>
  <c r="K189"/>
  <c r="K185"/>
  <c r="K181"/>
  <c r="K177"/>
  <c r="K173"/>
  <c r="K169"/>
  <c r="K165"/>
  <c r="K161"/>
  <c r="K157"/>
  <c r="K153"/>
  <c r="K149"/>
  <c r="K196"/>
  <c r="K192"/>
  <c r="K188"/>
  <c r="K184"/>
  <c r="K180"/>
  <c r="K176"/>
  <c r="K172"/>
  <c r="K168"/>
  <c r="K164"/>
  <c r="K160"/>
  <c r="K156"/>
  <c r="K152"/>
  <c r="K148"/>
  <c r="K195"/>
  <c r="K191"/>
  <c r="K187"/>
  <c r="K183"/>
  <c r="K179"/>
  <c r="K175"/>
  <c r="K171"/>
  <c r="K167"/>
  <c r="K163"/>
  <c r="K159"/>
  <c r="K155"/>
  <c r="K151"/>
  <c r="K147"/>
  <c r="K182"/>
  <c r="K166"/>
  <c r="K150"/>
  <c r="K170"/>
  <c r="K194"/>
  <c r="K178"/>
  <c r="K162"/>
  <c r="K186"/>
  <c r="K190"/>
  <c r="K174"/>
  <c r="K158"/>
  <c r="K154"/>
  <c r="AM341" i="38"/>
  <c r="AQ341"/>
  <c r="AE341"/>
  <c r="AI341"/>
  <c r="F341"/>
  <c r="J341" s="1"/>
  <c r="O21" i="44"/>
  <c r="P21"/>
  <c r="I19" i="27" s="1"/>
  <c r="O27" i="23"/>
  <c r="P27"/>
  <c r="I9" i="27" s="1"/>
  <c r="O36" i="33"/>
  <c r="P36"/>
  <c r="I11" i="27" s="1"/>
  <c r="O21" i="31"/>
  <c r="P21"/>
  <c r="I20" i="27" s="1"/>
  <c r="O39" i="24"/>
  <c r="P39"/>
  <c r="I18" i="27" s="1"/>
  <c r="O43" i="30"/>
  <c r="P43"/>
  <c r="I8" i="27" s="1"/>
  <c r="O21" i="29"/>
  <c r="P21"/>
  <c r="I7" i="27" s="1"/>
  <c r="O28" i="28"/>
  <c r="K255" i="8" l="1"/>
  <c r="K251"/>
  <c r="K247"/>
  <c r="K243"/>
  <c r="K239"/>
  <c r="K235"/>
  <c r="K231"/>
  <c r="K227"/>
  <c r="K223"/>
  <c r="K219"/>
  <c r="K215"/>
  <c r="K211"/>
  <c r="K207"/>
  <c r="K254"/>
  <c r="K250"/>
  <c r="K246"/>
  <c r="K242"/>
  <c r="K238"/>
  <c r="K234"/>
  <c r="K230"/>
  <c r="K226"/>
  <c r="K222"/>
  <c r="K218"/>
  <c r="K214"/>
  <c r="K210"/>
  <c r="K253"/>
  <c r="K249"/>
  <c r="K245"/>
  <c r="K241"/>
  <c r="K237"/>
  <c r="K233"/>
  <c r="K229"/>
  <c r="K225"/>
  <c r="K221"/>
  <c r="K217"/>
  <c r="K213"/>
  <c r="K209"/>
  <c r="K256"/>
  <c r="K240"/>
  <c r="K224"/>
  <c r="K208"/>
  <c r="K212"/>
  <c r="K252"/>
  <c r="K236"/>
  <c r="K220"/>
  <c r="K244"/>
  <c r="K248"/>
  <c r="K232"/>
  <c r="K216"/>
  <c r="K228"/>
  <c r="AR341" i="38"/>
  <c r="H341"/>
  <c r="J38" i="40"/>
  <c r="K313" i="8" l="1"/>
  <c r="K309"/>
  <c r="K305"/>
  <c r="K301"/>
  <c r="K297"/>
  <c r="K293"/>
  <c r="K289"/>
  <c r="K285"/>
  <c r="K281"/>
  <c r="K277"/>
  <c r="K273"/>
  <c r="K269"/>
  <c r="K316"/>
  <c r="K312"/>
  <c r="K308"/>
  <c r="K304"/>
  <c r="K300"/>
  <c r="K296"/>
  <c r="K292"/>
  <c r="K288"/>
  <c r="K284"/>
  <c r="K280"/>
  <c r="K276"/>
  <c r="K272"/>
  <c r="K268"/>
  <c r="K315"/>
  <c r="K311"/>
  <c r="K307"/>
  <c r="K303"/>
  <c r="K299"/>
  <c r="K295"/>
  <c r="K291"/>
  <c r="K287"/>
  <c r="K283"/>
  <c r="K279"/>
  <c r="K275"/>
  <c r="K271"/>
  <c r="K267"/>
  <c r="K314"/>
  <c r="K298"/>
  <c r="K282"/>
  <c r="K286"/>
  <c r="K270"/>
  <c r="K310"/>
  <c r="K294"/>
  <c r="K278"/>
  <c r="K306"/>
  <c r="K290"/>
  <c r="K274"/>
  <c r="K302"/>
  <c r="N39" i="24"/>
  <c r="M39"/>
  <c r="L39"/>
  <c r="K39"/>
  <c r="J39"/>
  <c r="I39"/>
  <c r="H39"/>
  <c r="G39"/>
  <c r="K375" i="8" l="1"/>
  <c r="K371"/>
  <c r="K367"/>
  <c r="K363"/>
  <c r="K359"/>
  <c r="K355"/>
  <c r="K351"/>
  <c r="K347"/>
  <c r="K343"/>
  <c r="K339"/>
  <c r="K335"/>
  <c r="K331"/>
  <c r="K327"/>
  <c r="K376"/>
  <c r="K364"/>
  <c r="K352"/>
  <c r="K344"/>
  <c r="K374"/>
  <c r="K370"/>
  <c r="K366"/>
  <c r="K362"/>
  <c r="K358"/>
  <c r="K354"/>
  <c r="K350"/>
  <c r="K346"/>
  <c r="K342"/>
  <c r="K338"/>
  <c r="K334"/>
  <c r="K330"/>
  <c r="K368"/>
  <c r="K360"/>
  <c r="K348"/>
  <c r="K373"/>
  <c r="K369"/>
  <c r="K365"/>
  <c r="K361"/>
  <c r="K357"/>
  <c r="K353"/>
  <c r="K349"/>
  <c r="K345"/>
  <c r="K341"/>
  <c r="K337"/>
  <c r="K333"/>
  <c r="K329"/>
  <c r="K372"/>
  <c r="K356"/>
  <c r="K340"/>
  <c r="K336"/>
  <c r="K328"/>
  <c r="K332"/>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O201"/>
  <c r="AN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O53"/>
  <c r="AN53"/>
  <c r="AL53"/>
  <c r="AK53"/>
  <c r="AJ53"/>
  <c r="AH53"/>
  <c r="AG53"/>
  <c r="AF53"/>
  <c r="AD53"/>
  <c r="AC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33" i="8" l="1"/>
  <c r="K429"/>
  <c r="K425"/>
  <c r="K421"/>
  <c r="K417"/>
  <c r="K413"/>
  <c r="K409"/>
  <c r="K405"/>
  <c r="K401"/>
  <c r="K397"/>
  <c r="K393"/>
  <c r="K389"/>
  <c r="K430"/>
  <c r="K414"/>
  <c r="K398"/>
  <c r="K436"/>
  <c r="K432"/>
  <c r="K428"/>
  <c r="K424"/>
  <c r="K420"/>
  <c r="K416"/>
  <c r="K412"/>
  <c r="K408"/>
  <c r="K404"/>
  <c r="K400"/>
  <c r="K396"/>
  <c r="K392"/>
  <c r="K388"/>
  <c r="K434"/>
  <c r="K422"/>
  <c r="K418"/>
  <c r="K406"/>
  <c r="K402"/>
  <c r="K390"/>
  <c r="K435"/>
  <c r="K431"/>
  <c r="K427"/>
  <c r="K423"/>
  <c r="K419"/>
  <c r="K415"/>
  <c r="K411"/>
  <c r="K407"/>
  <c r="K403"/>
  <c r="K399"/>
  <c r="K395"/>
  <c r="K391"/>
  <c r="K387"/>
  <c r="K426"/>
  <c r="K410"/>
  <c r="K394"/>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4"/>
  <c r="F193"/>
  <c r="J193" s="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AI53"/>
  <c r="AE61"/>
  <c r="AQ61"/>
  <c r="F50"/>
  <c r="H50" s="1"/>
  <c r="AI52"/>
  <c r="AE52"/>
  <c r="AQ52"/>
  <c r="F48"/>
  <c r="J48" s="1"/>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B224"/>
  <c r="E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H174" l="1"/>
  <c r="H379"/>
  <c r="AR184"/>
  <c r="H60"/>
  <c r="F383"/>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H80"/>
  <c r="AR79"/>
  <c r="AR78"/>
  <c r="H87"/>
  <c r="H81"/>
  <c r="H72"/>
  <c r="AR80"/>
  <c r="AR74"/>
  <c r="AG47"/>
  <c r="AL47"/>
  <c r="H82"/>
  <c r="AR81"/>
  <c r="H74"/>
  <c r="AR73"/>
  <c r="AR82"/>
  <c r="H64"/>
  <c r="AO47"/>
  <c r="H70"/>
  <c r="AC47"/>
  <c r="AN47"/>
  <c r="AR72"/>
  <c r="H63"/>
  <c r="J71"/>
  <c r="AR63"/>
  <c r="AR65"/>
  <c r="H67"/>
  <c r="H55"/>
  <c r="H66"/>
  <c r="AR66"/>
  <c r="J68"/>
  <c r="AR68"/>
  <c r="AR70"/>
  <c r="AR67"/>
  <c r="AR55"/>
  <c r="AR71"/>
  <c r="H56"/>
  <c r="H48"/>
  <c r="AR58"/>
  <c r="AR57"/>
  <c r="AR56"/>
  <c r="H61"/>
  <c r="H57"/>
  <c r="H58"/>
  <c r="H52"/>
  <c r="AR61"/>
  <c r="H49"/>
  <c r="H59"/>
  <c r="AR60"/>
  <c r="AR59"/>
  <c r="J50"/>
  <c r="AR52"/>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AR22"/>
  <c r="AD389"/>
  <c r="AK199"/>
  <c r="AK190" s="1"/>
  <c r="AG267"/>
  <c r="AJ312"/>
  <c r="AG345"/>
  <c r="AJ389"/>
  <c r="H23"/>
  <c r="AM191"/>
  <c r="AR19"/>
  <c r="AR20"/>
  <c r="AB199"/>
  <c r="AB190" s="1"/>
  <c r="AN223"/>
  <c r="AJ243"/>
  <c r="AF312"/>
  <c r="H17"/>
  <c r="AO223"/>
  <c r="AB133"/>
  <c r="D89"/>
  <c r="AF89"/>
  <c r="AB267"/>
  <c r="AJ328"/>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5"/>
  <c r="J165" s="1"/>
  <c r="F200"/>
  <c r="H200" s="1"/>
  <c r="AM206"/>
  <c r="AH243"/>
  <c r="F268"/>
  <c r="H268" s="1"/>
  <c r="AH267"/>
  <c r="F313"/>
  <c r="J313" s="1"/>
  <c r="F390"/>
  <c r="H390" s="1"/>
  <c r="AI390"/>
  <c r="AE330"/>
  <c r="F335"/>
  <c r="F403"/>
  <c r="J403" s="1"/>
  <c r="F542"/>
  <c r="J542" s="1"/>
  <c r="AK89"/>
  <c r="AE107"/>
  <c r="AE62"/>
  <c r="AE85"/>
  <c r="F88"/>
  <c r="J88" s="1"/>
  <c r="AI88"/>
  <c r="AH89"/>
  <c r="AN89"/>
  <c r="AG89"/>
  <c r="AM119"/>
  <c r="AK133"/>
  <c r="AO149"/>
  <c r="AI162"/>
  <c r="AI165"/>
  <c r="AE213"/>
  <c r="AI221"/>
  <c r="AI313"/>
  <c r="AI234"/>
  <c r="AH328"/>
  <c r="AE339"/>
  <c r="AI346"/>
  <c r="AI338"/>
  <c r="AQ344"/>
  <c r="AF398"/>
  <c r="AF397" s="1"/>
  <c r="F457"/>
  <c r="H457" s="1"/>
  <c r="AQ528"/>
  <c r="AO527"/>
  <c r="AQ214"/>
  <c r="AQ85"/>
  <c r="E96"/>
  <c r="AM85"/>
  <c r="AQ4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I206"/>
  <c r="AI224"/>
  <c r="E223"/>
  <c r="AE395"/>
  <c r="AC389"/>
  <c r="AM335"/>
  <c r="F46"/>
  <c r="H46" s="1"/>
  <c r="AI51"/>
  <c r="AM62"/>
  <c r="AQ36"/>
  <c r="AG149"/>
  <c r="E118"/>
  <c r="AQ28"/>
  <c r="AQ46"/>
  <c r="AE51"/>
  <c r="F85"/>
  <c r="J85" s="1"/>
  <c r="AQ88"/>
  <c r="E89"/>
  <c r="AP89"/>
  <c r="AO89"/>
  <c r="AP96"/>
  <c r="AM36"/>
  <c r="AI44"/>
  <c r="AJ118"/>
  <c r="AN118"/>
  <c r="AD118"/>
  <c r="AC118"/>
  <c r="AQ132"/>
  <c r="AQ134"/>
  <c r="AM148"/>
  <c r="AO133"/>
  <c r="AQ150"/>
  <c r="AE163"/>
  <c r="E164"/>
  <c r="AB164"/>
  <c r="AF164"/>
  <c r="AQ213"/>
  <c r="F221"/>
  <c r="J221" s="1"/>
  <c r="AE221"/>
  <c r="AI214"/>
  <c r="AI198"/>
  <c r="AH199"/>
  <c r="AH190" s="1"/>
  <c r="E199"/>
  <c r="E190" s="1"/>
  <c r="AE206"/>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E526"/>
  <c r="AR485"/>
  <c r="J330"/>
  <c r="J268"/>
  <c r="H150"/>
  <c r="F83"/>
  <c r="H83" s="1"/>
  <c r="AM312"/>
  <c r="H458"/>
  <c r="J103"/>
  <c r="AI267"/>
  <c r="H134"/>
  <c r="H221"/>
  <c r="J46"/>
  <c r="F89"/>
  <c r="J89" s="1"/>
  <c r="J390"/>
  <c r="AQ500"/>
  <c r="H395"/>
  <c r="J329"/>
  <c r="AM83"/>
  <c r="F96"/>
  <c r="H96" s="1"/>
  <c r="AE133"/>
  <c r="J457"/>
  <c r="H542"/>
  <c r="H541" s="1"/>
  <c r="AE118"/>
  <c r="AR36"/>
  <c r="J131"/>
  <c r="F214"/>
  <c r="H214" s="1"/>
  <c r="J260"/>
  <c r="AM118"/>
  <c r="H85"/>
  <c r="AI527"/>
  <c r="AI118"/>
  <c r="AQ389"/>
  <c r="J90"/>
  <c r="AR117"/>
  <c r="H466"/>
  <c r="J528"/>
  <c r="AO12"/>
  <c r="AL12"/>
  <c r="H163"/>
  <c r="H338"/>
  <c r="AM267"/>
  <c r="AI199"/>
  <c r="AR191"/>
  <c r="AP222"/>
  <c r="AI164"/>
  <c r="AQ164"/>
  <c r="AE527"/>
  <c r="AM527"/>
  <c r="H165"/>
  <c r="AI312"/>
  <c r="AR338"/>
  <c r="AO222"/>
  <c r="AR206"/>
  <c r="AQ96"/>
  <c r="AE96"/>
  <c r="AF327"/>
  <c r="AK12"/>
  <c r="AM133"/>
  <c r="AR260"/>
  <c r="AO106"/>
  <c r="AK327"/>
  <c r="AQ118"/>
  <c r="AI509"/>
  <c r="AR509" s="1"/>
  <c r="AR119"/>
  <c r="AR207"/>
  <c r="AQ83"/>
  <c r="AQ223"/>
  <c r="AI345"/>
  <c r="H191"/>
  <c r="F389"/>
  <c r="J389" s="1"/>
  <c r="AQ243"/>
  <c r="AK222"/>
  <c r="AI389"/>
  <c r="AI398"/>
  <c r="AG499"/>
  <c r="AI499" s="1"/>
  <c r="AM243"/>
  <c r="H44"/>
  <c r="AH106"/>
  <c r="AR488"/>
  <c r="F312"/>
  <c r="H312" s="1"/>
  <c r="AQ267"/>
  <c r="AG222"/>
  <c r="AR467"/>
  <c r="AE389"/>
  <c r="AR132"/>
  <c r="AE89"/>
  <c r="AQ527"/>
  <c r="AR346"/>
  <c r="AI83"/>
  <c r="AR390"/>
  <c r="AK106"/>
  <c r="AR150"/>
  <c r="AE83"/>
  <c r="AI133"/>
  <c r="AJ222"/>
  <c r="AQ312"/>
  <c r="J36"/>
  <c r="AR313"/>
  <c r="AM500"/>
  <c r="H119"/>
  <c r="H198"/>
  <c r="J339"/>
  <c r="H399"/>
  <c r="AO526"/>
  <c r="AQ526" s="1"/>
  <c r="AM328"/>
  <c r="F133"/>
  <c r="H133" s="1"/>
  <c r="AQ133"/>
  <c r="H346"/>
  <c r="AR344"/>
  <c r="AR339"/>
  <c r="AR213"/>
  <c r="AR163"/>
  <c r="AM89"/>
  <c r="AI89"/>
  <c r="AR268"/>
  <c r="AR399"/>
  <c r="AG106"/>
  <c r="AL222"/>
  <c r="AO397"/>
  <c r="AQ149"/>
  <c r="AR85"/>
  <c r="AE267"/>
  <c r="AQ398"/>
  <c r="AR489"/>
  <c r="AR88"/>
  <c r="AM164"/>
  <c r="AR330"/>
  <c r="AI243"/>
  <c r="AR165"/>
  <c r="AM149"/>
  <c r="AD106"/>
  <c r="F118"/>
  <c r="J118" s="1"/>
  <c r="J383"/>
  <c r="AN222"/>
  <c r="AH327"/>
  <c r="E397"/>
  <c r="AG12"/>
  <c r="H62"/>
  <c r="AR103"/>
  <c r="AR131"/>
  <c r="H132"/>
  <c r="H234"/>
  <c r="AP397"/>
  <c r="AR403"/>
  <c r="AR528"/>
  <c r="AR466"/>
  <c r="AR221"/>
  <c r="AQ89"/>
  <c r="AM96"/>
  <c r="J335"/>
  <c r="H335"/>
  <c r="AE500"/>
  <c r="AR62"/>
  <c r="AI96"/>
  <c r="AR214"/>
  <c r="J200"/>
  <c r="AR457"/>
  <c r="H403"/>
  <c r="H501"/>
  <c r="AR542"/>
  <c r="AQ328"/>
  <c r="AR148"/>
  <c r="AR541"/>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E106"/>
  <c r="AN106"/>
  <c r="AI149"/>
  <c r="AR134"/>
  <c r="J148"/>
  <c r="H148"/>
  <c r="AI107"/>
  <c r="AR107" s="1"/>
  <c r="J117"/>
  <c r="H117"/>
  <c r="AR90"/>
  <c r="H51"/>
  <c r="J51"/>
  <c r="J207"/>
  <c r="H207"/>
  <c r="J485"/>
  <c r="H485"/>
  <c r="J467"/>
  <c r="H467"/>
  <c r="D499"/>
  <c r="F499" s="1"/>
  <c r="F500"/>
  <c r="J489"/>
  <c r="H489"/>
  <c r="F267"/>
  <c r="AN12"/>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D327"/>
  <c r="AJ106"/>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I327"/>
  <c r="AR267"/>
  <c r="AR527"/>
  <c r="AR500"/>
  <c r="J133"/>
  <c r="AM222"/>
  <c r="AR89"/>
  <c r="AR133"/>
  <c r="AR83"/>
  <c r="H389"/>
  <c r="AR389"/>
  <c r="J312"/>
  <c r="AQ397"/>
  <c r="H118"/>
  <c r="AR96"/>
  <c r="AR526"/>
  <c r="AR499"/>
  <c r="J328"/>
  <c r="H328"/>
  <c r="H499"/>
  <c r="J499"/>
  <c r="H527"/>
  <c r="J527"/>
  <c r="J267"/>
  <c r="H26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G17" i="8"/>
  <c r="E15" i="38" s="1"/>
  <c r="F15" s="1"/>
  <c r="G56" i="8"/>
  <c r="F57" s="1"/>
  <c r="D56" i="27"/>
  <c r="F61" i="8" l="1"/>
  <c r="G61" s="1"/>
  <c r="J15" i="38"/>
  <c r="H15"/>
  <c r="AB15"/>
  <c r="D55" i="27"/>
  <c r="D54"/>
  <c r="AD64" i="38"/>
  <c r="AD47" s="1"/>
  <c r="D53" i="27"/>
  <c r="AD15" i="38"/>
  <c r="D14"/>
  <c r="AB14"/>
  <c r="K26" i="7"/>
  <c r="AJ54" i="38" l="1"/>
  <c r="AM54" s="1"/>
  <c r="E54"/>
  <c r="F54" s="1"/>
  <c r="AH54"/>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482" i="12"/>
  <c r="AH47" i="38" l="1"/>
  <c r="AI54"/>
  <c r="AR54" s="1"/>
  <c r="J54"/>
  <c r="H54"/>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AI47" l="1"/>
  <c r="AH12"/>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M398"/>
  <c r="AE404"/>
  <c r="AR404" s="1"/>
  <c r="AB398"/>
  <c r="F404"/>
  <c r="D398"/>
  <c r="D5" i="43"/>
  <c r="C11" i="27" s="1"/>
  <c r="H32" i="38"/>
  <c r="J32"/>
  <c r="K18" i="8"/>
  <c r="Z28" i="38" s="1"/>
  <c r="F26" i="7"/>
  <c r="AI12" i="38" l="1"/>
  <c r="AH566"/>
  <c r="Y89"/>
  <c r="Z485"/>
  <c r="Y191"/>
  <c r="Z383"/>
  <c r="Y260"/>
  <c r="Y383"/>
  <c r="Y83"/>
  <c r="Y96"/>
  <c r="Y207"/>
  <c r="Z223"/>
  <c r="Y199"/>
  <c r="Y389"/>
  <c r="Y107"/>
  <c r="Z243"/>
  <c r="Y489"/>
  <c r="Y459"/>
  <c r="Y133"/>
  <c r="Y214"/>
  <c r="Y398"/>
  <c r="Y223"/>
  <c r="Y500"/>
  <c r="Y485"/>
  <c r="Y467"/>
  <c r="Y328"/>
  <c r="Y560"/>
  <c r="Y235"/>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P28" i="28"/>
  <c r="I4" i="27" s="1"/>
  <c r="I14" s="1"/>
  <c r="G26" i="7"/>
  <c r="Y190" i="38" l="1"/>
  <c r="Z499"/>
  <c r="Y526"/>
  <c r="Y327"/>
  <c r="Y397"/>
  <c r="Y222"/>
  <c r="Y499"/>
  <c r="Z12"/>
  <c r="Z526"/>
  <c r="Z327"/>
  <c r="Z397"/>
  <c r="Z222"/>
  <c r="Z190"/>
  <c r="Z106" s="1"/>
  <c r="H397"/>
  <c r="J397"/>
  <c r="H398"/>
  <c r="J398"/>
  <c r="AR397"/>
  <c r="J25" i="7"/>
  <c r="G25"/>
  <c r="Z566" i="38" l="1"/>
  <c r="I30" i="10"/>
  <c r="I29"/>
  <c r="I28"/>
  <c r="I27"/>
  <c r="I26"/>
  <c r="I25"/>
  <c r="I24"/>
  <c r="I23"/>
  <c r="I22"/>
  <c r="I21"/>
  <c r="I20"/>
  <c r="I19"/>
  <c r="I18"/>
  <c r="I36" i="12"/>
  <c r="I35"/>
  <c r="I34"/>
  <c r="I33"/>
  <c r="I32"/>
  <c r="I31"/>
  <c r="I30"/>
  <c r="I29"/>
  <c r="I28"/>
  <c r="I27"/>
  <c r="I26"/>
  <c r="I25"/>
  <c r="I24"/>
  <c r="I23"/>
  <c r="I22"/>
  <c r="I21"/>
  <c r="I20"/>
  <c r="I19"/>
  <c r="I18"/>
  <c r="I17"/>
  <c r="I495"/>
  <c r="I494"/>
  <c r="I490"/>
  <c r="I489"/>
  <c r="I483"/>
  <c r="I482"/>
  <c r="I17" i="10"/>
  <c r="I17" i="9"/>
  <c r="I26"/>
  <c r="I25"/>
  <c r="I24"/>
  <c r="I23"/>
  <c r="I22"/>
  <c r="I21"/>
  <c r="I20"/>
  <c r="I19"/>
  <c r="I18"/>
  <c r="C86" i="27"/>
  <c r="C79"/>
  <c r="C78"/>
  <c r="C77"/>
  <c r="C76"/>
  <c r="C75"/>
  <c r="C74"/>
  <c r="C73"/>
  <c r="C72"/>
  <c r="C71"/>
  <c r="C70"/>
  <c r="C69"/>
  <c r="J60" i="8"/>
  <c r="J58"/>
  <c r="J57"/>
  <c r="J56"/>
  <c r="J19"/>
  <c r="J18"/>
  <c r="J17"/>
  <c r="G57"/>
  <c r="AD28" i="38" s="1"/>
  <c r="C56" i="27"/>
  <c r="C55"/>
  <c r="C54"/>
  <c r="G17" i="7"/>
  <c r="E18"/>
  <c r="G18" s="1"/>
  <c r="J18"/>
  <c r="E19"/>
  <c r="G19" s="1"/>
  <c r="J19"/>
  <c r="G20"/>
  <c r="J20"/>
  <c r="G21"/>
  <c r="D248" i="38" s="1"/>
  <c r="J21" i="7"/>
  <c r="E22"/>
  <c r="G22" s="1"/>
  <c r="J22"/>
  <c r="E23"/>
  <c r="G23" s="1"/>
  <c r="J23"/>
  <c r="E24"/>
  <c r="G24" s="1"/>
  <c r="J24"/>
  <c r="J26"/>
  <c r="F248" i="38" l="1"/>
  <c r="D243"/>
  <c r="AC248"/>
  <c r="AE248" s="1"/>
  <c r="AR248" s="1"/>
  <c r="AB158"/>
  <c r="AE158" s="1"/>
  <c r="AR158" s="1"/>
  <c r="D158"/>
  <c r="AC315"/>
  <c r="AF565"/>
  <c r="AI565" s="1"/>
  <c r="AF225"/>
  <c r="E561"/>
  <c r="E560" s="1"/>
  <c r="AB69"/>
  <c r="AB561"/>
  <c r="D561"/>
  <c r="D560" s="1"/>
  <c r="AC565"/>
  <c r="C103" i="27"/>
  <c r="F58" i="8"/>
  <c r="G58" s="1"/>
  <c r="C57" i="27"/>
  <c r="D10" i="7"/>
  <c r="D5" s="1"/>
  <c r="C4" i="27" s="1"/>
  <c r="F243" i="38" l="1"/>
  <c r="J248"/>
  <c r="H248"/>
  <c r="AF560"/>
  <c r="AC243"/>
  <c r="AE243" s="1"/>
  <c r="AR243" s="1"/>
  <c r="F158"/>
  <c r="AI225"/>
  <c r="AR225" s="1"/>
  <c r="AF223"/>
  <c r="AE315"/>
  <c r="AR315" s="1"/>
  <c r="AC312"/>
  <c r="F69"/>
  <c r="AE69"/>
  <c r="AR69" s="1"/>
  <c r="F561"/>
  <c r="AE561"/>
  <c r="AR561" s="1"/>
  <c r="AB560"/>
  <c r="AC560"/>
  <c r="AE565"/>
  <c r="AR565" s="1"/>
  <c r="N29" i="34"/>
  <c r="M29"/>
  <c r="L29"/>
  <c r="K29"/>
  <c r="J29"/>
  <c r="I29"/>
  <c r="H29"/>
  <c r="G29"/>
  <c r="P29"/>
  <c r="N21" i="31"/>
  <c r="M21"/>
  <c r="L21"/>
  <c r="K21"/>
  <c r="J21"/>
  <c r="I21"/>
  <c r="H21"/>
  <c r="G21"/>
  <c r="F36" i="12"/>
  <c r="F35"/>
  <c r="F34"/>
  <c r="F33"/>
  <c r="F32"/>
  <c r="F31"/>
  <c r="F30"/>
  <c r="F29"/>
  <c r="F28"/>
  <c r="F27"/>
  <c r="F26"/>
  <c r="F25"/>
  <c r="F24"/>
  <c r="F23"/>
  <c r="F22"/>
  <c r="F21"/>
  <c r="F20"/>
  <c r="F19"/>
  <c r="F18"/>
  <c r="F17"/>
  <c r="F490"/>
  <c r="F489"/>
  <c r="F488"/>
  <c r="AC201" i="38" s="1"/>
  <c r="F486" i="12"/>
  <c r="AL201" i="38" s="1"/>
  <c r="F485" i="12"/>
  <c r="F484"/>
  <c r="F483"/>
  <c r="F481"/>
  <c r="F30" i="10"/>
  <c r="F29"/>
  <c r="F28"/>
  <c r="D100" i="27" s="1"/>
  <c r="F27" i="10"/>
  <c r="F26"/>
  <c r="D98" i="27" s="1"/>
  <c r="F25" i="10"/>
  <c r="F24"/>
  <c r="F23"/>
  <c r="D95" i="27" s="1"/>
  <c r="F22" i="10"/>
  <c r="D94" i="27" s="1"/>
  <c r="F21" i="10"/>
  <c r="D93" i="27" s="1"/>
  <c r="F20" i="10"/>
  <c r="F19"/>
  <c r="AL366" i="38"/>
  <c r="F17" i="10"/>
  <c r="E366" i="38" s="1"/>
  <c r="F26" i="9"/>
  <c r="F25"/>
  <c r="F24"/>
  <c r="F23"/>
  <c r="F22"/>
  <c r="D74" i="27" s="1"/>
  <c r="F21" i="9"/>
  <c r="D73" i="27" s="1"/>
  <c r="F20" i="9"/>
  <c r="F19"/>
  <c r="AN348" i="38" s="1"/>
  <c r="AN345" s="1"/>
  <c r="AN327" s="1"/>
  <c r="AN566" s="1"/>
  <c r="F18" i="9"/>
  <c r="F17"/>
  <c r="AB28" i="38"/>
  <c r="AJ64"/>
  <c r="T10" i="4"/>
  <c r="T31" s="1"/>
  <c r="D474" i="12" l="1"/>
  <c r="D162" i="38"/>
  <c r="AC162"/>
  <c r="AC149" s="1"/>
  <c r="D224"/>
  <c r="AC224"/>
  <c r="D171"/>
  <c r="AC171"/>
  <c r="D201"/>
  <c r="D199" s="1"/>
  <c r="AM366"/>
  <c r="AL345"/>
  <c r="AL327" s="1"/>
  <c r="AE201"/>
  <c r="AC199"/>
  <c r="AM201"/>
  <c r="AL199"/>
  <c r="AP201"/>
  <c r="AQ201" s="1"/>
  <c r="I22" i="27"/>
  <c r="I25" s="1"/>
  <c r="I27" s="1"/>
  <c r="Y162" i="38"/>
  <c r="Y149" s="1"/>
  <c r="Y106" s="1"/>
  <c r="J243"/>
  <c r="H243"/>
  <c r="AD317"/>
  <c r="AE317" s="1"/>
  <c r="AR317" s="1"/>
  <c r="D99" i="27"/>
  <c r="AP348" i="38"/>
  <c r="AQ348" s="1"/>
  <c r="E348"/>
  <c r="F348" s="1"/>
  <c r="F366"/>
  <c r="AB366"/>
  <c r="O29" i="34"/>
  <c r="H158" i="3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M64"/>
  <c r="AJ47"/>
  <c r="AF222"/>
  <c r="AF566" s="1"/>
  <c r="AI223"/>
  <c r="J69"/>
  <c r="H69"/>
  <c r="J561"/>
  <c r="H561"/>
  <c r="D69" i="27"/>
  <c r="AP45" i="38"/>
  <c r="F45"/>
  <c r="D72" i="27"/>
  <c r="AD14" i="38"/>
  <c r="E14"/>
  <c r="F14" s="1"/>
  <c r="D89" i="27"/>
  <c r="AB27" i="38"/>
  <c r="AE27" s="1"/>
  <c r="AR27" s="1"/>
  <c r="F27"/>
  <c r="AB21"/>
  <c r="D13"/>
  <c r="D5" i="12"/>
  <c r="C8" i="27" s="1"/>
  <c r="D10" i="9"/>
  <c r="G60" i="8"/>
  <c r="AB29" i="38"/>
  <c r="D10" i="10"/>
  <c r="D5" s="1"/>
  <c r="C7" i="27" s="1"/>
  <c r="AE162" i="38" l="1"/>
  <c r="AR162" s="1"/>
  <c r="AE224"/>
  <c r="AR224" s="1"/>
  <c r="AC223"/>
  <c r="D223"/>
  <c r="F224"/>
  <c r="AE171"/>
  <c r="AR171" s="1"/>
  <c r="AC164"/>
  <c r="AE164" s="1"/>
  <c r="AR164" s="1"/>
  <c r="F171"/>
  <c r="D164"/>
  <c r="F164" s="1"/>
  <c r="F162"/>
  <c r="D149"/>
  <c r="F149" s="1"/>
  <c r="H149" s="1"/>
  <c r="F201"/>
  <c r="J201" s="1"/>
  <c r="AR201"/>
  <c r="AB53"/>
  <c r="AE53" s="1"/>
  <c r="E53"/>
  <c r="AP53"/>
  <c r="D190"/>
  <c r="F199"/>
  <c r="AC190"/>
  <c r="AE199"/>
  <c r="AL190"/>
  <c r="AM199"/>
  <c r="AP199"/>
  <c r="AP190" s="1"/>
  <c r="AD312"/>
  <c r="AD222" s="1"/>
  <c r="AB64"/>
  <c r="AE64" s="1"/>
  <c r="AR64" s="1"/>
  <c r="Y64"/>
  <c r="Y47" s="1"/>
  <c r="AP345"/>
  <c r="AP327" s="1"/>
  <c r="E345"/>
  <c r="E327" s="1"/>
  <c r="F327" s="1"/>
  <c r="J348"/>
  <c r="H348"/>
  <c r="J366"/>
  <c r="H366"/>
  <c r="D12"/>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J149" l="1"/>
  <c r="J171"/>
  <c r="H171"/>
  <c r="F223"/>
  <c r="D222"/>
  <c r="F222" s="1"/>
  <c r="AE223"/>
  <c r="AR223" s="1"/>
  <c r="AC222"/>
  <c r="J162"/>
  <c r="H162"/>
  <c r="J164"/>
  <c r="H164"/>
  <c r="H224"/>
  <c r="J224"/>
  <c r="H201"/>
  <c r="AQ53"/>
  <c r="AR53" s="1"/>
  <c r="AP47"/>
  <c r="AQ47" s="1"/>
  <c r="F53"/>
  <c r="E47"/>
  <c r="F47" s="1"/>
  <c r="H47" s="1"/>
  <c r="J199"/>
  <c r="H199"/>
  <c r="F190"/>
  <c r="D106"/>
  <c r="F106" s="1"/>
  <c r="AE190"/>
  <c r="AC106"/>
  <c r="AM190"/>
  <c r="AL106"/>
  <c r="AQ199"/>
  <c r="AR199" s="1"/>
  <c r="AP106"/>
  <c r="AQ106" s="1"/>
  <c r="AQ190"/>
  <c r="AB47"/>
  <c r="AE47" s="1"/>
  <c r="F345"/>
  <c r="J345" s="1"/>
  <c r="H327"/>
  <c r="J327"/>
  <c r="AE327"/>
  <c r="AB222"/>
  <c r="AE312"/>
  <c r="AR312" s="1"/>
  <c r="AO327"/>
  <c r="AO566" s="1"/>
  <c r="AQ345"/>
  <c r="AM345"/>
  <c r="AJ327"/>
  <c r="AM327" s="1"/>
  <c r="AE345"/>
  <c r="AR350"/>
  <c r="AB106"/>
  <c r="AM12"/>
  <c r="AQ13"/>
  <c r="AE222" l="1"/>
  <c r="AR222" s="1"/>
  <c r="J222"/>
  <c r="H222"/>
  <c r="J223"/>
  <c r="H223"/>
  <c r="AR47"/>
  <c r="AP12"/>
  <c r="AQ12" s="1"/>
  <c r="J53"/>
  <c r="J47" s="1"/>
  <c r="H53"/>
  <c r="J106"/>
  <c r="H106"/>
  <c r="J190"/>
  <c r="H190"/>
  <c r="D566"/>
  <c r="F8" i="27" s="1"/>
  <c r="AR190" i="38"/>
  <c r="AE106"/>
  <c r="AM106"/>
  <c r="AL566"/>
  <c r="AB12"/>
  <c r="AB566" s="1"/>
  <c r="H345"/>
  <c r="AJ566"/>
  <c r="AR345"/>
  <c r="AQ327"/>
  <c r="AR327" s="1"/>
  <c r="D5" i="9"/>
  <c r="C6" i="27" s="1"/>
  <c r="C80"/>
  <c r="AP566" i="38" l="1"/>
  <c r="AR106"/>
  <c r="D40" i="27"/>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X542"/>
  <c r="X541" s="1"/>
  <c r="S542"/>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Q192"/>
  <c r="Q191" s="1"/>
  <c r="N501"/>
  <c r="X501"/>
  <c r="X500" s="1"/>
  <c r="R224"/>
  <c r="U329"/>
  <c r="R346"/>
  <c r="R501"/>
  <c r="L224"/>
  <c r="W192"/>
  <c r="W191" s="1"/>
  <c r="AA329"/>
  <c r="R399"/>
  <c r="M399"/>
  <c r="N399"/>
  <c r="U50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S541" l="1"/>
  <c r="U500"/>
  <c r="R541"/>
  <c r="R526" s="1"/>
  <c r="W190"/>
  <c r="T190"/>
  <c r="AA541"/>
  <c r="S527"/>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S526" l="1"/>
  <c r="U499"/>
  <c r="AA526"/>
  <c r="S190"/>
  <c r="S106" s="1"/>
  <c r="V190"/>
  <c r="V106" s="1"/>
  <c r="R190"/>
  <c r="R106" s="1"/>
  <c r="M190"/>
  <c r="M106" s="1"/>
  <c r="N190"/>
  <c r="N106" s="1"/>
  <c r="L190"/>
  <c r="L106" s="1"/>
  <c r="O190"/>
  <c r="O106" s="1"/>
  <c r="X190"/>
  <c r="X106" s="1"/>
  <c r="K190"/>
  <c r="K106" s="1"/>
  <c r="AA190"/>
  <c r="AA106" s="1"/>
  <c r="M499"/>
  <c r="O499"/>
  <c r="AA499"/>
  <c r="R499"/>
  <c r="V499"/>
  <c r="N499"/>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 r="G30" i="45"/>
  <c r="O25"/>
  <c r="O30" s="1"/>
  <c r="N30" l="1"/>
</calcChain>
</file>

<file path=xl/comments1.xml><?xml version="1.0" encoding="utf-8"?>
<comments xmlns="http://schemas.openxmlformats.org/spreadsheetml/2006/main">
  <authors>
    <author>Relaciones Publicas</author>
  </authors>
  <commentList>
    <comment ref="F25" authorId="0">
      <text>
        <r>
          <rPr>
            <b/>
            <sz val="18"/>
            <color indexed="81"/>
            <rFont val="Tahoma"/>
            <family val="2"/>
          </rPr>
          <t>GESTION DEL TALENTO HUMANO</t>
        </r>
      </text>
    </comment>
    <comment ref="F27" authorId="0">
      <text>
        <r>
          <rPr>
            <b/>
            <sz val="9"/>
            <color indexed="81"/>
            <rFont val="Tahoma"/>
            <family val="2"/>
          </rPr>
          <t xml:space="preserve">GESTION ADMINISTRATIVA </t>
        </r>
      </text>
    </comment>
  </commentList>
</comments>
</file>

<file path=xl/sharedStrings.xml><?xml version="1.0" encoding="utf-8"?>
<sst xmlns="http://schemas.openxmlformats.org/spreadsheetml/2006/main" count="14159" uniqueCount="1716">
  <si>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</si>
  <si>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</si>
  <si>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</si>
  <si>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</si>
  <si>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</si>
  <si>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</si>
  <si>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</si>
  <si>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</si>
  <si>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</si>
  <si>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</si>
  <si>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</si>
  <si>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</si>
  <si>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</si>
  <si>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</si>
  <si>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</si>
  <si>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</si>
  <si>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</si>
  <si>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</si>
  <si>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</si>
  <si>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</si>
  <si>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</si>
  <si>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</si>
  <si>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</si>
  <si>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</si>
  <si>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</si>
  <si>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</si>
  <si>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</si>
  <si>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</si>
  <si>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</si>
  <si>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</si>
  <si>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</si>
  <si>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</si>
  <si>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</si>
  <si>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</si>
  <si>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</si>
  <si>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</si>
  <si>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</si>
  <si>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</si>
  <si>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</si>
  <si>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</si>
  <si>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</si>
  <si>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</si>
  <si>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</si>
  <si>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</si>
  <si>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</si>
  <si>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</si>
  <si>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</si>
  <si>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</si>
  <si>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</si>
  <si>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</si>
  <si>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</si>
  <si>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</si>
  <si>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</si>
  <si>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</si>
  <si>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</si>
  <si>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</si>
  <si>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</si>
  <si>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</si>
  <si>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</si>
  <si>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</si>
  <si>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</si>
  <si>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</si>
  <si>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</si>
  <si>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</si>
  <si>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</si>
  <si>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</si>
  <si>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</si>
  <si>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</si>
  <si>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</si>
  <si>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</si>
  <si>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</si>
  <si>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</si>
  <si>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</si>
  <si>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</si>
  <si>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</si>
  <si>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</si>
  <si>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</si>
  <si>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</si>
  <si>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</si>
  <si>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</si>
  <si>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</si>
  <si>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</si>
  <si>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</si>
  <si>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</si>
  <si>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</si>
  <si>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</si>
  <si>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</si>
  <si>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</si>
  <si>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</si>
  <si>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</si>
  <si>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</si>
  <si>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</si>
  <si>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</si>
  <si>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</si>
  <si>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</si>
  <si>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</si>
  <si>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</si>
  <si>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</si>
  <si>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</si>
  <si>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</si>
  <si>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</si>
  <si>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</si>
  <si>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</si>
  <si>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</si>
  <si>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</si>
  <si>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</si>
  <si>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</si>
  <si>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</si>
  <si>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</si>
  <si>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</si>
  <si>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</si>
  <si>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</si>
  <si>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</si>
  <si>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</si>
  <si>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</si>
  <si>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</si>
  <si>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</si>
  <si>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</si>
  <si>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</si>
  <si>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</si>
  <si>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</si>
  <si>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</si>
  <si>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</si>
  <si>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</si>
  <si>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</si>
  <si>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</si>
  <si>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</si>
  <si>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</si>
  <si>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</si>
  <si>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</si>
  <si>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</si>
  <si>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</si>
  <si>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</si>
  <si>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</si>
  <si>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</si>
  <si>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</si>
  <si>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</si>
  <si>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</si>
  <si>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</si>
  <si>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</si>
  <si>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</si>
  <si>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</si>
  <si>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</si>
  <si>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</si>
  <si>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</si>
  <si>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</si>
  <si>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</si>
  <si>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</si>
  <si>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</si>
  <si>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</si>
  <si>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</si>
  <si>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</si>
  <si>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</si>
  <si>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</si>
  <si>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</si>
  <si>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</si>
  <si>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</si>
  <si>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</si>
  <si>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</si>
  <si>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</si>
  <si>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</si>
  <si>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</si>
  <si>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</si>
  <si>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</si>
  <si>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</si>
  <si>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</si>
  <si>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</si>
  <si>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</si>
  <si>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</si>
  <si>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</si>
  <si>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</si>
  <si>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</si>
  <si>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</si>
  <si>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</si>
  <si>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</si>
  <si>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</si>
  <si>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</si>
  <si>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</si>
  <si>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</si>
  <si>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</si>
  <si>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</si>
  <si>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</si>
  <si>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</si>
  <si>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</si>
  <si>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</si>
  <si>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</si>
  <si>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</si>
  <si>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</si>
  <si>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</si>
  <si>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</si>
  <si>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</si>
  <si>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</si>
  <si>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</si>
  <si>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</si>
  <si>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</si>
  <si>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</si>
  <si>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</si>
  <si>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</si>
  <si>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</si>
  <si>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</si>
  <si>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</si>
  <si>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</si>
  <si>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</si>
  <si>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</si>
  <si>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</si>
  <si>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</si>
  <si>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</si>
  <si>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</si>
  <si>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</si>
  <si>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</si>
  <si>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</si>
  <si>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</si>
  <si>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</si>
  <si>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</si>
  <si>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</si>
  <si>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</si>
  <si>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</si>
  <si>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</si>
  <si>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</si>
  <si>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</si>
  <si>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</si>
  <si>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</si>
  <si>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</si>
  <si>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</si>
  <si>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</si>
  <si>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</si>
  <si>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</si>
  <si>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</si>
  <si>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</si>
  <si>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</si>
  <si>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</si>
  <si>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</si>
  <si>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</si>
  <si>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</si>
  <si>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</si>
  <si>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</si>
  <si>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</si>
  <si>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</si>
  <si>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</si>
  <si>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</si>
  <si>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</si>
  <si>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</si>
  <si>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</si>
  <si>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</si>
  <si>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</si>
  <si>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</si>
  <si>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</si>
  <si>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</si>
  <si>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</si>
  <si>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</si>
  <si>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</si>
  <si>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</si>
  <si>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</si>
  <si>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</si>
  <si>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</si>
  <si>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</si>
  <si>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</si>
  <si>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</si>
  <si>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</si>
  <si>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</si>
  <si>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</si>
  <si>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</si>
  <si>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</si>
  <si>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</si>
  <si>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</si>
  <si>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</si>
  <si>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</si>
  <si>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</si>
  <si>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</si>
  <si>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</si>
  <si>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</si>
  <si>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</si>
  <si>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</si>
  <si>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</si>
  <si>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</si>
  <si>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</si>
  <si>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</si>
  <si>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</si>
  <si>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</si>
  <si>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</si>
  <si>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</si>
  <si>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</si>
  <si>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</si>
  <si>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</si>
  <si>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</si>
  <si>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</si>
  <si>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</si>
  <si>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</si>
  <si>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</si>
  <si>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</si>
  <si>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</si>
  <si>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</si>
  <si>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</si>
  <si>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</si>
  <si>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</si>
  <si>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</si>
  <si>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</si>
  <si>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</si>
  <si>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</si>
  <si>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</si>
  <si>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</si>
  <si>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</si>
  <si>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</si>
  <si>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</si>
  <si>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</si>
  <si>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</si>
  <si>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</si>
  <si>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</si>
  <si>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</si>
  <si>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</si>
  <si>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</si>
  <si>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</si>
  <si>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</si>
  <si>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</si>
  <si>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</si>
  <si>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</si>
  <si>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</si>
  <si>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</si>
  <si>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</si>
  <si>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</si>
  <si>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</si>
  <si>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</si>
  <si>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</si>
  <si>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</si>
  <si>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</si>
  <si>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</si>
  <si>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</si>
  <si>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</si>
  <si>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</si>
  <si>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</si>
  <si>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</si>
  <si>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</si>
  <si>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</si>
  <si>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</si>
  <si>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</si>
  <si>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</si>
  <si>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</si>
  <si>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</si>
  <si>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</si>
  <si>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</si>
  <si>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</si>
  <si>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</si>
  <si>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</si>
  <si>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</si>
  <si>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</si>
  <si>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</si>
  <si>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</si>
  <si>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</si>
  <si>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</si>
  <si>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</si>
  <si>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</si>
  <si>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</si>
  <si>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</si>
  <si>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</si>
  <si>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</si>
  <si>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</si>
  <si>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</si>
  <si>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</si>
  <si>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</si>
  <si>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</si>
  <si>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</si>
  <si>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</si>
  <si>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</si>
  <si>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</si>
  <si>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</si>
  <si>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</si>
  <si>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</si>
  <si>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</si>
  <si>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</si>
  <si>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</si>
  <si>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</si>
  <si>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</si>
  <si>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</si>
  <si>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</si>
  <si>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</si>
  <si>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</si>
  <si>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</si>
  <si>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</si>
  <si>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</si>
  <si>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</si>
  <si>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</si>
  <si>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</si>
  <si>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</si>
  <si>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</si>
  <si>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</si>
  <si>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</si>
  <si>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</si>
  <si>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</si>
  <si>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</si>
  <si>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</si>
  <si>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</si>
  <si>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</si>
  <si>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</si>
  <si>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</si>
  <si>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</si>
  <si>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</si>
  <si>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</si>
  <si>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</si>
  <si>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</si>
  <si>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</si>
  <si>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</si>
  <si>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</si>
  <si>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</si>
  <si>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</si>
  <si>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</si>
  <si>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</si>
  <si>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</si>
  <si>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</si>
  <si>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</si>
  <si>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</si>
  <si>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</si>
  <si>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</si>
  <si>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</si>
  <si>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</si>
  <si>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</si>
  <si>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</si>
  <si>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</si>
  <si>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</si>
  <si>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</si>
  <si>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</si>
  <si>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</si>
  <si>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</si>
  <si>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</si>
  <si>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</si>
  <si>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</si>
  <si>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</si>
  <si>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</si>
  <si>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</si>
  <si>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</si>
  <si>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</si>
  <si>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</si>
  <si>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</si>
  <si>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</si>
  <si>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</si>
  <si>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</si>
  <si>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</si>
  <si>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</si>
  <si>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</si>
  <si>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</si>
  <si>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</si>
  <si>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</si>
  <si>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</si>
  <si>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</si>
  <si>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</si>
  <si>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</si>
  <si>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</si>
  <si>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</si>
  <si>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</si>
  <si>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</si>
  <si>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</si>
  <si>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</si>
  <si>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</si>
  <si>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</si>
  <si>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</si>
  <si>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</si>
  <si>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</si>
  <si>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</si>
  <si>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</si>
  <si>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</si>
  <si>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</si>
  <si>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</si>
  <si>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</si>
  <si>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</si>
  <si>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</si>
  <si>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</si>
  <si>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</si>
  <si>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</si>
  <si>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</si>
  <si>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</si>
  <si>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</si>
  <si>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</si>
  <si>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</si>
  <si>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</si>
  <si>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</si>
  <si>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</si>
  <si>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</si>
  <si>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</si>
  <si>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</si>
  <si>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</si>
  <si>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</si>
  <si>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</si>
  <si>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</si>
  <si>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</si>
  <si>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</si>
  <si>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</si>
  <si>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</si>
  <si>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</si>
  <si>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</si>
  <si>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</si>
  <si>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</si>
  <si>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</si>
  <si>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</si>
  <si>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</si>
  <si>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</si>
  <si>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</si>
  <si>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</si>
  <si>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</si>
  <si>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</si>
  <si>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</si>
  <si>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</si>
  <si>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</si>
  <si>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</si>
  <si>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</si>
  <si>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</si>
  <si>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</si>
  <si>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</si>
  <si>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</si>
  <si>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</si>
  <si>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</si>
  <si>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</si>
  <si>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</si>
  <si>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</si>
  <si>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</si>
  <si>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</si>
  <si>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</si>
  <si>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</si>
  <si>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</si>
  <si>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</si>
  <si>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</si>
  <si>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</si>
  <si>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</si>
  <si>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</si>
  <si>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</si>
  <si>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</si>
  <si>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</si>
  <si>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</si>
  <si>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</si>
  <si>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</si>
  <si>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</si>
  <si>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</si>
  <si>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</si>
  <si>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</si>
  <si>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</si>
  <si>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</si>
  <si>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</si>
  <si>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</si>
  <si>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</si>
  <si>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</si>
  <si>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</si>
  <si>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</si>
  <si>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</si>
  <si>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</si>
  <si>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</si>
  <si>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</si>
  <si>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</si>
  <si>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</si>
  <si>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</si>
  <si>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</si>
  <si>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</si>
  <si>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</si>
  <si>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</si>
  <si>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</si>
  <si>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</si>
  <si>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</si>
  <si>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</si>
  <si>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</si>
  <si>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</si>
  <si>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</si>
  <si>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</si>
  <si>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</si>
  <si>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</si>
  <si>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</si>
  <si>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</si>
  <si>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</si>
  <si>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</si>
  <si>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</si>
  <si>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</si>
  <si>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</si>
  <si>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</si>
  <si>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</si>
  <si>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</si>
  <si>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</si>
  <si>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</si>
  <si>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</si>
  <si>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</si>
  <si>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</si>
  <si>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</si>
  <si>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</si>
  <si>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</si>
  <si>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</si>
  <si>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</si>
  <si>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</si>
  <si>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</si>
  <si>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</si>
  <si>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</si>
  <si>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</si>
  <si>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</si>
  <si>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</si>
  <si>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</si>
  <si>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</si>
  <si>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</si>
  <si>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</si>
  <si>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</si>
  <si>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</si>
  <si>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</si>
  <si>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</si>
  <si>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</si>
  <si>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</si>
  <si>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</si>
  <si>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</si>
  <si>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</si>
  <si>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</si>
  <si>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</si>
  <si>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</si>
  <si>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</si>
  <si>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</si>
  <si>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</si>
  <si>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</si>
  <si>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</si>
  <si>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</si>
  <si>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</si>
  <si>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</si>
  <si>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</si>
  <si>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</si>
  <si>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</si>
  <si>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</si>
  <si>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</si>
  <si>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</si>
  <si>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</si>
  <si>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</si>
  <si>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</si>
  <si>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</si>
  <si>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</si>
  <si>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</si>
  <si>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</si>
  <si>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</si>
  <si>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</si>
  <si>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</si>
  <si>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</si>
  <si>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</si>
  <si>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</si>
  <si>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</si>
  <si>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</si>
  <si>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</si>
  <si>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</si>
  <si>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</si>
  <si>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</si>
  <si>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</si>
  <si>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</si>
  <si>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</si>
  <si>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</si>
  <si>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</si>
  <si>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</si>
  <si>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</si>
  <si>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</si>
  <si>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</si>
  <si>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</si>
  <si>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</si>
  <si>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</si>
  <si>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</si>
  <si>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</si>
  <si>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</si>
  <si>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</si>
  <si>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</si>
  <si>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</si>
  <si>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</si>
  <si>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</si>
  <si>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</si>
  <si>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</si>
  <si>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</si>
  <si>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</si>
  <si>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</si>
  <si>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</si>
  <si>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</si>
  <si>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</si>
  <si>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</si>
  <si>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</si>
  <si>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</si>
  <si>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</si>
  <si>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</si>
  <si>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</si>
  <si>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</si>
  <si>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</si>
  <si>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</si>
  <si>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</si>
  <si>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</si>
  <si>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</si>
  <si>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</si>
  <si>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</si>
  <si>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</si>
  <si>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</si>
  <si>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</si>
  <si>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</si>
  <si>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</si>
  <si>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</si>
  <si>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</si>
  <si>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</si>
  <si>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</si>
  <si>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</si>
  <si>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</si>
  <si>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</si>
  <si>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</si>
  <si>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</si>
  <si>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</si>
  <si>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</si>
  <si>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</si>
  <si>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</si>
  <si>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</si>
  <si>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</si>
  <si>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</si>
  <si>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</si>
  <si>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</si>
  <si>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</si>
  <si>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</si>
  <si>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</si>
  <si>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</si>
  <si>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</si>
  <si>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</si>
  <si>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</si>
  <si>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</si>
  <si>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</si>
  <si>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</si>
  <si>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</si>
  <si>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</si>
  <si>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</si>
  <si>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</si>
  <si>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</si>
  <si>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</si>
  <si>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</si>
  <si>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</si>
  <si>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</si>
  <si>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</si>
  <si>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</si>
  <si>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</si>
  <si>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</si>
  <si>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</si>
  <si>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</si>
  <si>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</si>
  <si>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</si>
  <si>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</si>
  <si>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</si>
  <si>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</si>
  <si>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</si>
  <si>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</si>
  <si>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</si>
  <si>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</si>
  <si>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</si>
  <si>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</si>
  <si>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</si>
  <si>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</si>
  <si>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</si>
  <si>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</si>
  <si>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</si>
  <si>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</si>
  <si>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</si>
  <si>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</si>
  <si>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</si>
  <si>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</si>
  <si>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</si>
  <si>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</si>
  <si>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</si>
  <si>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</si>
  <si>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</si>
  <si>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</si>
  <si>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</si>
  <si>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</si>
  <si>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</si>
  <si>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</si>
  <si>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</si>
  <si>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</si>
  <si>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</si>
  <si>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</si>
  <si>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</si>
  <si>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</si>
  <si>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</si>
  <si>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</si>
  <si>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</si>
  <si>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</si>
  <si>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</si>
  <si>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</si>
  <si>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</si>
  <si>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</si>
  <si>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</si>
  <si>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</si>
  <si>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</si>
  <si>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</si>
  <si>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</si>
  <si>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</si>
  <si>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</si>
  <si>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</si>
  <si>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</si>
  <si>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</si>
  <si>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</si>
  <si>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</si>
  <si>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</si>
  <si>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</si>
  <si>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</si>
  <si>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</si>
  <si>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</si>
  <si>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</si>
  <si>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</si>
  <si>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</si>
  <si>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</si>
  <si>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</si>
  <si>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</si>
  <si>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</si>
  <si>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</si>
  <si>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</si>
  <si>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</si>
  <si>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</si>
  <si>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</si>
  <si>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</si>
  <si>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</si>
  <si>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</si>
  <si>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</si>
  <si>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</si>
  <si>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</si>
  <si>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</si>
  <si>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</si>
  <si>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</si>
  <si>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</si>
  <si>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</si>
  <si>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</si>
  <si>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</si>
  <si>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</si>
  <si>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</si>
  <si>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</si>
  <si>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</si>
  <si>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</si>
  <si>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</si>
  <si>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</si>
  <si>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</si>
  <si>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</si>
  <si>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</si>
  <si>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</si>
  <si>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</si>
  <si>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</si>
  <si>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</si>
  <si>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</si>
  <si>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</si>
  <si>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</si>
  <si>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</si>
  <si>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</si>
  <si>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</si>
  <si>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</si>
  <si>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</si>
  <si>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</si>
  <si>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</si>
  <si>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</si>
  <si>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</si>
  <si>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</si>
  <si>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</si>
  <si>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</si>
  <si>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</si>
  <si>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</si>
  <si>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</si>
  <si>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</si>
  <si>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</si>
  <si>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</si>
  <si>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</si>
  <si>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</si>
  <si>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</si>
  <si>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</si>
  <si>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</si>
  <si>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</si>
  <si>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</si>
  <si>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</si>
  <si>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</si>
  <si>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</si>
  <si>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</si>
  <si>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</si>
  <si>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</si>
  <si>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</si>
  <si>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</si>
  <si>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</si>
  <si>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</si>
  <si>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</si>
  <si>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</si>
  <si>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</si>
  <si>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</si>
  <si>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</si>
  <si>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</si>
  <si>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</si>
  <si>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</si>
  <si>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</si>
  <si>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</si>
  <si>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</si>
  <si>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</si>
  <si>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</si>
  <si>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</si>
  <si>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</si>
  <si>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</si>
  <si>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</si>
  <si>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</si>
  <si>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</si>
  <si>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</si>
  <si>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</si>
  <si>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</si>
  <si>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</si>
  <si>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</si>
  <si>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</si>
  <si>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</si>
  <si>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</si>
  <si>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</si>
  <si>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</si>
  <si>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</si>
  <si>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</si>
  <si>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</si>
  <si>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</si>
  <si>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</si>
  <si>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</si>
  <si>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</si>
  <si>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</si>
  <si>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</si>
  <si>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</si>
  <si>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</si>
  <si>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</si>
  <si>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</si>
  <si>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</si>
  <si>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</si>
  <si>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</si>
  <si>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</si>
  <si>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</si>
  <si>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</si>
  <si>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</si>
  <si>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</si>
  <si>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</si>
  <si>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</si>
  <si>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</si>
  <si>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</si>
  <si>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</si>
  <si>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</si>
  <si>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</si>
  <si>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</si>
  <si>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</si>
  <si>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</si>
  <si>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</si>
  <si>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</si>
  <si>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</si>
  <si>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</si>
  <si>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</si>
  <si>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</si>
  <si>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</si>
  <si>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</si>
  <si>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</si>
  <si>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</si>
  <si>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</si>
  <si>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</si>
  <si>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</si>
  <si>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</si>
  <si>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</si>
  <si>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</si>
  <si>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</si>
  <si>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</si>
  <si>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</si>
  <si>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</si>
  <si>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</si>
  <si>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</si>
  <si>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</si>
  <si>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</si>
  <si>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</si>
  <si>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</si>
  <si>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</si>
  <si>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</si>
  <si>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</si>
  <si>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</si>
  <si>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</si>
  <si>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</si>
  <si>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</si>
  <si>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</si>
  <si>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</si>
  <si>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</si>
  <si>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</si>
  <si>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</si>
  <si>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</si>
  <si>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</si>
  <si>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</si>
  <si>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</si>
  <si>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</si>
  <si>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</si>
  <si>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</si>
  <si>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</si>
  <si>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</si>
  <si>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</si>
  <si>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</si>
  <si>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</si>
  <si>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</si>
  <si>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</si>
  <si>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</si>
  <si>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</si>
  <si>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</si>
  <si>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</si>
  <si>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</si>
  <si>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</si>
  <si>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</si>
  <si>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</si>
  <si>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</si>
  <si>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</si>
  <si>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</si>
  <si>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</si>
  <si>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</si>
  <si>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</si>
  <si>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</si>
  <si>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</si>
  <si>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</si>
  <si>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</si>
  <si>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</si>
  <si>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</si>
  <si>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</si>
  <si>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</si>
  <si>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</si>
  <si>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</si>
  <si>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</si>
  <si>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</si>
  <si>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</si>
  <si>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</si>
  <si>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</si>
  <si>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</si>
  <si>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</si>
  <si>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</si>
  <si>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</si>
  <si>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</si>
  <si>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</si>
  <si>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</si>
  <si>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</si>
  <si>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</si>
  <si>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</si>
  <si>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</si>
  <si>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</si>
  <si>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</si>
  <si>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</si>
  <si>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</si>
  <si>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</si>
  <si>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</si>
  <si>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</si>
  <si>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</si>
  <si>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</si>
  <si>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</si>
  <si>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</si>
  <si>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</si>
  <si>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</si>
  <si>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</si>
  <si>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</si>
  <si>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</si>
  <si>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</si>
  <si>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</si>
  <si>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</si>
  <si>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</si>
  <si>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</si>
  <si>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</si>
  <si>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</si>
  <si>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</si>
  <si>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</si>
  <si>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</si>
  <si>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</si>
  <si>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</si>
  <si>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</si>
  <si>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</si>
  <si>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</si>
  <si>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</si>
  <si>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</si>
  <si>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</si>
  <si>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</si>
  <si>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</si>
  <si>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</si>
  <si>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</si>
  <si>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</si>
  <si>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</si>
  <si>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</si>
  <si>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</si>
  <si>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</si>
  <si>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</si>
  <si>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</si>
  <si>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</si>
  <si>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</si>
  <si>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</si>
  <si>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</si>
  <si>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</si>
  <si>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</si>
  <si>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</si>
  <si>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</si>
  <si>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</si>
  <si>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</si>
  <si>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</si>
  <si>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</si>
  <si>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</si>
  <si>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</si>
  <si>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</si>
  <si>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</si>
  <si>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</si>
  <si>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</si>
  <si>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</si>
  <si>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</si>
  <si>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</si>
  <si>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</si>
  <si>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</si>
  <si>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</si>
  <si>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</si>
  <si>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</si>
  <si>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</si>
  <si>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</si>
  <si>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</si>
  <si>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</si>
  <si>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</si>
  <si>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</si>
  <si>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</si>
  <si>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</si>
  <si>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</si>
  <si>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</si>
  <si>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</si>
  <si>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</si>
  <si>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</si>
  <si>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</si>
  <si>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</si>
  <si>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</si>
  <si>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</si>
  <si>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</si>
  <si>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</si>
  <si>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</si>
  <si>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</si>
  <si>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</si>
  <si>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</si>
  <si>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</si>
  <si>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</si>
  <si>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</si>
  <si>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</si>
  <si>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</si>
  <si>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</si>
  <si>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</si>
  <si>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</si>
  <si>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</si>
  <si>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</si>
  <si>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</si>
  <si>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</si>
  <si>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</si>
  <si>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</si>
  <si>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</si>
  <si>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</si>
  <si>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</si>
  <si>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</si>
  <si>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</si>
  <si>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</si>
  <si>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</si>
  <si>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</si>
  <si>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</si>
  <si>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</si>
  <si>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</si>
  <si>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</si>
  <si>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</si>
  <si>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</si>
  <si>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</si>
  <si>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</si>
  <si>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</si>
  <si>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</si>
  <si>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</si>
  <si>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</si>
  <si>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</si>
  <si>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</si>
  <si>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</si>
  <si>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</si>
  <si>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</si>
  <si>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</si>
  <si>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</si>
  <si>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</si>
  <si>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</si>
  <si>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</si>
  <si>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</si>
  <si>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</si>
  <si>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</si>
  <si>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</si>
  <si>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</si>
  <si>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</si>
  <si>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</si>
  <si>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</si>
  <si>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</si>
  <si>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</si>
  <si>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</si>
  <si>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</si>
  <si>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</si>
  <si>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</si>
  <si>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</si>
  <si>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</si>
  <si>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</si>
  <si>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</si>
  <si>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</si>
  <si>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</si>
  <si>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</si>
  <si>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</si>
  <si>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</si>
  <si>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</si>
  <si>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</si>
  <si>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</si>
  <si>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</si>
  <si>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</si>
  <si>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</si>
  <si>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</si>
  <si>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</si>
  <si>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</si>
  <si>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</si>
  <si>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</si>
  <si>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</si>
  <si>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</si>
  <si>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</si>
  <si>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</si>
  <si>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</si>
  <si>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</si>
  <si>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</si>
  <si>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</si>
  <si>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</si>
  <si>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</si>
  <si>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</si>
  <si>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</si>
  <si>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</si>
  <si>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</si>
  <si>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</si>
  <si>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</si>
  <si>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</si>
  <si>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</si>
  <si>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</si>
  <si>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</si>
  <si>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</si>
  <si>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</si>
  <si>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</si>
  <si>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</si>
  <si>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</si>
  <si>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</si>
  <si>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</si>
  <si>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</si>
  <si>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</si>
  <si>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</si>
  <si>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</si>
  <si>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</si>
  <si>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</si>
  <si>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</si>
  <si>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</si>
  <si>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</si>
  <si>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</si>
  <si>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</si>
  <si>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</si>
  <si>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</si>
  <si>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</si>
  <si>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</si>
  <si>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</si>
  <si>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</si>
  <si>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</si>
  <si>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</si>
  <si>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</si>
  <si>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</si>
  <si>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</si>
  <si>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</si>
  <si>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</si>
  <si>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</si>
  <si>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</si>
  <si>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</si>
  <si>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</si>
  <si>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</si>
  <si>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</si>
  <si>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</si>
  <si>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</si>
  <si>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</si>
  <si>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</si>
  <si>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</si>
  <si>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</si>
  <si>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</si>
  <si>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</si>
  <si>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</si>
  <si>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</si>
  <si>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</si>
  <si>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</si>
  <si>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</si>
  <si>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</si>
  <si>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</si>
  <si>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</si>
  <si>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</si>
  <si>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</si>
  <si>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</si>
  <si>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</si>
  <si>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</si>
  <si>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</si>
  <si>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</si>
  <si>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</si>
  <si>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</si>
  <si>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</si>
  <si>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</si>
  <si>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</si>
  <si>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</si>
  <si>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</si>
  <si>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</si>
  <si>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</si>
  <si>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</si>
  <si>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</si>
  <si>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</si>
  <si>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</si>
  <si>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</si>
  <si>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</si>
  <si>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</si>
  <si>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</si>
  <si>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</si>
  <si>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</si>
  <si>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</si>
  <si>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</si>
  <si>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</si>
  <si>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</si>
  <si>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</si>
  <si>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</si>
  <si>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</si>
  <si>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</si>
  <si>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</si>
  <si>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</si>
  <si>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</si>
  <si>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</si>
  <si>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</si>
  <si>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</si>
  <si>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</si>
  <si>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</si>
  <si>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</si>
  <si>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</si>
  <si>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</si>
  <si>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</si>
  <si>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</si>
  <si>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</si>
  <si>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</si>
  <si>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</si>
  <si>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</si>
  <si>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</si>
  <si>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</si>
  <si>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</si>
  <si>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</si>
  <si>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</si>
  <si>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</si>
  <si>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</si>
  <si>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</si>
  <si>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</si>
  <si>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</si>
  <si>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</si>
  <si>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</si>
  <si>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</si>
  <si>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</si>
  <si>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</si>
  <si>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</si>
  <si>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</si>
  <si>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</si>
  <si>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</si>
  <si>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</si>
  <si>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</si>
  <si>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</si>
  <si>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</si>
  <si>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</si>
  <si>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</si>
  <si>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</si>
  <si>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</si>
  <si>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</si>
  <si>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</si>
  <si>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</si>
  <si>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</si>
  <si>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</si>
  <si>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</si>
  <si>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</si>
  <si>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</si>
  <si>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</si>
  <si>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</si>
  <si>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</si>
  <si>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</si>
  <si>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</si>
  <si>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</si>
  <si>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</si>
  <si>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</si>
  <si>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</si>
  <si>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</si>
  <si>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</si>
  <si>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</si>
  <si>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</si>
  <si>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</si>
  <si>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</si>
  <si>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</si>
  <si>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</si>
  <si>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</si>
  <si>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</si>
  <si>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</si>
  <si>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</si>
  <si>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</si>
  <si>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</si>
  <si>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</si>
  <si>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</si>
  <si>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</si>
  <si>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</si>
  <si>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</si>
  <si>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</si>
  <si>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</si>
  <si>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</si>
  <si>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</si>
  <si>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</si>
  <si>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</si>
  <si>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</si>
  <si>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</si>
  <si>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</si>
  <si>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</si>
  <si>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</si>
  <si>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</si>
  <si>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</si>
  <si>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</si>
  <si>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</si>
  <si>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</si>
  <si>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</si>
  <si>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</si>
  <si>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</si>
  <si>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</si>
  <si>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</si>
  <si>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</si>
  <si>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</si>
  <si>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</si>
  <si>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</si>
  <si>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</si>
  <si>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</si>
  <si>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</si>
  <si>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</si>
  <si>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</si>
  <si>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</si>
  <si>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</si>
  <si>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</si>
  <si>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</si>
  <si>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</si>
  <si>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</si>
  <si>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</si>
  <si>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</si>
  <si>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</si>
  <si>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</si>
  <si>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</si>
  <si>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</si>
  <si>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</si>
  <si>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</si>
  <si>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</si>
  <si>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</si>
  <si>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</si>
  <si>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</si>
  <si>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</si>
  <si>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</si>
  <si>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</si>
  <si>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</si>
  <si>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</si>
  <si>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</si>
  <si>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</si>
  <si>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</si>
  <si>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</si>
  <si>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</si>
  <si>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</si>
  <si>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</si>
  <si>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</si>
  <si>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</si>
  <si>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</si>
  <si>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</si>
  <si>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</si>
  <si>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</si>
  <si>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</si>
  <si>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</si>
  <si>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</si>
  <si>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</si>
  <si>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</si>
  <si>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</si>
  <si>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</si>
  <si>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</si>
  <si>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</si>
  <si>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</si>
  <si>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</si>
  <si>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</si>
  <si>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</si>
  <si>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</si>
  <si>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</si>
  <si>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</si>
  <si>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</si>
  <si>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</si>
  <si>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</si>
  <si>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</si>
  <si>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</si>
  <si>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</si>
  <si>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</si>
  <si>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</si>
  <si>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</si>
  <si>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</si>
  <si>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</si>
  <si>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</si>
  <si>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</si>
  <si>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</si>
  <si>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</si>
  <si>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</si>
  <si>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</si>
  <si>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</si>
  <si>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</si>
  <si>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</si>
  <si>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</si>
  <si>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</si>
  <si>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</si>
  <si>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</si>
  <si>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</si>
  <si>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</si>
  <si>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</si>
  <si>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</si>
  <si>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</si>
  <si>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</si>
  <si>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</si>
  <si>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</si>
  <si>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</si>
  <si>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</si>
  <si>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</si>
  <si>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</si>
  <si>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</si>
  <si>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</si>
  <si>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</si>
  <si>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</si>
  <si>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</si>
  <si>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</si>
  <si>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</si>
  <si>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</si>
  <si>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</si>
  <si>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</si>
  <si>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</si>
  <si>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</si>
  <si>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</si>
  <si>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</si>
  <si>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</si>
  <si>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</si>
  <si>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</si>
  <si>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</si>
  <si>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</si>
  <si>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</si>
  <si>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</si>
  <si>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</si>
  <si>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</si>
  <si>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</si>
  <si>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</si>
  <si>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</si>
  <si>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</si>
  <si>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</si>
  <si>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</si>
  <si>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</si>
  <si>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</si>
  <si>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</si>
  <si>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</si>
  <si>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</si>
  <si>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</si>
  <si>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</si>
  <si>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</si>
  <si>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</si>
  <si>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</si>
  <si>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</si>
  <si>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</si>
  <si>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</si>
  <si>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</si>
  <si>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</si>
  <si>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Contando con el presupuesto 2016</t>
  </si>
  <si>
    <t xml:space="preserve">un equipo de sonido con amplificador y 8 microfonos con pedestales para la informacion y comunicacion de actividades que esta direccion ejecuta. </t>
  </si>
  <si>
    <t>Mayor difusion de los eventos programados por la Direccion de Cultura, Coro Universitario y Orquesta de Camara de la UNAH y mejor vinculacion con la sociedad</t>
  </si>
  <si>
    <t>adquision de equipo de sonido con microfonos para mejora en la comunicación de eventos</t>
  </si>
  <si>
    <t>Mejor Comunicación  e informacion con Unidades Academicas  y difusion de eventos</t>
  </si>
  <si>
    <t>Publico en general, unidades academicas y administrativas</t>
  </si>
  <si>
    <t>Acta de recepcion del Software</t>
  </si>
  <si>
    <t>Acta de recepcion del equipo de Sonido</t>
  </si>
  <si>
    <t>Direccion de Cultura</t>
  </si>
  <si>
    <t>adquirir el software de Docuware para archivar documentos</t>
  </si>
  <si>
    <t>resguardad informacion sin ocupar espacios</t>
  </si>
  <si>
    <t>Acta de recepcion del sotfware</t>
  </si>
  <si>
    <t>Un manual impreso y socializado en los Centros Regionales Universitarios</t>
  </si>
  <si>
    <t xml:space="preserve">esta actividad operativiza el componente cultura del programa lo esencial de la reforma universitaria </t>
  </si>
  <si>
    <t>Manual impreso</t>
  </si>
  <si>
    <t>es uno de los resultados priorizados del programa de lo esencial reforma universitaria</t>
  </si>
  <si>
    <t>2 temporadas de conciertos realizadas con Director internacional invitado</t>
  </si>
  <si>
    <t>comunicación interna/prensa</t>
  </si>
  <si>
    <t xml:space="preserve">4 presentaciones de libros realizadas </t>
  </si>
  <si>
    <t>Lista de asistencia</t>
  </si>
  <si>
    <t>una revista anual impresa y presentada</t>
  </si>
  <si>
    <t>Revista impresa</t>
  </si>
  <si>
    <t>contrato</t>
  </si>
  <si>
    <t>comunicación interna / prensa/ redes sociales</t>
  </si>
  <si>
    <t>Gira itinerante de la fototeca Nacional Universitaria en los Centros Regionales universitarios.</t>
  </si>
  <si>
    <t>comunicación interna prensa</t>
  </si>
  <si>
    <t>comunidad universitaria y publico en general</t>
  </si>
  <si>
    <t>adquirir un software para manejo de la coleccion patrimonial por la UNAH</t>
  </si>
  <si>
    <t>Una Software donde se pueda catalogar las colecciones patrimoniales historicas de la UNAH</t>
  </si>
  <si>
    <t>Mejor control del patrimonio de la UNAH</t>
  </si>
  <si>
    <t>difundir colecciones patrimoniales de la UNAH</t>
  </si>
  <si>
    <t xml:space="preserve">Tres ciclos de conciertos navideños </t>
  </si>
  <si>
    <t>comunicación interna /prensa</t>
  </si>
  <si>
    <t>el actual presupuesto del Coro Universitario no incluye fondos para carpetas, uniformes y otros insumos</t>
  </si>
  <si>
    <t>Factura de compras</t>
  </si>
  <si>
    <t>Coro Universitario</t>
  </si>
  <si>
    <t>actividad que se desprende del convenio entre la UNAH y Trinity College</t>
  </si>
  <si>
    <t>documento de proyecto</t>
  </si>
  <si>
    <t>Estudiantes y Docentes del ITS y CURLA</t>
  </si>
  <si>
    <t>Ferias interculturales en dos centros Regionales Universitarios</t>
  </si>
  <si>
    <t>2 ferias interculturales fortalecidas en igual numero de Centros Regionales</t>
  </si>
  <si>
    <t>CUROC y UNAH VS</t>
  </si>
  <si>
    <t>Transferencia</t>
  </si>
  <si>
    <t>Impresión del manual del eje cultura</t>
  </si>
  <si>
    <t>Diseño de manual para la transversalizacion del eje Cultura en la dimensión curricular de la UNAH.</t>
  </si>
  <si>
    <t>comunidad académica universitaria</t>
  </si>
  <si>
    <t>Dirección de Cultura</t>
  </si>
  <si>
    <t>Centros regionales Universitarios capacitados para la implementación de la Política Cultural de la UNAH</t>
  </si>
  <si>
    <t>política cultural impresa</t>
  </si>
  <si>
    <t>parte del proceso  de profesionalización a través de capacitaciones internacionales</t>
  </si>
  <si>
    <t>comunidad académica universitaria y publico en general</t>
  </si>
  <si>
    <t xml:space="preserve">constituye una estrategia de difusión de la literatura hondureña y apoyo a la programación de la Librería Universitaria </t>
  </si>
  <si>
    <t>Edición de la revista Cultural de la Universidad.</t>
  </si>
  <si>
    <t>La revista es el órgano oficial de divulgación de la UNAH desde 1909</t>
  </si>
  <si>
    <t>comunidad académica y publico en general</t>
  </si>
  <si>
    <t>una exhibición de artes visuales en espacios universitarios</t>
  </si>
  <si>
    <t>contribuir a la sensibilización y apreciación del arte en espacios universitarios</t>
  </si>
  <si>
    <t>una catalogación realizada para la fototeca Nacional Universitaria</t>
  </si>
  <si>
    <t>Conservación del patrimonio Cultural universitaria</t>
  </si>
  <si>
    <t>informe final de Consultoría</t>
  </si>
  <si>
    <t>Impresión de fotografías para exhibición itinerante de la Fototeca Nacional Universitaria</t>
  </si>
  <si>
    <t>la gira para la difusión de la fototeca nacional universitaria requiere de la producción de la misma</t>
  </si>
  <si>
    <t>Fotografías impresas</t>
  </si>
  <si>
    <t>Difusión de la Fototeca Universitaria</t>
  </si>
  <si>
    <t>optimo funcionamiento de los instrumentos de cuerda de la orquesta de cámara de la UNAH</t>
  </si>
  <si>
    <t>acta de recepción</t>
  </si>
  <si>
    <t>Orquesta de Cámara de la UNAH</t>
  </si>
  <si>
    <t>promoción de los centros regionales con las comunidades en cada región</t>
  </si>
  <si>
    <t>Impartir el Diplomado en Gestión Cultural y Voluntariado para el Desarrollo en Centros Universitarios Regionales</t>
  </si>
  <si>
    <t>estas ferias son un mecanismo de trabajo conjunto entre la dirección de cultura y centros regionales</t>
  </si>
  <si>
    <t>3 contrataciones de Coordinadores de área de la Dirección de Cultura</t>
  </si>
  <si>
    <t>1. ÉTICA: Transversalizacion del Eje Curricular de Ética en las actividades administrativas y como eje integrador de los demás ejes del Modelo Educativo de la UNAH.</t>
  </si>
  <si>
    <t>Centros Regionales universitarios capacitados para la implementación del manual para la transversalizacion del eje cultural en el currículo</t>
  </si>
  <si>
    <t>contrato para el diseño de transversalizacion del eje Cultura</t>
  </si>
  <si>
    <t>Talleres en los Centros Regionales Universitarios</t>
  </si>
  <si>
    <t>Viaticos a los Cntros Regionales para implementar los talleres de este manual</t>
  </si>
  <si>
    <t>socializacion de la politica en los centros regionales</t>
  </si>
  <si>
    <t>Impresión de la Politica Cultural de la UNAH</t>
  </si>
  <si>
    <t>Compra de pasaje aereo de Directores internacionales de Orquesta de Camara.</t>
  </si>
  <si>
    <t>Estipendio de estadia de los Directores internacionales invitados</t>
  </si>
  <si>
    <t>compra de coffes y coctel para las presentaciones de libro</t>
  </si>
  <si>
    <t>compra de afiches e invitaciones para difusion de las presentaciones</t>
  </si>
  <si>
    <t>Presentacion de la Revista Cultural de la UNAH</t>
  </si>
  <si>
    <t>Impresión de la Revista Cultural de la UNAH</t>
  </si>
  <si>
    <t>inaguracion de la exhibicion arte internacional</t>
  </si>
  <si>
    <t>Contrato para la exhibicion de arte internacional</t>
  </si>
  <si>
    <t>impresión de las fotografias de la exhibicion</t>
  </si>
  <si>
    <t>Contrato por catalogacion de Fondo Fotografico Eric Swimmer</t>
  </si>
  <si>
    <t>7.1.0</t>
  </si>
  <si>
    <t>compra de caja para embalaje</t>
  </si>
  <si>
    <t>Impresión de fotografias catalogadas del Fondo fotografico Eric Swimmer</t>
  </si>
  <si>
    <t>Gasolina</t>
  </si>
  <si>
    <t>Integrada la Orquesta de Camara de la UNAH y su programacion mensual de conciertos ejecutada.</t>
  </si>
  <si>
    <t>garantizar el pago mensual de los miembros de la Orquesta de Camara de la UNAH</t>
  </si>
  <si>
    <t>contratos elaborados</t>
  </si>
  <si>
    <t xml:space="preserve">9 camisetas </t>
  </si>
  <si>
    <t>Identificar al personal de la direccion de cultura en eventos</t>
  </si>
  <si>
    <t>Facturas</t>
  </si>
  <si>
    <t>fortalecimiento de las capacidades de gestion cultural de los grupos de voluntarios universitarios</t>
  </si>
  <si>
    <t>Lista de asistencia de cada modulo</t>
  </si>
  <si>
    <t>Dirección de Cultura/VRA</t>
  </si>
  <si>
    <t>impresiones de la Colección de Mario Castillo</t>
  </si>
  <si>
    <t>inaguracion de la exhibicion de la colección de escritores del siglo</t>
  </si>
  <si>
    <t>compra de uniformes</t>
  </si>
  <si>
    <t>difusion de los Ciclos de conciertos de la Orquesta de Camara y Coro Universitario</t>
  </si>
  <si>
    <t>compra de carpetas y materiales</t>
  </si>
  <si>
    <t xml:space="preserve">Compra de Gasolina para cada viaje </t>
  </si>
  <si>
    <t>Peaje</t>
  </si>
  <si>
    <t>impresión del libro de Dario Euraque</t>
  </si>
  <si>
    <t>Apoyo a los centros regionales en la realizacion de los centros regionales curoc y CURLA</t>
  </si>
  <si>
    <t>compra de camisas para identificacion del personal de cultura en la realizacion de eventos</t>
  </si>
  <si>
    <t>7.2.0</t>
  </si>
  <si>
    <t>COMPRA D TONERS HP COLOR LASER JET CP2025</t>
  </si>
  <si>
    <t>COMPRA DE TONES DE LA FOTOCOPIADORA MULTIFUNCIONAL</t>
  </si>
  <si>
    <t>COMPRA DE PAPEL DE ESCRITORIO Y MATERIALES DE OFICINA</t>
  </si>
  <si>
    <t xml:space="preserve">Compra de Cuerdas musicales via internet </t>
  </si>
  <si>
    <t>funcionamiento operativo de la Direccion</t>
  </si>
  <si>
    <t>Equipo de audio</t>
  </si>
  <si>
    <t>Apoyo economico a las Ferias Culturales en regiones</t>
  </si>
  <si>
    <t>Fomento para no perder la cultura de estas regiones como identidad regional</t>
  </si>
  <si>
    <t>Recibo</t>
  </si>
  <si>
    <t>las comunidades regionales donde se realicen estas ferias</t>
  </si>
  <si>
    <t>apoyo para la realizacion de ferias culturales</t>
  </si>
  <si>
    <t>Mayor amplitud en la cultura</t>
  </si>
  <si>
    <t>actividades de convenios realizadas</t>
  </si>
  <si>
    <t>seguimientos a convenios nacionales e internacionales</t>
  </si>
  <si>
    <t>Gestionar la compra de Cuerdas Musicales para instrumentos musicales de la Orquesta de Cámara</t>
  </si>
  <si>
    <t>ajuste al presupuesto para financiar Coro Univeritario</t>
  </si>
  <si>
    <t>Resguardadas las Colecciones historicas ya pertenecientes a la UNAH</t>
  </si>
  <si>
    <t>Mayor resguardo de documentos que archiva la Direccion de Cultura.</t>
  </si>
  <si>
    <t>Desarrollo de software de Docuware para archivar documentos</t>
  </si>
  <si>
    <t>Realizar dos temporadas de conciertos de la orquesta de cámara con directores internacionales invitados.</t>
  </si>
  <si>
    <t>Profesionalización de la orquesta de cámara de la UNAH</t>
  </si>
  <si>
    <t xml:space="preserve">Presentación de libros de Literatura Hondureña </t>
  </si>
  <si>
    <t>Promocionada la literatura hondureña de gestión del conocimiento con alto contenido de identidad nacional.</t>
  </si>
  <si>
    <t>Revista editada bajo nuevo formato de producción del conocimiento con identidad, nacional, regional, local, y para la internacionalización académica de la UNAH.</t>
  </si>
  <si>
    <t>Organización de exhibición artística internacional desarrollados en espacios universitarios .</t>
  </si>
  <si>
    <t>Consultoría para la catalogación del fondo Eric Swimmer de la  Fototeca Nacional Universitaria</t>
  </si>
  <si>
    <t>20 fotografias  impresas en formato vinil presentadas en la Fototeca Nacional Universitaria.</t>
  </si>
  <si>
    <t>Priorizada la producción y gestión del conocimiento con alto contenido de identidad nacional en exhibicion itinerante.</t>
  </si>
  <si>
    <t>Fortalecida la difusión y el  conocimiento de la historia y cultura hondureña a través de los registros fotográficos</t>
  </si>
  <si>
    <t>Exhibición de la colección de retratos de escritores del siglo XX.</t>
  </si>
  <si>
    <t>Exhibición producida en el Centro de Arte y Cultura (CAC)</t>
  </si>
  <si>
    <t>Contribuida la Formacion de la identidad a traves de un Montaje de exhibición didáctica sobre la literatura del siglo XX en Honduras</t>
  </si>
  <si>
    <t>Fortalecida la orquesta de Cámara de la UNAH, para realizar conciertos que aporten a la identida nacional.</t>
  </si>
  <si>
    <t>Gira de conciertos navideños con el Coro Universitario y la Orquesta de Cámara de la UNAH .</t>
  </si>
  <si>
    <t>Difusión y vinculación universidad sociedad a través de los ciclos de concierto de la orquesta de cámara y coro universitario.</t>
  </si>
  <si>
    <t>Fortalecer la gestión cultural a través de la Contratación de 28 integrantes de la Orquesta de Cámara de la UNAH</t>
  </si>
  <si>
    <t xml:space="preserve">Coro universitario y Orquesta de Camara fortalecida </t>
  </si>
  <si>
    <t>Consolidadas las competencias y capacidades de los voluntarios Culturales en centros universitarios regionales.</t>
  </si>
  <si>
    <t>Proyecto de interculturalidad mediante convenio con Trinity College</t>
  </si>
  <si>
    <t>Gestionar la contratación de personal para completar la Estructura Orgánica de la Dirección de Cultura</t>
  </si>
  <si>
    <t>Gestionar la adquisicion de camisetas para el personal de la Direccion de Cultura para uso en eventos especiales.</t>
  </si>
  <si>
    <t xml:space="preserve">Realizadas las ferias culturales en regiones </t>
  </si>
  <si>
    <t>Seguimiento a convenios nacionales para el apoyo de la cultura.</t>
  </si>
  <si>
    <t xml:space="preserve">Fortalecida la comunidad universitaria en la práctica de la cultura </t>
  </si>
  <si>
    <t>Buen funcionamiento operativo de la Direccion de Cultura</t>
  </si>
  <si>
    <t>Compra de 28 set de cuerdas musicales de los diferentes instrumentos de la orquesta de cámara de la UNAH</t>
  </si>
  <si>
    <t>Contratacion de servicios profesionales para impulsar la cultura de la Música clásica</t>
  </si>
  <si>
    <t xml:space="preserve">Gestionar la compra de insumos para el Fortalecimiento del coro universitario y Orquesta de Camara </t>
  </si>
  <si>
    <t>Porcentaje de compra de carpetas, uniformes y otros materiales para difusión del Coro Universitario</t>
  </si>
  <si>
    <r>
      <rPr>
        <sz val="12"/>
        <rFont val="Arial"/>
        <family val="2"/>
      </rPr>
      <t xml:space="preserve">Voluntarios universitarios capacitados en Gestion Cultural y voluntariado para el desarrollo en tres centros universitarios regionales. ( UNAH-VS y UNAH TEC-Danli) </t>
    </r>
    <r>
      <rPr>
        <sz val="12"/>
        <color rgb="FFFF0000"/>
        <rFont val="Arial"/>
        <family val="2"/>
      </rPr>
      <t xml:space="preserve"> </t>
    </r>
    <r>
      <rPr>
        <sz val="12"/>
        <color theme="1"/>
        <rFont val="Arial"/>
        <family val="2"/>
      </rPr>
      <t xml:space="preserve">                             </t>
    </r>
  </si>
  <si>
    <t>Proyecto de interculturalidad realizado en el marco del convenio.</t>
  </si>
  <si>
    <t>Fortalecida la comunidad universitaria en la práctica de la cultura a través de un Proyecto de interculturalidad</t>
  </si>
  <si>
    <t>Fortalecida  la estructura Organizativa de la Dirección para un optimo funcionamiento</t>
  </si>
  <si>
    <t>Completar la estructura organizativa propuesta y así eficiente la Dirección de Cultura en un 100%  en todos sus servicios para el cliente.</t>
  </si>
  <si>
    <t>identificación del staf f de trabajo</t>
  </si>
  <si>
    <t>Realizadas las ferias interculturales en centros regionales universitarios</t>
  </si>
  <si>
    <t>Porcentaje de ayuda economica para la realizacion de ferias culturales</t>
  </si>
  <si>
    <t>5 convenios nacionales para el fortalecimiento de la cultura universitaria.</t>
  </si>
  <si>
    <t>Talleres de capacitación para la socialización de la Política Cultural de la UNAH .</t>
  </si>
  <si>
    <t>Fortalecida la difusión del arte universal en la comunidad universitaria a través de exhibiciones artísticas.</t>
  </si>
  <si>
    <t>Fortalecida la ubicación histórica, geográfica y cultural del fondo fotográfico de Eric Singer</t>
  </si>
  <si>
    <t>Porcentaje de centros regionales capacitados a traves de 9 talleres de socialización de la Política Cultural.</t>
  </si>
  <si>
    <t>Porcentaje de giras realizadas en Centros Universitarios Regionales en apoyo a la identidad nacional.</t>
  </si>
  <si>
    <t>Gestionar la compra de tonesr y materiales de oficina para el buen funcionamiento de la Direccion</t>
  </si>
  <si>
    <t>Porcentaje de insumos adquirodos para el funcionamiento de la Direccion de Cultura.</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</si>
</sst>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9">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2"/>
      <color theme="0"/>
      <name val="Arial"/>
      <family val="2"/>
    </font>
    <font>
      <b/>
      <sz val="12"/>
      <color indexed="56"/>
      <name val="Arial"/>
      <family val="2"/>
    </font>
    <font>
      <sz val="12"/>
      <color theme="1"/>
      <name val="Arial"/>
      <family val="2"/>
    </font>
    <font>
      <sz val="12"/>
      <color rgb="FF000000"/>
      <name val="Arial"/>
      <family val="2"/>
    </font>
    <font>
      <sz val="12"/>
      <color indexed="8"/>
      <name val="Arial"/>
      <family val="2"/>
    </font>
    <font>
      <sz val="12"/>
      <color rgb="FFFF0000"/>
      <name val="Arial"/>
      <family val="2"/>
    </font>
    <font>
      <b/>
      <sz val="9"/>
      <color indexed="81"/>
      <name val="Tahoma"/>
      <family val="2"/>
    </font>
    <font>
      <b/>
      <sz val="18"/>
      <color indexed="81"/>
      <name val="Tahoma"/>
      <family val="2"/>
    </font>
    <font>
      <sz val="10"/>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6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9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8" fontId="32" fillId="0" borderId="26" xfId="18" applyNumberFormat="1" applyFont="1" applyFill="1" applyBorder="1" applyAlignment="1">
      <alignment horizontal="center" vertical="center" wrapText="1"/>
    </xf>
    <xf numFmtId="41" fontId="17" fillId="0" borderId="38" xfId="0" applyNumberFormat="1" applyFont="1" applyFill="1" applyBorder="1" applyAlignment="1">
      <alignment vertical="center"/>
    </xf>
    <xf numFmtId="41" fontId="17" fillId="2" borderId="1" xfId="0" applyNumberFormat="1" applyFont="1" applyFill="1" applyBorder="1" applyAlignment="1">
      <alignment horizontal="center" vertical="center"/>
    </xf>
    <xf numFmtId="0" fontId="17" fillId="2" borderId="58" xfId="0" applyFont="1" applyFill="1" applyBorder="1" applyAlignment="1">
      <alignment vertical="center"/>
    </xf>
    <xf numFmtId="0" fontId="17" fillId="2" borderId="4" xfId="0" applyFont="1" applyFill="1" applyBorder="1" applyAlignment="1">
      <alignment horizontal="center" vertical="center"/>
    </xf>
    <xf numFmtId="0" fontId="4" fillId="5" borderId="10" xfId="0" applyNumberFormat="1" applyFont="1" applyFill="1" applyBorder="1" applyAlignment="1">
      <alignment horizontal="center" vertical="center"/>
    </xf>
    <xf numFmtId="41" fontId="17" fillId="6" borderId="1" xfId="0" applyNumberFormat="1" applyFont="1" applyFill="1" applyBorder="1" applyAlignment="1">
      <alignment vertical="center"/>
    </xf>
    <xf numFmtId="41" fontId="17" fillId="0" borderId="17" xfId="0" applyNumberFormat="1" applyFont="1" applyFill="1" applyBorder="1" applyAlignment="1">
      <alignment vertical="center"/>
    </xf>
    <xf numFmtId="41" fontId="17" fillId="2" borderId="4" xfId="0" applyNumberFormat="1" applyFont="1" applyFill="1" applyBorder="1" applyAlignment="1">
      <alignment horizontal="center" vertical="center"/>
    </xf>
    <xf numFmtId="41" fontId="16" fillId="0" borderId="5" xfId="0" applyNumberFormat="1" applyFont="1" applyFill="1" applyBorder="1" applyAlignment="1">
      <alignment vertical="center"/>
    </xf>
    <xf numFmtId="41" fontId="16" fillId="6" borderId="49" xfId="0" applyNumberFormat="1" applyFont="1" applyFill="1" applyBorder="1" applyAlignment="1">
      <alignment vertical="center"/>
    </xf>
    <xf numFmtId="41" fontId="16" fillId="0" borderId="26" xfId="0" applyNumberFormat="1" applyFont="1" applyFill="1" applyBorder="1" applyAlignment="1">
      <alignment vertical="center"/>
    </xf>
    <xf numFmtId="41" fontId="17" fillId="0" borderId="26" xfId="0" applyNumberFormat="1" applyFont="1" applyFill="1" applyBorder="1" applyAlignment="1">
      <alignment vertical="center"/>
    </xf>
    <xf numFmtId="41" fontId="16" fillId="6" borderId="32" xfId="0" applyNumberFormat="1" applyFont="1" applyFill="1" applyBorder="1" applyAlignment="1">
      <alignment vertical="center"/>
    </xf>
    <xf numFmtId="41" fontId="17" fillId="6" borderId="40" xfId="0" applyNumberFormat="1" applyFont="1" applyFill="1" applyBorder="1" applyAlignment="1">
      <alignment vertical="center"/>
    </xf>
    <xf numFmtId="41" fontId="17" fillId="6" borderId="41" xfId="0" applyNumberFormat="1" applyFont="1" applyFill="1" applyBorder="1" applyAlignment="1">
      <alignment horizontal="center" vertical="center"/>
    </xf>
    <xf numFmtId="0" fontId="17" fillId="6" borderId="41" xfId="0" applyFont="1" applyFill="1" applyBorder="1" applyAlignment="1">
      <alignment horizontal="center" vertical="center"/>
    </xf>
    <xf numFmtId="0" fontId="17" fillId="6" borderId="39" xfId="0" applyFont="1" applyFill="1" applyBorder="1" applyAlignment="1">
      <alignment horizontal="center" vertical="center"/>
    </xf>
    <xf numFmtId="41" fontId="17" fillId="2" borderId="59" xfId="0" applyNumberFormat="1" applyFont="1" applyFill="1" applyBorder="1" applyAlignment="1">
      <alignment vertical="center"/>
    </xf>
    <xf numFmtId="41" fontId="17" fillId="2" borderId="63" xfId="0" applyNumberFormat="1" applyFont="1" applyFill="1" applyBorder="1" applyAlignment="1">
      <alignment horizontal="center" vertical="center"/>
    </xf>
    <xf numFmtId="0" fontId="17" fillId="2" borderId="63" xfId="0" applyFont="1" applyFill="1" applyBorder="1" applyAlignment="1">
      <alignment horizontal="center" vertical="center"/>
    </xf>
    <xf numFmtId="0" fontId="17" fillId="2" borderId="60" xfId="0" applyFont="1" applyFill="1" applyBorder="1" applyAlignment="1">
      <alignment horizontal="center" vertical="center"/>
    </xf>
    <xf numFmtId="41" fontId="17" fillId="2" borderId="64" xfId="0" applyNumberFormat="1" applyFont="1" applyFill="1" applyBorder="1" applyAlignment="1">
      <alignment vertical="center"/>
    </xf>
    <xf numFmtId="41" fontId="17" fillId="2" borderId="65" xfId="0" applyNumberFormat="1" applyFont="1" applyFill="1" applyBorder="1" applyAlignment="1">
      <alignment horizontal="center" vertical="center"/>
    </xf>
    <xf numFmtId="0" fontId="17" fillId="2" borderId="65" xfId="0" applyFont="1" applyFill="1" applyBorder="1" applyAlignment="1">
      <alignment horizontal="center" vertical="center"/>
    </xf>
    <xf numFmtId="0" fontId="17" fillId="2" borderId="66" xfId="0" applyFont="1" applyFill="1" applyBorder="1" applyAlignment="1">
      <alignment horizontal="center" vertical="center"/>
    </xf>
    <xf numFmtId="0" fontId="16" fillId="6" borderId="3" xfId="0" applyFont="1" applyFill="1" applyBorder="1" applyAlignment="1">
      <alignment vertical="center"/>
    </xf>
    <xf numFmtId="0" fontId="17" fillId="2" borderId="3" xfId="0" applyFont="1" applyFill="1" applyBorder="1" applyAlignment="1">
      <alignment horizontal="center" vertical="center"/>
    </xf>
    <xf numFmtId="41" fontId="17" fillId="2" borderId="61" xfId="0" applyNumberFormat="1" applyFont="1" applyFill="1" applyBorder="1" applyAlignment="1">
      <alignment vertical="center"/>
    </xf>
    <xf numFmtId="41" fontId="17" fillId="2" borderId="67" xfId="0" applyNumberFormat="1" applyFont="1" applyFill="1" applyBorder="1" applyAlignment="1">
      <alignment horizontal="center" vertical="center"/>
    </xf>
    <xf numFmtId="0" fontId="17" fillId="2" borderId="67" xfId="0" applyFont="1" applyFill="1" applyBorder="1" applyAlignment="1">
      <alignment horizontal="center" vertical="center"/>
    </xf>
    <xf numFmtId="0" fontId="17" fillId="2" borderId="62" xfId="0" applyFont="1" applyFill="1" applyBorder="1" applyAlignment="1">
      <alignment horizontal="center" vertical="center"/>
    </xf>
    <xf numFmtId="0" fontId="17" fillId="2" borderId="6" xfId="0" applyFont="1" applyFill="1" applyBorder="1" applyAlignment="1">
      <alignment vertical="center"/>
    </xf>
    <xf numFmtId="41" fontId="17" fillId="2" borderId="3" xfId="0" applyNumberFormat="1" applyFont="1" applyFill="1" applyBorder="1" applyAlignment="1">
      <alignment horizontal="center" vertical="center"/>
    </xf>
    <xf numFmtId="41" fontId="17" fillId="2" borderId="7" xfId="0" applyNumberFormat="1" applyFont="1" applyFill="1" applyBorder="1" applyAlignment="1">
      <alignment vertical="center"/>
    </xf>
    <xf numFmtId="41" fontId="17" fillId="2" borderId="6" xfId="0" applyNumberFormat="1" applyFont="1" applyFill="1" applyBorder="1" applyAlignment="1">
      <alignment vertical="center"/>
    </xf>
    <xf numFmtId="41" fontId="17" fillId="2" borderId="40" xfId="0" applyNumberFormat="1" applyFont="1" applyFill="1" applyBorder="1" applyAlignment="1">
      <alignment vertical="center"/>
    </xf>
    <xf numFmtId="41" fontId="17" fillId="2" borderId="41" xfId="0" applyNumberFormat="1" applyFont="1" applyFill="1" applyBorder="1" applyAlignment="1">
      <alignment horizontal="center" vertical="center"/>
    </xf>
    <xf numFmtId="0" fontId="17" fillId="2" borderId="41" xfId="0" applyFont="1" applyFill="1" applyBorder="1" applyAlignment="1">
      <alignment horizontal="center" vertical="center"/>
    </xf>
    <xf numFmtId="0" fontId="17" fillId="2" borderId="39" xfId="0" applyFont="1" applyFill="1" applyBorder="1" applyAlignment="1">
      <alignment horizontal="center" vertical="center"/>
    </xf>
    <xf numFmtId="0" fontId="17" fillId="2" borderId="7" xfId="0" applyFont="1" applyFill="1" applyBorder="1" applyAlignment="1">
      <alignment horizontal="center" vertical="center"/>
    </xf>
    <xf numFmtId="0" fontId="16" fillId="6" borderId="8" xfId="0" applyFont="1" applyFill="1" applyBorder="1" applyAlignment="1">
      <alignment vertical="center"/>
    </xf>
    <xf numFmtId="0" fontId="17" fillId="2" borderId="26" xfId="0" applyFont="1" applyFill="1" applyBorder="1" applyAlignment="1">
      <alignment vertical="center"/>
    </xf>
    <xf numFmtId="0" fontId="17" fillId="2" borderId="44" xfId="0" applyFont="1" applyFill="1" applyBorder="1" applyAlignment="1">
      <alignment horizontal="center" vertical="center"/>
    </xf>
    <xf numFmtId="0" fontId="0" fillId="0" borderId="33" xfId="0" applyBorder="1" applyAlignment="1">
      <alignment vertical="center"/>
    </xf>
    <xf numFmtId="41" fontId="17" fillId="2" borderId="18" xfId="0" applyNumberFormat="1" applyFont="1" applyFill="1" applyBorder="1" applyAlignment="1">
      <alignment horizontal="center" vertical="center"/>
    </xf>
    <xf numFmtId="0" fontId="3" fillId="5" borderId="12" xfId="0" applyFont="1" applyFill="1" applyBorder="1" applyAlignment="1">
      <alignment vertical="center"/>
    </xf>
    <xf numFmtId="41" fontId="17" fillId="2" borderId="0" xfId="0" applyNumberFormat="1" applyFont="1" applyFill="1" applyAlignment="1">
      <alignment horizontal="center" vertical="center"/>
    </xf>
    <xf numFmtId="2" fontId="48" fillId="11" borderId="0" xfId="10" applyNumberFormat="1" applyFont="1" applyFill="1" applyAlignment="1">
      <alignment horizontal="center" vertical="center"/>
    </xf>
    <xf numFmtId="0" fontId="17" fillId="5" borderId="12" xfId="0" applyFont="1" applyFill="1" applyBorder="1" applyAlignment="1">
      <alignment vertical="center" wrapText="1"/>
    </xf>
    <xf numFmtId="171" fontId="17" fillId="2" borderId="0" xfId="0" applyNumberFormat="1" applyFont="1" applyFill="1" applyAlignment="1">
      <alignment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0"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24" fillId="0" borderId="30" xfId="16" applyFont="1" applyBorder="1" applyAlignment="1">
      <alignment vertical="center" wrapText="1"/>
    </xf>
    <xf numFmtId="0" fontId="24" fillId="0" borderId="28" xfId="16" applyFont="1" applyBorder="1" applyAlignment="1">
      <alignment vertical="center" wrapText="1"/>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71" fillId="21" borderId="27" xfId="0" applyFont="1" applyFill="1" applyBorder="1" applyAlignment="1" applyProtection="1">
      <alignment horizontal="center" vertical="center" wrapText="1"/>
      <protection locked="0"/>
    </xf>
    <xf numFmtId="0" fontId="70" fillId="21" borderId="27" xfId="0" applyFont="1" applyFill="1" applyBorder="1" applyAlignment="1" applyProtection="1">
      <alignment horizontal="center" vertical="center" wrapText="1"/>
      <protection locked="0"/>
    </xf>
    <xf numFmtId="0" fontId="71" fillId="0" borderId="30" xfId="19" applyFont="1" applyBorder="1" applyAlignment="1">
      <alignment vertical="center" wrapText="1"/>
    </xf>
    <xf numFmtId="0" fontId="72" fillId="0" borderId="26" xfId="0" applyFont="1" applyBorder="1" applyAlignment="1">
      <alignment vertical="center" wrapText="1"/>
    </xf>
    <xf numFmtId="0" fontId="72" fillId="0" borderId="26" xfId="0" applyFont="1" applyBorder="1" applyAlignment="1">
      <alignment horizontal="center" vertical="center" wrapText="1"/>
    </xf>
    <xf numFmtId="0" fontId="72" fillId="0" borderId="26" xfId="0" applyFont="1" applyFill="1" applyBorder="1" applyAlignment="1">
      <alignment horizontal="center" vertical="center" wrapText="1"/>
    </xf>
    <xf numFmtId="9" fontId="72" fillId="0" borderId="26" xfId="0" applyNumberFormat="1" applyFont="1" applyBorder="1" applyAlignment="1">
      <alignment horizontal="center" vertical="center" wrapText="1"/>
    </xf>
    <xf numFmtId="43" fontId="72" fillId="0" borderId="26" xfId="18" applyFont="1" applyBorder="1" applyAlignment="1">
      <alignment horizontal="center" vertical="center" wrapText="1"/>
    </xf>
    <xf numFmtId="43" fontId="72" fillId="0" borderId="26" xfId="0" applyNumberFormat="1" applyFont="1" applyBorder="1" applyAlignment="1">
      <alignment horizontal="center" vertical="center" wrapText="1"/>
    </xf>
    <xf numFmtId="43" fontId="72" fillId="0" borderId="26" xfId="18" applyNumberFormat="1" applyFont="1" applyBorder="1" applyAlignment="1">
      <alignment horizontal="center" vertical="center" wrapText="1"/>
    </xf>
    <xf numFmtId="0" fontId="71" fillId="0" borderId="28" xfId="19" applyFont="1" applyBorder="1" applyAlignment="1">
      <alignment horizontal="center" vertical="center" wrapText="1"/>
    </xf>
    <xf numFmtId="0" fontId="71" fillId="0" borderId="30" xfId="19" applyFont="1" applyBorder="1" applyAlignment="1">
      <alignment horizontal="center" vertical="center" wrapText="1"/>
    </xf>
    <xf numFmtId="0" fontId="34" fillId="0" borderId="26" xfId="0" applyFont="1" applyBorder="1" applyAlignment="1">
      <alignment wrapText="1"/>
    </xf>
    <xf numFmtId="2" fontId="72" fillId="0" borderId="26" xfId="0" applyNumberFormat="1" applyFont="1" applyBorder="1" applyAlignment="1">
      <alignment horizontal="center" vertical="center" wrapText="1"/>
    </xf>
    <xf numFmtId="0" fontId="74" fillId="0" borderId="26" xfId="19" applyFont="1" applyBorder="1" applyAlignment="1">
      <alignment horizontal="center" vertical="center" wrapText="1"/>
    </xf>
    <xf numFmtId="0" fontId="34" fillId="0" borderId="26" xfId="0" applyFont="1" applyBorder="1" applyAlignment="1">
      <alignment horizontal="center" vertical="center" wrapText="1"/>
    </xf>
    <xf numFmtId="0" fontId="71" fillId="0" borderId="27" xfId="19" applyFont="1" applyBorder="1" applyAlignment="1">
      <alignment horizontal="center" vertical="center" wrapText="1"/>
    </xf>
    <xf numFmtId="0" fontId="71" fillId="10" borderId="37" xfId="19" applyFont="1" applyFill="1" applyBorder="1" applyAlignment="1">
      <alignment vertical="center"/>
    </xf>
    <xf numFmtId="0" fontId="71" fillId="10" borderId="16" xfId="19" applyFont="1" applyFill="1" applyBorder="1" applyAlignment="1">
      <alignment vertical="center"/>
    </xf>
    <xf numFmtId="0" fontId="71" fillId="10" borderId="36" xfId="19" applyFont="1" applyFill="1" applyBorder="1" applyAlignment="1">
      <alignment vertical="center"/>
    </xf>
    <xf numFmtId="43" fontId="34" fillId="10" borderId="26" xfId="18" applyNumberFormat="1" applyFont="1" applyFill="1" applyBorder="1" applyAlignment="1">
      <alignment horizontal="right" wrapText="1"/>
    </xf>
    <xf numFmtId="0" fontId="34" fillId="10" borderId="26" xfId="19" applyFont="1" applyFill="1" applyBorder="1" applyAlignment="1">
      <alignment vertical="top" wrapText="1"/>
    </xf>
    <xf numFmtId="0" fontId="72" fillId="0" borderId="0" xfId="0" applyFont="1"/>
    <xf numFmtId="0" fontId="71" fillId="8" borderId="0" xfId="19" applyFont="1" applyFill="1" applyBorder="1" applyAlignment="1">
      <alignment vertical="top"/>
    </xf>
    <xf numFmtId="43" fontId="72" fillId="0" borderId="0" xfId="18" applyFont="1"/>
    <xf numFmtId="12" fontId="71" fillId="8" borderId="0" xfId="19" applyNumberFormat="1" applyFont="1" applyFill="1" applyBorder="1" applyAlignment="1">
      <alignment vertical="top"/>
    </xf>
    <xf numFmtId="0" fontId="71" fillId="9" borderId="13" xfId="19" applyFont="1" applyFill="1" applyBorder="1" applyAlignment="1" applyProtection="1">
      <alignment vertical="top"/>
      <protection locked="0"/>
    </xf>
    <xf numFmtId="0" fontId="70" fillId="18" borderId="28"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70" fillId="18" borderId="37"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70" fillId="18" borderId="27" xfId="0" applyFont="1" applyFill="1" applyBorder="1" applyAlignment="1">
      <alignment horizontal="center" vertical="center" wrapText="1"/>
    </xf>
    <xf numFmtId="0" fontId="70" fillId="19" borderId="26" xfId="0" applyFont="1" applyFill="1" applyBorder="1" applyAlignment="1" applyProtection="1">
      <alignment horizontal="center" vertical="center" wrapText="1"/>
      <protection locked="0"/>
    </xf>
    <xf numFmtId="0" fontId="71" fillId="20" borderId="44" xfId="0" applyFont="1" applyFill="1" applyBorder="1" applyAlignment="1">
      <alignment horizontal="center" vertical="center" wrapText="1"/>
    </xf>
    <xf numFmtId="0" fontId="71" fillId="20" borderId="28" xfId="0" applyFont="1" applyFill="1" applyBorder="1" applyAlignment="1">
      <alignment horizontal="center" vertical="center" wrapText="1"/>
    </xf>
    <xf numFmtId="0" fontId="71" fillId="21" borderId="26" xfId="0" applyFont="1" applyFill="1" applyBorder="1" applyAlignment="1" applyProtection="1">
      <alignment horizontal="center" vertical="center" wrapText="1"/>
      <protection locked="0"/>
    </xf>
    <xf numFmtId="0" fontId="71" fillId="20" borderId="27" xfId="0" applyFont="1" applyFill="1" applyBorder="1" applyAlignment="1">
      <alignment horizontal="center" vertical="center" wrapText="1"/>
    </xf>
    <xf numFmtId="0" fontId="73" fillId="0" borderId="26" xfId="0" applyFont="1" applyBorder="1" applyAlignment="1">
      <alignment horizontal="center" vertical="center" wrapText="1"/>
    </xf>
    <xf numFmtId="0" fontId="72" fillId="3" borderId="26" xfId="0" applyFont="1" applyFill="1" applyBorder="1" applyAlignment="1">
      <alignment horizontal="center" vertical="center" wrapText="1"/>
    </xf>
    <xf numFmtId="0" fontId="72" fillId="3" borderId="26" xfId="0" applyFont="1" applyFill="1" applyBorder="1" applyAlignment="1">
      <alignment vertical="center" wrapText="1"/>
    </xf>
    <xf numFmtId="0" fontId="72" fillId="2" borderId="26" xfId="0" applyFont="1" applyFill="1" applyBorder="1" applyAlignment="1">
      <alignment horizontal="center" vertical="center" wrapText="1"/>
    </xf>
    <xf numFmtId="0" fontId="72" fillId="0" borderId="26" xfId="0" applyNumberFormat="1" applyFont="1" applyBorder="1" applyAlignment="1">
      <alignment horizontal="center" vertical="center" wrapText="1"/>
    </xf>
    <xf numFmtId="172" fontId="72" fillId="0" borderId="26" xfId="18" applyNumberFormat="1" applyFont="1" applyBorder="1" applyAlignment="1">
      <alignment horizontal="center" vertical="center" wrapText="1"/>
    </xf>
    <xf numFmtId="172" fontId="72" fillId="0" borderId="26" xfId="0" applyNumberFormat="1" applyFont="1" applyBorder="1" applyAlignment="1">
      <alignment horizontal="center" vertical="center" wrapText="1"/>
    </xf>
    <xf numFmtId="0" fontId="72" fillId="2" borderId="26" xfId="0" applyFont="1" applyFill="1" applyBorder="1" applyAlignment="1">
      <alignment wrapText="1"/>
    </xf>
    <xf numFmtId="0" fontId="72" fillId="2" borderId="0" xfId="0" applyFont="1" applyFill="1" applyAlignment="1">
      <alignment vertical="center" wrapText="1"/>
    </xf>
    <xf numFmtId="0" fontId="72" fillId="2" borderId="26" xfId="0" applyFont="1" applyFill="1" applyBorder="1" applyAlignment="1">
      <alignment vertical="center" wrapText="1"/>
    </xf>
    <xf numFmtId="0" fontId="72" fillId="2" borderId="0" xfId="0" applyFont="1" applyFill="1" applyAlignment="1">
      <alignment vertical="top" wrapText="1"/>
    </xf>
    <xf numFmtId="0" fontId="72" fillId="2" borderId="26" xfId="0" applyFont="1" applyFill="1" applyBorder="1" applyAlignment="1">
      <alignment vertical="top" wrapText="1"/>
    </xf>
    <xf numFmtId="0" fontId="78" fillId="2" borderId="26" xfId="0" applyFont="1" applyFill="1" applyBorder="1" applyAlignment="1">
      <alignment horizontal="lef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28</c:v>
                </c:pt>
                <c:pt idx="15">
                  <c:v>0</c:v>
                </c:pt>
                <c:pt idx="16">
                  <c:v>3</c:v>
                </c:pt>
              </c:numCache>
            </c:numRef>
          </c:val>
        </c:ser>
        <c:shape val="box"/>
        <c:axId val="105779584"/>
        <c:axId val="105781504"/>
        <c:axId val="0"/>
      </c:bar3DChart>
      <c:catAx>
        <c:axId val="105779584"/>
        <c:scaling>
          <c:orientation val="minMax"/>
        </c:scaling>
        <c:axPos val="b"/>
        <c:numFmt formatCode="General" sourceLinked="0"/>
        <c:majorTickMark val="none"/>
        <c:tickLblPos val="nextTo"/>
        <c:txPr>
          <a:bodyPr/>
          <a:lstStyle/>
          <a:p>
            <a:pPr>
              <a:defRPr lang="es-HN"/>
            </a:pPr>
            <a:endParaRPr lang="es-ES"/>
          </a:p>
        </c:txPr>
        <c:crossAx val="105781504"/>
        <c:crosses val="autoZero"/>
        <c:auto val="1"/>
        <c:lblAlgn val="ctr"/>
        <c:lblOffset val="100"/>
      </c:catAx>
      <c:valAx>
        <c:axId val="10578150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0577958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180562944"/>
        <c:axId val="344674688"/>
        <c:axId val="0"/>
      </c:bar3DChart>
      <c:catAx>
        <c:axId val="180562944"/>
        <c:scaling>
          <c:orientation val="minMax"/>
        </c:scaling>
        <c:axPos val="b"/>
        <c:numFmt formatCode="General" sourceLinked="0"/>
        <c:majorTickMark val="none"/>
        <c:tickLblPos val="nextTo"/>
        <c:txPr>
          <a:bodyPr/>
          <a:lstStyle/>
          <a:p>
            <a:pPr>
              <a:defRPr lang="es-HN"/>
            </a:pPr>
            <a:endParaRPr lang="es-ES"/>
          </a:p>
        </c:txPr>
        <c:crossAx val="344674688"/>
        <c:crosses val="autoZero"/>
        <c:auto val="1"/>
        <c:lblAlgn val="ctr"/>
        <c:lblOffset val="100"/>
      </c:catAx>
      <c:valAx>
        <c:axId val="34467468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80562944"/>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92"/>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2</c:v>
                </c:pt>
                <c:pt idx="12">
                  <c:v>0</c:v>
                </c:pt>
                <c:pt idx="13">
                  <c:v>0</c:v>
                </c:pt>
                <c:pt idx="14">
                  <c:v>0</c:v>
                </c:pt>
                <c:pt idx="15">
                  <c:v>0</c:v>
                </c:pt>
                <c:pt idx="16">
                  <c:v>0</c:v>
                </c:pt>
              </c:numCache>
            </c:numRef>
          </c:val>
        </c:ser>
        <c:shape val="box"/>
        <c:axId val="64789888"/>
        <c:axId val="64791680"/>
        <c:axId val="0"/>
      </c:bar3DChart>
      <c:catAx>
        <c:axId val="64789888"/>
        <c:scaling>
          <c:orientation val="minMax"/>
        </c:scaling>
        <c:axPos val="b"/>
        <c:numFmt formatCode="General" sourceLinked="0"/>
        <c:majorTickMark val="none"/>
        <c:tickLblPos val="nextTo"/>
        <c:txPr>
          <a:bodyPr/>
          <a:lstStyle/>
          <a:p>
            <a:pPr>
              <a:defRPr lang="es-HN"/>
            </a:pPr>
            <a:endParaRPr lang="es-ES"/>
          </a:p>
        </c:txPr>
        <c:crossAx val="64791680"/>
        <c:crosses val="autoZero"/>
        <c:auto val="1"/>
        <c:lblAlgn val="ctr"/>
        <c:lblOffset val="100"/>
      </c:catAx>
      <c:valAx>
        <c:axId val="647916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64789888"/>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1113250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7"/>
      <c r="U2" s="557"/>
      <c r="V2" s="557"/>
      <c r="W2" s="557"/>
      <c r="X2" s="557"/>
      <c r="Y2" s="557"/>
      <c r="Z2" s="557"/>
      <c r="AA2" s="557"/>
      <c r="AB2" s="557"/>
      <c r="AC2" s="557" t="s">
        <v>25</v>
      </c>
      <c r="AD2" s="557"/>
      <c r="AE2" s="557"/>
      <c r="AF2" s="557"/>
      <c r="AG2" s="557"/>
      <c r="AH2" s="557"/>
      <c r="AI2" s="557"/>
      <c r="AJ2" s="557"/>
    </row>
    <row r="3" spans="2:36" ht="16.5" customHeight="1">
      <c r="B3" s="33" t="s">
        <v>7</v>
      </c>
      <c r="C3" s="33"/>
      <c r="D3" s="33"/>
      <c r="E3" s="33"/>
      <c r="F3" s="33"/>
      <c r="G3" s="33"/>
      <c r="H3" s="33"/>
      <c r="I3" s="33"/>
      <c r="J3" s="33"/>
      <c r="K3" s="33"/>
      <c r="L3" s="33"/>
      <c r="M3" s="33"/>
      <c r="N3" s="33"/>
      <c r="O3" s="33"/>
      <c r="P3" s="33"/>
      <c r="Q3" s="33"/>
      <c r="R3" s="33"/>
      <c r="S3" s="33"/>
      <c r="T3" s="557"/>
      <c r="U3" s="557"/>
      <c r="V3" s="557"/>
      <c r="W3" s="557"/>
      <c r="X3" s="557"/>
      <c r="Y3" s="557"/>
      <c r="Z3" s="557"/>
      <c r="AA3" s="557"/>
      <c r="AB3" s="557"/>
      <c r="AC3" s="557" t="s">
        <v>7</v>
      </c>
      <c r="AD3" s="557"/>
      <c r="AE3" s="557"/>
      <c r="AF3" s="557"/>
      <c r="AG3" s="557"/>
      <c r="AH3" s="557"/>
      <c r="AI3" s="557"/>
      <c r="AJ3" s="557"/>
    </row>
    <row r="4" spans="2:36" ht="12.75" customHeight="1">
      <c r="B4" s="33" t="s">
        <v>36</v>
      </c>
      <c r="C4" s="33"/>
      <c r="D4" s="33"/>
      <c r="E4" s="33"/>
      <c r="F4" s="33"/>
      <c r="G4" s="33"/>
      <c r="H4" s="33"/>
      <c r="I4" s="33"/>
      <c r="J4" s="33"/>
      <c r="K4" s="33"/>
      <c r="L4" s="33"/>
      <c r="M4" s="33"/>
      <c r="N4" s="33"/>
      <c r="O4" s="33"/>
      <c r="P4" s="33"/>
      <c r="Q4" s="33"/>
      <c r="R4" s="33"/>
      <c r="S4" s="33"/>
      <c r="T4" s="557"/>
      <c r="U4" s="557"/>
      <c r="V4" s="557"/>
      <c r="W4" s="557"/>
      <c r="X4" s="557"/>
      <c r="Y4" s="557"/>
      <c r="Z4" s="557"/>
      <c r="AA4" s="557"/>
      <c r="AB4" s="557"/>
      <c r="AC4" s="557" t="s">
        <v>36</v>
      </c>
      <c r="AD4" s="557"/>
      <c r="AE4" s="557"/>
      <c r="AF4" s="557"/>
      <c r="AG4" s="557"/>
      <c r="AH4" s="557"/>
      <c r="AI4" s="557"/>
      <c r="AJ4" s="557"/>
    </row>
    <row r="5" spans="2:36" ht="15.75">
      <c r="B5" s="2"/>
      <c r="C5" s="2"/>
      <c r="D5" s="2"/>
    </row>
    <row r="6" spans="2:36" ht="16.5" thickBot="1">
      <c r="B6" s="2"/>
      <c r="C6" s="2"/>
      <c r="D6" s="2"/>
    </row>
    <row r="7" spans="2:36" ht="75.75" customHeight="1">
      <c r="B7" s="554" t="s">
        <v>20</v>
      </c>
      <c r="C7" s="554" t="s">
        <v>38</v>
      </c>
      <c r="D7" s="554" t="s">
        <v>39</v>
      </c>
      <c r="E7" s="563" t="s">
        <v>40</v>
      </c>
      <c r="F7" s="554" t="s">
        <v>37</v>
      </c>
      <c r="G7" s="563" t="s">
        <v>9</v>
      </c>
      <c r="H7" s="552" t="s">
        <v>0</v>
      </c>
      <c r="I7" s="552" t="s">
        <v>8</v>
      </c>
      <c r="J7" s="552" t="s">
        <v>16</v>
      </c>
      <c r="K7" s="552"/>
      <c r="L7" s="552" t="s">
        <v>13</v>
      </c>
      <c r="M7" s="552"/>
      <c r="N7" s="552"/>
      <c r="O7" s="552"/>
      <c r="P7" s="552"/>
      <c r="Q7" s="552"/>
      <c r="R7" s="552"/>
      <c r="S7" s="552"/>
      <c r="T7" s="554" t="s">
        <v>14</v>
      </c>
      <c r="U7" s="552" t="s">
        <v>18</v>
      </c>
      <c r="V7" s="552" t="s">
        <v>26</v>
      </c>
      <c r="W7" s="552"/>
      <c r="X7" s="552" t="s">
        <v>15</v>
      </c>
      <c r="Y7" s="552" t="s">
        <v>17</v>
      </c>
      <c r="Z7" s="552"/>
      <c r="AA7" s="552" t="s">
        <v>22</v>
      </c>
      <c r="AB7" s="552" t="s">
        <v>32</v>
      </c>
      <c r="AC7" s="558" t="s">
        <v>31</v>
      </c>
      <c r="AD7" s="558"/>
      <c r="AE7" s="558"/>
      <c r="AF7" s="558"/>
      <c r="AG7" s="552" t="s">
        <v>28</v>
      </c>
      <c r="AH7" s="552" t="s">
        <v>29</v>
      </c>
      <c r="AI7" s="552" t="s">
        <v>1</v>
      </c>
      <c r="AJ7" s="552" t="s">
        <v>2</v>
      </c>
    </row>
    <row r="8" spans="2:36" ht="15.75" customHeight="1">
      <c r="B8" s="555"/>
      <c r="C8" s="555"/>
      <c r="D8" s="555"/>
      <c r="E8" s="564"/>
      <c r="F8" s="555"/>
      <c r="G8" s="564"/>
      <c r="H8" s="553"/>
      <c r="I8" s="553"/>
      <c r="J8" s="553" t="s">
        <v>33</v>
      </c>
      <c r="K8" s="553" t="s">
        <v>19</v>
      </c>
      <c r="L8" s="556" t="s">
        <v>3</v>
      </c>
      <c r="M8" s="556"/>
      <c r="N8" s="556" t="s">
        <v>4</v>
      </c>
      <c r="O8" s="556"/>
      <c r="P8" s="556" t="s">
        <v>5</v>
      </c>
      <c r="Q8" s="556"/>
      <c r="R8" s="556" t="s">
        <v>6</v>
      </c>
      <c r="S8" s="556"/>
      <c r="T8" s="555"/>
      <c r="U8" s="553"/>
      <c r="V8" s="553" t="s">
        <v>23</v>
      </c>
      <c r="W8" s="553" t="s">
        <v>21</v>
      </c>
      <c r="X8" s="553"/>
      <c r="Y8" s="553" t="s">
        <v>23</v>
      </c>
      <c r="Z8" s="553" t="s">
        <v>21</v>
      </c>
      <c r="AA8" s="553"/>
      <c r="AB8" s="553"/>
      <c r="AC8" s="14" t="s">
        <v>3</v>
      </c>
      <c r="AD8" s="14" t="s">
        <v>4</v>
      </c>
      <c r="AE8" s="14" t="s">
        <v>5</v>
      </c>
      <c r="AF8" s="14" t="s">
        <v>6</v>
      </c>
      <c r="AG8" s="553"/>
      <c r="AH8" s="553"/>
      <c r="AI8" s="553"/>
      <c r="AJ8" s="553"/>
    </row>
    <row r="9" spans="2:36" ht="78.75">
      <c r="B9" s="555"/>
      <c r="C9" s="555"/>
      <c r="D9" s="555"/>
      <c r="E9" s="564"/>
      <c r="F9" s="555"/>
      <c r="G9" s="564"/>
      <c r="H9" s="553"/>
      <c r="I9" s="553"/>
      <c r="J9" s="553"/>
      <c r="K9" s="553"/>
      <c r="L9" s="32" t="s">
        <v>11</v>
      </c>
      <c r="M9" s="32" t="s">
        <v>12</v>
      </c>
      <c r="N9" s="32" t="s">
        <v>11</v>
      </c>
      <c r="O9" s="32" t="s">
        <v>12</v>
      </c>
      <c r="P9" s="32" t="s">
        <v>11</v>
      </c>
      <c r="Q9" s="32" t="s">
        <v>12</v>
      </c>
      <c r="R9" s="32" t="s">
        <v>11</v>
      </c>
      <c r="S9" s="32" t="s">
        <v>12</v>
      </c>
      <c r="T9" s="555"/>
      <c r="U9" s="553"/>
      <c r="V9" s="553"/>
      <c r="W9" s="553"/>
      <c r="X9" s="553"/>
      <c r="Y9" s="553"/>
      <c r="Z9" s="553"/>
      <c r="AA9" s="553"/>
      <c r="AB9" s="553"/>
      <c r="AC9" s="14" t="s">
        <v>24</v>
      </c>
      <c r="AD9" s="14" t="s">
        <v>24</v>
      </c>
      <c r="AE9" s="14" t="s">
        <v>24</v>
      </c>
      <c r="AF9" s="14" t="s">
        <v>24</v>
      </c>
      <c r="AG9" s="553"/>
      <c r="AH9" s="553"/>
      <c r="AI9" s="553"/>
      <c r="AJ9" s="553"/>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61" t="s">
        <v>10</v>
      </c>
      <c r="K31" s="562"/>
      <c r="L31" s="559"/>
      <c r="M31" s="560"/>
      <c r="N31" s="559"/>
      <c r="O31" s="560"/>
      <c r="P31" s="559"/>
      <c r="Q31" s="560"/>
      <c r="R31" s="559"/>
      <c r="S31" s="56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B4" zoomScale="86" zoomScaleNormal="86" zoomScaleSheetLayoutView="80" workbookViewId="0">
      <selection activeCell="J17" sqref="J1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4">
        <f>SUM(F17:F37)</f>
        <v>0</v>
      </c>
      <c r="F10" s="70"/>
      <c r="G10" s="79"/>
      <c r="H10" s="70"/>
      <c r="I10" s="70"/>
    </row>
    <row r="11" spans="1:555">
      <c r="C11" s="70"/>
      <c r="D11" s="31"/>
      <c r="E11" s="93"/>
      <c r="F11" s="93"/>
      <c r="G11" s="93"/>
      <c r="H11" s="76"/>
      <c r="I11" s="76"/>
      <c r="J11" s="76"/>
      <c r="K11" s="112"/>
    </row>
    <row r="12" spans="1:555" ht="15.75">
      <c r="B12" s="93"/>
      <c r="C12" s="303" t="s">
        <v>392</v>
      </c>
      <c r="D12" s="370"/>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9" t="s">
        <v>1453</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3"/>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74">
        <f>SUM(F47:F67)</f>
        <v>0</v>
      </c>
      <c r="F40" s="70"/>
      <c r="G40" s="79"/>
      <c r="H40" s="70"/>
      <c r="I40" s="70"/>
    </row>
    <row r="41" spans="3:12">
      <c r="C41" s="70"/>
      <c r="D41" s="31"/>
      <c r="E41" s="93"/>
      <c r="F41" s="93"/>
      <c r="G41" s="93"/>
      <c r="H41" s="76"/>
      <c r="I41" s="76"/>
      <c r="J41" s="76"/>
      <c r="K41" s="112"/>
    </row>
    <row r="42" spans="3:12" ht="15.75">
      <c r="C42" s="303" t="s">
        <v>392</v>
      </c>
      <c r="D42" s="370"/>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9" t="s">
        <v>1453</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3"/>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74">
        <f>SUM(F77:F97)</f>
        <v>0</v>
      </c>
      <c r="F70" s="70"/>
      <c r="G70" s="79"/>
      <c r="H70" s="70"/>
      <c r="I70" s="70"/>
    </row>
    <row r="71" spans="3:12">
      <c r="C71" s="70"/>
      <c r="D71" s="31"/>
      <c r="E71" s="93"/>
      <c r="F71" s="93"/>
      <c r="G71" s="93"/>
      <c r="H71" s="76"/>
      <c r="I71" s="76"/>
      <c r="J71" s="76"/>
      <c r="K71" s="112"/>
    </row>
    <row r="72" spans="3:12" ht="15.75">
      <c r="C72" s="303" t="s">
        <v>392</v>
      </c>
      <c r="D72" s="370"/>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9" t="s">
        <v>1453</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3"/>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74">
        <f>SUM(F107:F127)</f>
        <v>0</v>
      </c>
      <c r="F100" s="70"/>
      <c r="G100" s="79"/>
      <c r="H100" s="70"/>
      <c r="I100" s="70"/>
    </row>
    <row r="101" spans="3:12">
      <c r="C101" s="70"/>
      <c r="D101" s="31"/>
      <c r="E101" s="93"/>
      <c r="F101" s="93"/>
      <c r="G101" s="93"/>
      <c r="H101" s="76"/>
      <c r="I101" s="76"/>
      <c r="J101" s="76"/>
      <c r="K101" s="112"/>
    </row>
    <row r="102" spans="3:12" ht="15.75">
      <c r="C102" s="303" t="s">
        <v>392</v>
      </c>
      <c r="D102" s="370"/>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9" t="s">
        <v>1453</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3"/>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74">
        <f>SUM(F137:F157)</f>
        <v>0</v>
      </c>
      <c r="F130" s="70"/>
      <c r="G130" s="79"/>
      <c r="H130" s="70"/>
      <c r="I130" s="70"/>
    </row>
    <row r="131" spans="3:12">
      <c r="C131" s="70"/>
      <c r="D131" s="31"/>
      <c r="E131" s="93"/>
      <c r="F131" s="93"/>
      <c r="G131" s="93"/>
      <c r="H131" s="76"/>
      <c r="I131" s="76"/>
      <c r="J131" s="76"/>
      <c r="K131" s="112"/>
    </row>
    <row r="132" spans="3:12" ht="15.75">
      <c r="C132" s="303" t="s">
        <v>392</v>
      </c>
      <c r="D132" s="370"/>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9" t="s">
        <v>1453</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3"/>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74">
        <f>SUM(F167:F187)</f>
        <v>0</v>
      </c>
      <c r="F160" s="70"/>
      <c r="G160" s="79"/>
      <c r="H160" s="70"/>
      <c r="I160" s="70"/>
    </row>
    <row r="161" spans="3:12">
      <c r="C161" s="70"/>
      <c r="D161" s="31"/>
      <c r="E161" s="93"/>
      <c r="F161" s="93"/>
      <c r="G161" s="93"/>
      <c r="H161" s="76"/>
      <c r="I161" s="76"/>
      <c r="J161" s="76"/>
      <c r="K161" s="112"/>
    </row>
    <row r="162" spans="3:12" ht="15.75">
      <c r="C162" s="303" t="s">
        <v>392</v>
      </c>
      <c r="D162" s="370"/>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9" t="s">
        <v>1453</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D13" sqref="D13"/>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SUM(F17:F50)</f>
        <v>0</v>
      </c>
      <c r="G10" s="79"/>
      <c r="H10" s="70"/>
      <c r="I10" s="70"/>
    </row>
    <row r="11" spans="1:555">
      <c r="G11" s="79"/>
      <c r="H11" s="70"/>
      <c r="I11" s="70"/>
    </row>
    <row r="12" spans="1:555">
      <c r="F12" s="70"/>
      <c r="G12" s="79"/>
      <c r="H12" s="70"/>
      <c r="I12" s="70"/>
    </row>
    <row r="13" spans="1:555" ht="15.75">
      <c r="C13" s="303" t="s">
        <v>392</v>
      </c>
      <c r="D13" s="370"/>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1358</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4">
        <f>SUM(F60:F93)</f>
        <v>0</v>
      </c>
      <c r="G53" s="79"/>
      <c r="H53" s="70"/>
      <c r="I53" s="70"/>
    </row>
    <row r="54" spans="3:17">
      <c r="G54" s="79"/>
      <c r="H54" s="70"/>
      <c r="I54" s="70"/>
    </row>
    <row r="55" spans="3:17">
      <c r="F55" s="70"/>
      <c r="G55" s="79"/>
      <c r="H55" s="70"/>
      <c r="I55" s="70"/>
    </row>
    <row r="56" spans="3:17" ht="15.75">
      <c r="C56" s="303" t="s">
        <v>392</v>
      </c>
      <c r="D56" s="370"/>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1358</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4">
        <f>SUM(F103:F136)</f>
        <v>0</v>
      </c>
      <c r="G96" s="79"/>
      <c r="H96" s="70"/>
      <c r="I96" s="70"/>
    </row>
    <row r="97" spans="3:17">
      <c r="G97" s="79"/>
      <c r="H97" s="70"/>
      <c r="I97" s="70"/>
    </row>
    <row r="98" spans="3:17">
      <c r="F98" s="70"/>
      <c r="G98" s="79"/>
      <c r="H98" s="70"/>
      <c r="I98" s="70"/>
    </row>
    <row r="99" spans="3:17" ht="15.75">
      <c r="C99" s="303" t="s">
        <v>392</v>
      </c>
      <c r="D99" s="370"/>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1358</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4">
        <f>SUM(F146:F179)</f>
        <v>0</v>
      </c>
      <c r="G139" s="79"/>
      <c r="H139" s="70"/>
      <c r="I139" s="70"/>
    </row>
    <row r="140" spans="3:17">
      <c r="G140" s="79"/>
      <c r="H140" s="70"/>
      <c r="I140" s="70"/>
    </row>
    <row r="141" spans="3:17">
      <c r="F141" s="70"/>
      <c r="G141" s="79"/>
      <c r="H141" s="70"/>
      <c r="I141" s="70"/>
    </row>
    <row r="142" spans="3:17" ht="15.75">
      <c r="C142" s="303" t="s">
        <v>392</v>
      </c>
      <c r="D142" s="370"/>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1358</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topLeftCell="D1" workbookViewId="0">
      <pane ySplit="7" topLeftCell="A8" activePane="bottomLeft" state="frozen"/>
      <selection activeCell="M8" sqref="M8"/>
      <selection pane="bottomLeft" activeCell="A9" sqref="A9:A18"/>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1342</v>
      </c>
      <c r="H1" s="208"/>
      <c r="I1" s="208"/>
      <c r="J1" s="208"/>
      <c r="K1" s="208"/>
      <c r="L1" s="208"/>
      <c r="M1" s="208"/>
      <c r="N1" s="208"/>
      <c r="O1" s="208"/>
      <c r="P1" s="208"/>
      <c r="Q1" s="208"/>
      <c r="R1" s="208"/>
      <c r="S1" s="208"/>
      <c r="T1" s="208"/>
      <c r="U1" s="208"/>
    </row>
    <row r="2" spans="1:21" ht="18" customHeight="1">
      <c r="A2" s="311" t="s">
        <v>1341</v>
      </c>
      <c r="B2" s="208"/>
      <c r="C2" s="208"/>
      <c r="D2" s="208"/>
      <c r="E2" s="241"/>
      <c r="G2" s="209"/>
      <c r="H2" s="208"/>
      <c r="I2" s="208"/>
      <c r="J2" s="208"/>
      <c r="K2" s="208"/>
      <c r="L2" s="208"/>
      <c r="M2" s="208"/>
      <c r="N2" s="208"/>
      <c r="O2" s="208"/>
      <c r="P2" s="208"/>
      <c r="Q2" s="208"/>
      <c r="R2" s="208"/>
      <c r="S2" s="208"/>
      <c r="T2" s="208"/>
      <c r="U2" s="208"/>
    </row>
    <row r="3" spans="1:21" ht="18" customHeight="1">
      <c r="A3" s="311" t="s">
        <v>1343</v>
      </c>
      <c r="B3" s="208"/>
      <c r="C3" s="208"/>
      <c r="D3" s="208"/>
      <c r="E3" s="241"/>
      <c r="G3" s="209"/>
      <c r="H3" s="208"/>
      <c r="I3" s="208"/>
      <c r="J3" s="208"/>
      <c r="K3" s="208"/>
      <c r="L3" s="208"/>
      <c r="M3" s="208"/>
      <c r="N3" s="208"/>
      <c r="O3" s="208"/>
      <c r="P3" s="208"/>
      <c r="Q3" s="208"/>
      <c r="R3" s="208"/>
      <c r="S3" s="208"/>
      <c r="T3" s="208"/>
      <c r="U3" s="208"/>
    </row>
    <row r="4" spans="1:21" ht="18" customHeight="1">
      <c r="A4" s="311" t="s">
        <v>1372</v>
      </c>
      <c r="B4" s="208"/>
      <c r="C4" s="208"/>
      <c r="D4" s="208"/>
      <c r="E4" s="241"/>
      <c r="G4" s="209"/>
      <c r="H4" s="208"/>
      <c r="I4" s="208"/>
      <c r="J4" s="208"/>
      <c r="K4" s="208"/>
      <c r="L4" s="208"/>
      <c r="M4" s="208"/>
      <c r="N4" s="208"/>
      <c r="O4" s="208"/>
      <c r="P4" s="208"/>
      <c r="Q4" s="208"/>
      <c r="R4" s="208"/>
      <c r="S4" s="208"/>
      <c r="T4" s="208"/>
      <c r="U4" s="208"/>
    </row>
    <row r="5" spans="1:21" ht="14.45" customHeight="1">
      <c r="A5" s="577" t="s">
        <v>97</v>
      </c>
      <c r="B5" s="576" t="s">
        <v>111</v>
      </c>
      <c r="C5" s="579" t="s">
        <v>86</v>
      </c>
      <c r="D5" s="579" t="s">
        <v>87</v>
      </c>
      <c r="E5" s="579" t="s">
        <v>392</v>
      </c>
      <c r="F5" s="579" t="s">
        <v>88</v>
      </c>
      <c r="G5" s="582" t="s">
        <v>100</v>
      </c>
      <c r="H5" s="588"/>
      <c r="I5" s="588"/>
      <c r="J5" s="588"/>
      <c r="K5" s="588"/>
      <c r="L5" s="588"/>
      <c r="M5" s="588"/>
      <c r="N5" s="583"/>
      <c r="O5" s="584" t="s">
        <v>101</v>
      </c>
      <c r="P5" s="585"/>
      <c r="Q5" s="576" t="s">
        <v>102</v>
      </c>
      <c r="R5" s="576" t="s">
        <v>103</v>
      </c>
      <c r="S5" s="576" t="s">
        <v>110</v>
      </c>
      <c r="T5" s="576" t="s">
        <v>109</v>
      </c>
      <c r="U5" s="573" t="s">
        <v>89</v>
      </c>
    </row>
    <row r="6" spans="1:21" ht="14.45" customHeight="1">
      <c r="A6" s="577"/>
      <c r="B6" s="577"/>
      <c r="C6" s="580"/>
      <c r="D6" s="580"/>
      <c r="E6" s="580"/>
      <c r="F6" s="580"/>
      <c r="G6" s="582" t="s">
        <v>104</v>
      </c>
      <c r="H6" s="583"/>
      <c r="I6" s="582" t="s">
        <v>105</v>
      </c>
      <c r="J6" s="583"/>
      <c r="K6" s="582" t="s">
        <v>106</v>
      </c>
      <c r="L6" s="583"/>
      <c r="M6" s="582" t="s">
        <v>107</v>
      </c>
      <c r="N6" s="583"/>
      <c r="O6" s="586"/>
      <c r="P6" s="587"/>
      <c r="Q6" s="577"/>
      <c r="R6" s="577"/>
      <c r="S6" s="577"/>
      <c r="T6" s="577"/>
      <c r="U6" s="574"/>
    </row>
    <row r="7" spans="1:21" ht="25.5">
      <c r="A7" s="578"/>
      <c r="B7" s="578"/>
      <c r="C7" s="581"/>
      <c r="D7" s="581"/>
      <c r="E7" s="581"/>
      <c r="F7" s="581"/>
      <c r="G7" s="440" t="s">
        <v>108</v>
      </c>
      <c r="H7" s="440" t="s">
        <v>12</v>
      </c>
      <c r="I7" s="440" t="s">
        <v>108</v>
      </c>
      <c r="J7" s="440" t="s">
        <v>12</v>
      </c>
      <c r="K7" s="440" t="s">
        <v>108</v>
      </c>
      <c r="L7" s="440" t="s">
        <v>12</v>
      </c>
      <c r="M7" s="440" t="s">
        <v>108</v>
      </c>
      <c r="N7" s="440" t="s">
        <v>12</v>
      </c>
      <c r="O7" s="440" t="s">
        <v>108</v>
      </c>
      <c r="P7" s="440" t="s">
        <v>12</v>
      </c>
      <c r="Q7" s="578"/>
      <c r="R7" s="578"/>
      <c r="S7" s="578"/>
      <c r="T7" s="578"/>
      <c r="U7" s="575"/>
    </row>
    <row r="8" spans="1:21" ht="15.75">
      <c r="A8" s="441"/>
      <c r="B8" s="442"/>
      <c r="C8" s="443"/>
      <c r="D8" s="443"/>
      <c r="E8" s="444"/>
      <c r="F8" s="443"/>
      <c r="G8" s="445"/>
      <c r="H8" s="445"/>
      <c r="I8" s="445"/>
      <c r="J8" s="445"/>
      <c r="K8" s="445"/>
      <c r="L8" s="445"/>
      <c r="M8" s="445"/>
      <c r="N8" s="445"/>
      <c r="O8" s="445"/>
      <c r="P8" s="445"/>
      <c r="Q8" s="446"/>
      <c r="R8" s="446"/>
      <c r="S8" s="446"/>
      <c r="T8" s="446"/>
      <c r="U8" s="447"/>
    </row>
    <row r="9" spans="1:21" ht="15.75">
      <c r="A9" s="595" t="s">
        <v>1373</v>
      </c>
      <c r="B9" s="592" t="s">
        <v>1374</v>
      </c>
      <c r="C9" s="325"/>
      <c r="D9" s="325"/>
      <c r="E9" s="71"/>
      <c r="F9" s="71"/>
      <c r="G9" s="203"/>
      <c r="H9" s="204"/>
      <c r="I9" s="203"/>
      <c r="J9" s="204"/>
      <c r="K9" s="203"/>
      <c r="L9" s="204"/>
      <c r="M9" s="203"/>
      <c r="N9" s="204"/>
      <c r="O9" s="380">
        <f>G9+I9+K9+M9</f>
        <v>0</v>
      </c>
      <c r="P9" s="380">
        <f>H9+J9+L9+N9</f>
        <v>0</v>
      </c>
      <c r="Q9" s="71"/>
      <c r="R9" s="71"/>
      <c r="S9" s="71"/>
      <c r="T9" s="71"/>
      <c r="U9" s="71"/>
    </row>
    <row r="10" spans="1:21" ht="15.75">
      <c r="A10" s="596"/>
      <c r="B10" s="593"/>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c r="A11" s="596"/>
      <c r="B11" s="593"/>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c r="A12" s="596"/>
      <c r="B12" s="593"/>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c r="A13" s="596"/>
      <c r="B13" s="593"/>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c r="A14" s="596"/>
      <c r="B14" s="593"/>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c r="A15" s="596"/>
      <c r="B15" s="593"/>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c r="A16" s="596"/>
      <c r="B16" s="593"/>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c r="A17" s="596"/>
      <c r="B17" s="593"/>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c r="A18" s="597"/>
      <c r="B18" s="594"/>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c r="A19" s="589" t="s">
        <v>1375</v>
      </c>
      <c r="B19" s="589" t="s">
        <v>1374</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c r="A20" s="590"/>
      <c r="B20" s="590"/>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c r="A21" s="590"/>
      <c r="B21" s="590"/>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c r="A22" s="590"/>
      <c r="B22" s="590"/>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c r="A23" s="590"/>
      <c r="B23" s="590"/>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c r="A24" s="590"/>
      <c r="B24" s="590"/>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c r="A25" s="590"/>
      <c r="B25" s="590"/>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c r="A26" s="590"/>
      <c r="B26" s="590"/>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c r="A27" s="591"/>
      <c r="B27" s="591"/>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c r="A28" s="296"/>
      <c r="B28" s="297"/>
      <c r="C28" s="296" t="s">
        <v>1350</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90"/>
      <c r="C1" s="290"/>
      <c r="D1" s="290"/>
      <c r="E1" s="290"/>
      <c r="F1" s="290"/>
      <c r="G1" s="290" t="s">
        <v>1379</v>
      </c>
      <c r="H1" s="290"/>
      <c r="I1" s="290"/>
      <c r="J1" s="290"/>
      <c r="K1" s="290"/>
      <c r="L1" s="290"/>
      <c r="M1" s="290"/>
      <c r="N1" s="290"/>
      <c r="O1" s="381"/>
      <c r="P1" s="381"/>
      <c r="Q1" s="290"/>
      <c r="R1" s="290"/>
      <c r="S1" s="290"/>
      <c r="T1" s="290"/>
      <c r="U1" s="290"/>
    </row>
    <row r="2" spans="1:21" s="245" customFormat="1" ht="18.75">
      <c r="A2" s="312" t="s">
        <v>1341</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c r="A3" s="246" t="s">
        <v>1376</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s="67" customFormat="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s="67" customFormat="1" ht="24" customHeight="1">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s="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598" t="s">
        <v>1377</v>
      </c>
      <c r="B8" s="598" t="s">
        <v>1454</v>
      </c>
      <c r="C8" s="308"/>
      <c r="D8" s="308"/>
      <c r="E8" s="308"/>
      <c r="F8" s="308"/>
      <c r="G8" s="250"/>
      <c r="H8" s="250"/>
      <c r="I8" s="251"/>
      <c r="J8" s="252"/>
      <c r="K8" s="250"/>
      <c r="L8" s="231"/>
      <c r="M8" s="251"/>
      <c r="N8" s="231"/>
      <c r="O8" s="383">
        <f>G8+I8+K8+M8</f>
        <v>0</v>
      </c>
      <c r="P8" s="384">
        <f>H8+J8+L8+N8</f>
        <v>0</v>
      </c>
      <c r="Q8" s="250"/>
      <c r="R8" s="250"/>
      <c r="S8" s="250"/>
      <c r="T8" s="250"/>
      <c r="U8" s="308"/>
    </row>
    <row r="9" spans="1:21" ht="15.75">
      <c r="A9" s="599"/>
      <c r="B9" s="599"/>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c r="A10" s="599"/>
      <c r="B10" s="599"/>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c r="A11" s="599"/>
      <c r="B11" s="599"/>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c r="A12" s="599"/>
      <c r="B12" s="599"/>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c r="A13" s="599"/>
      <c r="B13" s="600"/>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c r="A14" s="599"/>
      <c r="B14" s="598" t="s">
        <v>1455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c r="A15" s="599"/>
      <c r="B15" s="599"/>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c r="A16" s="599"/>
      <c r="B16" s="599"/>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c r="A17" s="599"/>
      <c r="B17" s="599"/>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c r="A18" s="599"/>
      <c r="B18" s="599"/>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c r="A19" s="599"/>
      <c r="B19" s="600"/>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c r="A20" s="599"/>
      <c r="B20" s="598" t="s">
        <v>1456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c r="A21" s="599"/>
      <c r="B21" s="599"/>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c r="A22" s="599"/>
      <c r="B22" s="599"/>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c r="A23" s="599"/>
      <c r="B23" s="599"/>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c r="A24" s="599"/>
      <c r="B24" s="599"/>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c r="A25" s="599"/>
      <c r="B25" s="599"/>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c r="A26" s="599"/>
      <c r="B26" s="599"/>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c r="A27" s="599"/>
      <c r="B27" s="600"/>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c r="A28" s="599"/>
      <c r="B28" s="601" t="s">
        <v>1506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c r="A29" s="599"/>
      <c r="B29" s="601"/>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c r="A30" s="599"/>
      <c r="B30" s="601"/>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c r="A31" s="599"/>
      <c r="B31" s="601"/>
      <c r="C31" s="249"/>
      <c r="D31" s="308"/>
      <c r="E31" s="308"/>
      <c r="F31" s="308"/>
      <c r="G31" s="250"/>
      <c r="H31" s="250"/>
      <c r="I31" s="206"/>
      <c r="J31" s="250"/>
      <c r="K31" s="250"/>
      <c r="L31" s="231"/>
      <c r="M31" s="250"/>
      <c r="N31" s="231"/>
      <c r="O31" s="383"/>
      <c r="P31" s="384"/>
      <c r="Q31" s="250"/>
      <c r="R31" s="250"/>
      <c r="S31" s="250"/>
      <c r="T31" s="250"/>
      <c r="U31" s="308"/>
    </row>
    <row r="32" spans="1:21" ht="15.75">
      <c r="A32" s="599"/>
      <c r="B32" s="601"/>
      <c r="C32" s="249"/>
      <c r="D32" s="308"/>
      <c r="E32" s="308"/>
      <c r="F32" s="308"/>
      <c r="G32" s="250"/>
      <c r="H32" s="250"/>
      <c r="I32" s="206"/>
      <c r="J32" s="250"/>
      <c r="K32" s="250"/>
      <c r="L32" s="231"/>
      <c r="M32" s="250"/>
      <c r="N32" s="231"/>
      <c r="O32" s="383"/>
      <c r="P32" s="384"/>
      <c r="Q32" s="250"/>
      <c r="R32" s="250"/>
      <c r="S32" s="250"/>
      <c r="T32" s="250"/>
      <c r="U32" s="308"/>
    </row>
    <row r="33" spans="1:21" ht="15.75">
      <c r="A33" s="599"/>
      <c r="B33" s="601"/>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c r="A34" s="599"/>
      <c r="B34" s="601"/>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c r="A35" s="599"/>
      <c r="B35" s="601"/>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c r="A36" s="599"/>
      <c r="B36" s="601"/>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c r="A37" s="599"/>
      <c r="B37" s="601"/>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c r="A38" s="599"/>
      <c r="B38" s="601"/>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c r="A39" s="599"/>
      <c r="B39" s="601" t="s">
        <v>1457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c r="A40" s="599"/>
      <c r="B40" s="601"/>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c r="A41" s="599"/>
      <c r="B41" s="601"/>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c r="A42" s="599"/>
      <c r="B42" s="601"/>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c r="A43" s="599"/>
      <c r="B43" s="601"/>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c r="A44" s="599"/>
      <c r="B44" s="601"/>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c r="A45" s="599"/>
      <c r="B45" s="601"/>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c r="A46" s="599"/>
      <c r="B46" s="601"/>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c r="A47" s="293"/>
      <c r="B47" s="294"/>
      <c r="C47" s="293" t="s">
        <v>1378</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c r="A79" s="258"/>
      <c r="B79" s="259"/>
      <c r="C79" s="259"/>
      <c r="D79" s="259"/>
      <c r="E79" s="260"/>
      <c r="F79" s="259"/>
      <c r="G79" s="259"/>
      <c r="H79" s="259"/>
      <c r="I79" s="259"/>
      <c r="J79" s="259"/>
      <c r="K79" s="259"/>
      <c r="L79" s="259"/>
      <c r="M79" s="259"/>
      <c r="N79" s="259"/>
      <c r="O79" s="386"/>
      <c r="P79" s="386"/>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93"/>
  <sheetViews>
    <sheetView showGridLines="0" topLeftCell="H1" workbookViewId="0">
      <pane ySplit="7" topLeftCell="A8" activePane="bottomLeft" state="frozen"/>
      <selection activeCell="A7" sqref="A7"/>
      <selection pane="bottomLeft" activeCell="P1" sqref="P1"/>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90"/>
      <c r="G1" s="285" t="s">
        <v>91</v>
      </c>
      <c r="I1" s="285"/>
      <c r="J1" s="285"/>
      <c r="K1" s="285"/>
      <c r="L1" s="285"/>
      <c r="M1" s="285"/>
      <c r="N1" s="285"/>
      <c r="O1" s="285"/>
      <c r="P1" s="285"/>
      <c r="Q1" s="285"/>
      <c r="R1" s="285"/>
      <c r="S1" s="285"/>
      <c r="T1" s="285"/>
      <c r="U1" s="285"/>
      <c r="V1" s="285"/>
      <c r="W1" s="285"/>
      <c r="X1" s="285"/>
      <c r="Y1" s="285"/>
      <c r="Z1" s="285"/>
      <c r="AA1" s="285"/>
    </row>
    <row r="2" spans="1:27" ht="18.75">
      <c r="A2" s="269" t="s">
        <v>1347</v>
      </c>
      <c r="E2" s="290"/>
      <c r="G2" s="285"/>
      <c r="I2" s="285"/>
      <c r="J2" s="285"/>
      <c r="K2" s="285"/>
      <c r="L2" s="285"/>
      <c r="M2" s="285"/>
      <c r="N2" s="285"/>
      <c r="O2" s="285"/>
      <c r="P2" s="285"/>
      <c r="Q2" s="285"/>
      <c r="R2" s="285"/>
      <c r="S2" s="285"/>
      <c r="T2" s="285"/>
      <c r="U2" s="285"/>
      <c r="V2" s="285"/>
      <c r="W2" s="285"/>
      <c r="X2" s="285"/>
      <c r="Y2" s="285"/>
      <c r="Z2" s="285"/>
      <c r="AA2" s="285"/>
    </row>
    <row r="3" spans="1:27" ht="18.75">
      <c r="A3" s="318" t="s">
        <v>1474</v>
      </c>
      <c r="E3" s="290"/>
      <c r="G3" s="285"/>
      <c r="I3" s="285"/>
      <c r="J3" s="285"/>
      <c r="K3" s="285"/>
      <c r="L3" s="285"/>
      <c r="M3" s="285"/>
      <c r="N3" s="285"/>
      <c r="O3" s="285"/>
      <c r="P3" s="285"/>
      <c r="Q3" s="285"/>
      <c r="R3" s="285"/>
      <c r="S3" s="285"/>
      <c r="T3" s="285"/>
      <c r="U3" s="285"/>
      <c r="V3" s="285"/>
      <c r="W3" s="285"/>
      <c r="X3" s="285"/>
      <c r="Y3" s="285"/>
      <c r="Z3" s="285"/>
      <c r="AA3" s="285"/>
    </row>
    <row r="4" spans="1:27" ht="15">
      <c r="A4" s="373" t="s">
        <v>1475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577" t="s">
        <v>97</v>
      </c>
      <c r="B5" s="576" t="s">
        <v>111</v>
      </c>
      <c r="C5" s="579" t="s">
        <v>86</v>
      </c>
      <c r="D5" s="579" t="s">
        <v>87</v>
      </c>
      <c r="E5" s="579" t="s">
        <v>392</v>
      </c>
      <c r="F5" s="579" t="s">
        <v>88</v>
      </c>
      <c r="G5" s="582" t="s">
        <v>100</v>
      </c>
      <c r="H5" s="588"/>
      <c r="I5" s="588"/>
      <c r="J5" s="588"/>
      <c r="K5" s="588"/>
      <c r="L5" s="588"/>
      <c r="M5" s="588"/>
      <c r="N5" s="583"/>
      <c r="O5" s="584" t="s">
        <v>101</v>
      </c>
      <c r="P5" s="585"/>
      <c r="Q5" s="576" t="s">
        <v>102</v>
      </c>
      <c r="R5" s="576" t="s">
        <v>103</v>
      </c>
      <c r="S5" s="576" t="s">
        <v>110</v>
      </c>
      <c r="T5" s="576" t="s">
        <v>109</v>
      </c>
      <c r="U5" s="573" t="s">
        <v>89</v>
      </c>
    </row>
    <row r="6" spans="1:27" s="66" customFormat="1" ht="15" customHeight="1">
      <c r="A6" s="577"/>
      <c r="B6" s="577"/>
      <c r="C6" s="580"/>
      <c r="D6" s="580"/>
      <c r="E6" s="580"/>
      <c r="F6" s="580"/>
      <c r="G6" s="582" t="s">
        <v>104</v>
      </c>
      <c r="H6" s="583"/>
      <c r="I6" s="582" t="s">
        <v>105</v>
      </c>
      <c r="J6" s="583"/>
      <c r="K6" s="582" t="s">
        <v>106</v>
      </c>
      <c r="L6" s="583"/>
      <c r="M6" s="582" t="s">
        <v>107</v>
      </c>
      <c r="N6" s="583"/>
      <c r="O6" s="586"/>
      <c r="P6" s="587"/>
      <c r="Q6" s="577"/>
      <c r="R6" s="577"/>
      <c r="S6" s="577"/>
      <c r="T6" s="577"/>
      <c r="U6" s="574"/>
    </row>
    <row r="7" spans="1:27" s="66" customFormat="1" ht="24" customHeight="1">
      <c r="A7" s="578"/>
      <c r="B7" s="578"/>
      <c r="C7" s="581"/>
      <c r="D7" s="581"/>
      <c r="E7" s="581"/>
      <c r="F7" s="581"/>
      <c r="G7" s="440" t="s">
        <v>108</v>
      </c>
      <c r="H7" s="440" t="s">
        <v>12</v>
      </c>
      <c r="I7" s="440" t="s">
        <v>108</v>
      </c>
      <c r="J7" s="440" t="s">
        <v>12</v>
      </c>
      <c r="K7" s="440" t="s">
        <v>108</v>
      </c>
      <c r="L7" s="440" t="s">
        <v>12</v>
      </c>
      <c r="M7" s="440" t="s">
        <v>108</v>
      </c>
      <c r="N7" s="440" t="s">
        <v>12</v>
      </c>
      <c r="O7" s="440" t="s">
        <v>108</v>
      </c>
      <c r="P7" s="440" t="s">
        <v>12</v>
      </c>
      <c r="Q7" s="578"/>
      <c r="R7" s="578"/>
      <c r="S7" s="578"/>
      <c r="T7" s="578"/>
      <c r="U7" s="575"/>
    </row>
    <row r="8" spans="1:27" ht="15.75" customHeight="1">
      <c r="A8" s="441"/>
      <c r="B8" s="442"/>
      <c r="C8" s="443"/>
      <c r="D8" s="443"/>
      <c r="E8" s="444"/>
      <c r="F8" s="443"/>
      <c r="G8" s="445"/>
      <c r="H8" s="445"/>
      <c r="I8" s="445"/>
      <c r="J8" s="445"/>
      <c r="K8" s="445"/>
      <c r="L8" s="445"/>
      <c r="M8" s="445"/>
      <c r="N8" s="445"/>
      <c r="O8" s="445"/>
      <c r="P8" s="445"/>
      <c r="Q8" s="446"/>
      <c r="R8" s="446"/>
      <c r="S8" s="446"/>
      <c r="T8" s="446"/>
      <c r="U8" s="447"/>
    </row>
    <row r="9" spans="1:27" ht="15.75">
      <c r="A9" s="602" t="s">
        <v>1460</v>
      </c>
      <c r="B9" s="601" t="s">
        <v>1458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c r="A10" s="603"/>
      <c r="B10" s="601"/>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c r="A11" s="603"/>
      <c r="B11" s="601"/>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c r="A12" s="603"/>
      <c r="B12" s="601"/>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c r="A13" s="603"/>
      <c r="B13" s="601"/>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c r="A14" s="603"/>
      <c r="B14" s="601"/>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c r="A15" s="603"/>
      <c r="B15" s="601"/>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c r="A16" s="604"/>
      <c r="B16" s="601"/>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c r="A17" s="598" t="s">
        <v>1459</v>
      </c>
      <c r="B17" s="598" t="s">
        <v>1461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c r="A18" s="599"/>
      <c r="B18" s="599"/>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c r="A19" s="599"/>
      <c r="B19" s="599"/>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c r="A20" s="599"/>
      <c r="B20" s="599"/>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c r="A21" s="599"/>
      <c r="B21" s="599"/>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c r="A22" s="599"/>
      <c r="B22" s="600"/>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c r="A23" s="599"/>
      <c r="B23" s="598" t="s">
        <v>1462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c r="A24" s="599"/>
      <c r="B24" s="599"/>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c r="A25" s="599"/>
      <c r="B25" s="599"/>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c r="A26" s="599"/>
      <c r="B26" s="599"/>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c r="A27" s="599"/>
      <c r="B27" s="599"/>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c r="A28" s="599"/>
      <c r="B28" s="599"/>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c r="A29" s="599"/>
      <c r="B29" s="601" t="s">
        <v>1463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c r="A30" s="599"/>
      <c r="B30" s="601"/>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c r="A31" s="599"/>
      <c r="B31" s="601"/>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c r="A32" s="599"/>
      <c r="B32" s="601"/>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c r="A33" s="599"/>
      <c r="B33" s="601"/>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c r="A34" s="599"/>
      <c r="B34" s="601" t="s">
        <v>1464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c r="A35" s="599"/>
      <c r="B35" s="601"/>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c r="A36" s="599"/>
      <c r="B36" s="601"/>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c r="A37" s="599"/>
      <c r="B37" s="601"/>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c r="A38" s="599"/>
      <c r="B38" s="601" t="s">
        <v>1465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c r="A39" s="599"/>
      <c r="B39" s="601"/>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c r="A40" s="599"/>
      <c r="B40" s="601"/>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c r="A41" s="599"/>
      <c r="B41" s="601"/>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c r="A42" s="599"/>
      <c r="B42" s="601"/>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c r="A43" s="598" t="s">
        <v>1460</v>
      </c>
      <c r="B43" s="601" t="s">
        <v>1466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c r="A44" s="599"/>
      <c r="B44" s="601"/>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c r="A45" s="599"/>
      <c r="B45" s="601"/>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c r="A46" s="599"/>
      <c r="B46" s="601"/>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c r="A47" s="599"/>
      <c r="B47" s="601"/>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c r="A48" s="599"/>
      <c r="B48" s="601"/>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c r="A49" s="599"/>
      <c r="B49" s="601" t="s">
        <v>1467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c r="A50" s="599"/>
      <c r="B50" s="601"/>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c r="A51" s="599"/>
      <c r="B51" s="601"/>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c r="A52" s="599"/>
      <c r="B52" s="601" t="s">
        <v>1468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c r="A53" s="599"/>
      <c r="B53" s="601"/>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c r="A54" s="599"/>
      <c r="B54" s="601"/>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c r="A55" s="599"/>
      <c r="B55" s="601"/>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c r="A56" s="599"/>
      <c r="B56" s="601" t="s">
        <v>1469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c r="A57" s="599"/>
      <c r="B57" s="601"/>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c r="A58" s="599"/>
      <c r="B58" s="601"/>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c r="A59" s="599"/>
      <c r="B59" s="601"/>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c r="A60" s="599"/>
      <c r="B60" s="601" t="s">
        <v>1470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c r="A61" s="599"/>
      <c r="B61" s="601"/>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c r="A62" s="599"/>
      <c r="B62" s="601"/>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c r="A63" s="599"/>
      <c r="B63" s="601"/>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c r="A64" s="599"/>
      <c r="B64" s="606" t="s">
        <v>1471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c r="A65" s="599"/>
      <c r="B65" s="607"/>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c r="A66" s="599"/>
      <c r="B66" s="607"/>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c r="A67" s="599"/>
      <c r="B67" s="608"/>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c r="A68" s="599"/>
      <c r="B68" s="605" t="s">
        <v>1472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c r="A69" s="599"/>
      <c r="B69" s="605"/>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c r="A70" s="599"/>
      <c r="B70" s="605"/>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c r="A71" s="599"/>
      <c r="B71" s="606" t="s">
        <v>1473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c r="A72" s="599"/>
      <c r="B72" s="607"/>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c r="A73" s="599"/>
      <c r="B73" s="608"/>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477</v>
      </c>
      <c r="I1" s="285"/>
      <c r="J1" s="285"/>
      <c r="K1" s="285"/>
      <c r="L1" s="285"/>
      <c r="M1" s="285"/>
      <c r="N1" s="285"/>
      <c r="O1" s="285"/>
      <c r="P1" s="285"/>
      <c r="Q1" s="285"/>
      <c r="R1" s="285"/>
      <c r="S1" s="285"/>
      <c r="T1" s="285"/>
      <c r="U1" s="285"/>
    </row>
    <row r="2" spans="1:21" ht="18.75">
      <c r="A2" s="319" t="s">
        <v>1346</v>
      </c>
      <c r="B2" s="285"/>
      <c r="C2" s="285"/>
      <c r="D2" s="285"/>
      <c r="E2" s="285"/>
      <c r="F2" s="285"/>
      <c r="G2" s="285"/>
      <c r="I2" s="285"/>
      <c r="J2" s="285"/>
      <c r="K2" s="285"/>
      <c r="L2" s="285"/>
      <c r="M2" s="285"/>
      <c r="N2" s="285"/>
      <c r="O2" s="285"/>
      <c r="P2" s="285"/>
      <c r="Q2" s="285"/>
      <c r="R2" s="285"/>
      <c r="S2" s="285"/>
      <c r="T2" s="285"/>
      <c r="U2" s="285"/>
    </row>
    <row r="3" spans="1:21">
      <c r="A3" s="609" t="s">
        <v>1348</v>
      </c>
      <c r="B3" s="609"/>
      <c r="C3" s="609"/>
      <c r="D3" s="609"/>
      <c r="E3" s="609"/>
      <c r="F3" s="609"/>
      <c r="G3" s="609"/>
      <c r="H3" s="609"/>
      <c r="I3" s="609"/>
      <c r="J3" s="609"/>
      <c r="K3" s="609"/>
      <c r="L3" s="609"/>
      <c r="M3" s="609"/>
      <c r="N3" s="609"/>
      <c r="O3" s="609"/>
      <c r="P3" s="609"/>
      <c r="Q3" s="609"/>
      <c r="R3" s="609"/>
      <c r="S3" s="609"/>
      <c r="T3" s="609"/>
      <c r="U3" s="609"/>
    </row>
    <row r="4" spans="1:21" ht="1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 r="A8" s="598" t="s">
        <v>1380</v>
      </c>
      <c r="B8" s="598" t="s">
        <v>1381</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c r="A9" s="599"/>
      <c r="B9" s="599"/>
      <c r="C9" s="326"/>
      <c r="D9" s="326"/>
      <c r="E9" s="366"/>
      <c r="F9" s="250"/>
      <c r="G9" s="251"/>
      <c r="H9" s="231"/>
      <c r="I9" s="251"/>
      <c r="J9" s="231"/>
      <c r="K9" s="251"/>
      <c r="L9" s="231"/>
      <c r="M9" s="251"/>
      <c r="N9" s="231"/>
      <c r="O9" s="383">
        <f t="shared" si="0"/>
        <v>0</v>
      </c>
      <c r="P9" s="384">
        <f t="shared" si="1"/>
        <v>0</v>
      </c>
      <c r="Q9" s="250"/>
      <c r="R9" s="250"/>
      <c r="S9" s="250"/>
      <c r="T9" s="250"/>
      <c r="U9" s="250"/>
    </row>
    <row r="10" spans="1:21" ht="15.75">
      <c r="A10" s="599"/>
      <c r="B10" s="599"/>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c r="A11" s="599"/>
      <c r="B11" s="599"/>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c r="A12" s="599"/>
      <c r="B12" s="599"/>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c r="A13" s="599"/>
      <c r="B13" s="599"/>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c r="A14" s="599"/>
      <c r="B14" s="599"/>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c r="A15" s="599"/>
      <c r="B15" s="599"/>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c r="A16" s="599"/>
      <c r="B16" s="599"/>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c r="A17" s="599"/>
      <c r="B17" s="599"/>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c r="A18" s="599"/>
      <c r="B18" s="599"/>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c r="A19" s="599"/>
      <c r="B19" s="599"/>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c r="A20" s="600"/>
      <c r="B20" s="600"/>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c r="A21" s="293"/>
      <c r="B21" s="294"/>
      <c r="C21" s="293" t="s">
        <v>1382</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c r="G1" s="285" t="s">
        <v>1383</v>
      </c>
      <c r="I1" s="285"/>
      <c r="J1" s="285"/>
      <c r="K1" s="285"/>
      <c r="L1" s="285"/>
      <c r="M1" s="285"/>
      <c r="N1" s="285"/>
      <c r="O1" s="393"/>
      <c r="P1" s="393"/>
      <c r="Q1" s="285"/>
      <c r="R1" s="285"/>
      <c r="S1" s="285"/>
      <c r="T1" s="285"/>
      <c r="U1" s="285"/>
      <c r="V1" s="285"/>
      <c r="W1" s="285"/>
      <c r="X1" s="285"/>
      <c r="Y1" s="285"/>
      <c r="Z1" s="285"/>
      <c r="AA1" s="285"/>
    </row>
    <row r="2" spans="1:27" ht="18.75">
      <c r="A2" s="316" t="s">
        <v>1346</v>
      </c>
      <c r="G2" s="285"/>
      <c r="I2" s="285"/>
      <c r="J2" s="285"/>
      <c r="K2" s="285"/>
      <c r="L2" s="285"/>
      <c r="M2" s="285"/>
      <c r="N2" s="285"/>
      <c r="O2" s="393"/>
      <c r="P2" s="393"/>
      <c r="Q2" s="285"/>
      <c r="R2" s="285"/>
      <c r="S2" s="285"/>
      <c r="T2" s="285"/>
      <c r="U2" s="285"/>
      <c r="V2" s="285"/>
      <c r="W2" s="285"/>
      <c r="X2" s="285"/>
      <c r="Y2" s="285"/>
      <c r="Z2" s="285"/>
      <c r="AA2" s="285"/>
    </row>
    <row r="3" spans="1:27" ht="18.75">
      <c r="A3" s="317" t="s">
        <v>1391</v>
      </c>
      <c r="G3" s="285"/>
      <c r="I3" s="285"/>
      <c r="J3" s="285"/>
      <c r="K3" s="285"/>
      <c r="L3" s="285"/>
      <c r="M3" s="285"/>
      <c r="N3" s="285"/>
      <c r="O3" s="393"/>
      <c r="P3" s="393"/>
      <c r="Q3" s="285"/>
      <c r="R3" s="285"/>
      <c r="S3" s="285"/>
      <c r="T3" s="285"/>
      <c r="U3" s="285"/>
      <c r="V3" s="285"/>
      <c r="W3" s="285"/>
      <c r="X3" s="285"/>
      <c r="Y3" s="285"/>
      <c r="Z3" s="285"/>
      <c r="AA3" s="285"/>
    </row>
    <row r="4" spans="1:27" ht="18.75">
      <c r="A4" s="317" t="s">
        <v>1390</v>
      </c>
      <c r="G4" s="285"/>
      <c r="I4" s="285"/>
      <c r="J4" s="285"/>
      <c r="K4" s="285"/>
      <c r="L4" s="285"/>
      <c r="M4" s="285"/>
      <c r="N4" s="285"/>
      <c r="O4" s="393"/>
      <c r="P4" s="393"/>
      <c r="Q4" s="285"/>
      <c r="R4" s="285"/>
      <c r="S4" s="285"/>
      <c r="T4" s="285"/>
      <c r="U4" s="285"/>
      <c r="V4" s="285"/>
      <c r="W4" s="285"/>
      <c r="X4" s="285"/>
      <c r="Y4" s="285"/>
      <c r="Z4" s="285"/>
      <c r="AA4" s="285"/>
    </row>
    <row r="5" spans="1:27">
      <c r="A5" s="289" t="s">
        <v>1393</v>
      </c>
      <c r="B5" s="270"/>
      <c r="C5" s="270"/>
      <c r="D5" s="270"/>
      <c r="E5" s="270"/>
      <c r="F5" s="270"/>
      <c r="G5" s="270"/>
      <c r="H5" s="270"/>
      <c r="I5" s="270"/>
      <c r="J5" s="270"/>
      <c r="K5" s="270"/>
      <c r="L5" s="270"/>
      <c r="M5" s="270"/>
      <c r="N5" s="270"/>
      <c r="O5" s="394"/>
      <c r="P5" s="394"/>
      <c r="Q5" s="270"/>
      <c r="R5" s="270"/>
      <c r="S5" s="270"/>
      <c r="T5" s="270"/>
      <c r="U5" s="270"/>
    </row>
    <row r="6" spans="1:27" ht="15" customHeight="1">
      <c r="A6" s="577" t="s">
        <v>97</v>
      </c>
      <c r="B6" s="576" t="s">
        <v>111</v>
      </c>
      <c r="C6" s="579" t="s">
        <v>86</v>
      </c>
      <c r="D6" s="579" t="s">
        <v>87</v>
      </c>
      <c r="E6" s="579" t="s">
        <v>392</v>
      </c>
      <c r="F6" s="579" t="s">
        <v>88</v>
      </c>
      <c r="G6" s="582" t="s">
        <v>100</v>
      </c>
      <c r="H6" s="588"/>
      <c r="I6" s="588"/>
      <c r="J6" s="588"/>
      <c r="K6" s="588"/>
      <c r="L6" s="588"/>
      <c r="M6" s="588"/>
      <c r="N6" s="583"/>
      <c r="O6" s="584" t="s">
        <v>101</v>
      </c>
      <c r="P6" s="585"/>
      <c r="Q6" s="576" t="s">
        <v>102</v>
      </c>
      <c r="R6" s="576" t="s">
        <v>103</v>
      </c>
      <c r="S6" s="576" t="s">
        <v>110</v>
      </c>
      <c r="T6" s="576" t="s">
        <v>109</v>
      </c>
      <c r="U6" s="573" t="s">
        <v>89</v>
      </c>
    </row>
    <row r="7" spans="1:27" ht="15" customHeight="1">
      <c r="A7" s="577"/>
      <c r="B7" s="577"/>
      <c r="C7" s="580"/>
      <c r="D7" s="580"/>
      <c r="E7" s="580"/>
      <c r="F7" s="580"/>
      <c r="G7" s="582" t="s">
        <v>104</v>
      </c>
      <c r="H7" s="583"/>
      <c r="I7" s="582" t="s">
        <v>105</v>
      </c>
      <c r="J7" s="583"/>
      <c r="K7" s="582" t="s">
        <v>106</v>
      </c>
      <c r="L7" s="583"/>
      <c r="M7" s="582" t="s">
        <v>107</v>
      </c>
      <c r="N7" s="583"/>
      <c r="O7" s="586"/>
      <c r="P7" s="587"/>
      <c r="Q7" s="577"/>
      <c r="R7" s="577"/>
      <c r="S7" s="577"/>
      <c r="T7" s="577"/>
      <c r="U7" s="574"/>
    </row>
    <row r="8" spans="1:27" ht="25.5">
      <c r="A8" s="578"/>
      <c r="B8" s="578"/>
      <c r="C8" s="581"/>
      <c r="D8" s="581"/>
      <c r="E8" s="581"/>
      <c r="F8" s="581"/>
      <c r="G8" s="440" t="s">
        <v>108</v>
      </c>
      <c r="H8" s="440" t="s">
        <v>12</v>
      </c>
      <c r="I8" s="440" t="s">
        <v>108</v>
      </c>
      <c r="J8" s="440" t="s">
        <v>12</v>
      </c>
      <c r="K8" s="440" t="s">
        <v>108</v>
      </c>
      <c r="L8" s="440" t="s">
        <v>12</v>
      </c>
      <c r="M8" s="440" t="s">
        <v>108</v>
      </c>
      <c r="N8" s="440" t="s">
        <v>12</v>
      </c>
      <c r="O8" s="440" t="s">
        <v>108</v>
      </c>
      <c r="P8" s="440" t="s">
        <v>12</v>
      </c>
      <c r="Q8" s="578"/>
      <c r="R8" s="578"/>
      <c r="S8" s="578"/>
      <c r="T8" s="578"/>
      <c r="U8" s="575"/>
    </row>
    <row r="9" spans="1:27" s="367" customFormat="1" ht="15.75">
      <c r="A9" s="441"/>
      <c r="B9" s="442"/>
      <c r="C9" s="443"/>
      <c r="D9" s="443"/>
      <c r="E9" s="444"/>
      <c r="F9" s="443"/>
      <c r="G9" s="445"/>
      <c r="H9" s="445"/>
      <c r="I9" s="445"/>
      <c r="J9" s="445"/>
      <c r="K9" s="445"/>
      <c r="L9" s="445"/>
      <c r="M9" s="445"/>
      <c r="N9" s="445"/>
      <c r="O9" s="445"/>
      <c r="P9" s="445"/>
      <c r="Q9" s="446"/>
      <c r="R9" s="446"/>
      <c r="S9" s="446"/>
      <c r="T9" s="446"/>
      <c r="U9" s="447"/>
    </row>
    <row r="10" spans="1:27" ht="15.75">
      <c r="A10" s="598" t="s">
        <v>1384</v>
      </c>
      <c r="B10" s="598" t="s">
        <v>1385</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c r="A11" s="599"/>
      <c r="B11" s="599"/>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c r="A12" s="599"/>
      <c r="B12" s="599"/>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c r="A13" s="599"/>
      <c r="B13" s="599"/>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c r="A14" s="599"/>
      <c r="B14" s="599"/>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c r="A15" s="599"/>
      <c r="B15" s="600"/>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c r="A16" s="599"/>
      <c r="B16" s="598" t="s">
        <v>1387</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c r="A17" s="599"/>
      <c r="B17" s="599"/>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c r="A18" s="599"/>
      <c r="B18" s="599"/>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c r="A19" s="599"/>
      <c r="B19" s="599"/>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c r="A20" s="599"/>
      <c r="B20" s="600"/>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c r="A21" s="599"/>
      <c r="B21" s="598" t="s">
        <v>1388</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c r="A22" s="599"/>
      <c r="B22" s="599"/>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c r="A23" s="599"/>
      <c r="B23" s="599"/>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c r="A24" s="599"/>
      <c r="B24" s="600"/>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 r="A25" s="599"/>
      <c r="B25" s="601" t="s">
        <v>1389</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c r="A26" s="599"/>
      <c r="B26" s="601"/>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c r="A27" s="599"/>
      <c r="B27" s="601"/>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c r="A28" s="599"/>
      <c r="B28" s="601"/>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c r="A29" s="600"/>
      <c r="B29" s="601"/>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c r="A30" s="610" t="s">
        <v>478</v>
      </c>
      <c r="B30" s="611"/>
      <c r="C30" s="611"/>
      <c r="D30" s="611"/>
      <c r="E30" s="611"/>
      <c r="F30" s="611"/>
      <c r="G30" s="611"/>
      <c r="H30" s="611"/>
      <c r="I30" s="611"/>
      <c r="J30" s="611"/>
      <c r="K30" s="611"/>
      <c r="L30" s="611"/>
      <c r="M30" s="611"/>
      <c r="N30" s="611"/>
      <c r="O30" s="611"/>
      <c r="P30" s="611"/>
      <c r="Q30" s="611"/>
      <c r="R30" s="611"/>
      <c r="S30" s="611"/>
      <c r="T30" s="611"/>
      <c r="U30" s="612"/>
    </row>
    <row r="31" spans="1:21" ht="15.75" customHeight="1">
      <c r="A31" s="598" t="s">
        <v>1394</v>
      </c>
      <c r="B31" s="601" t="s">
        <v>1395</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c r="A32" s="599"/>
      <c r="B32" s="601"/>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c r="A33" s="599"/>
      <c r="B33" s="601"/>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c r="A34" s="599"/>
      <c r="B34" s="601"/>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c r="A35" s="599"/>
      <c r="B35" s="601"/>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c r="A36" s="600"/>
      <c r="B36" s="601"/>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c r="A37" s="601" t="s">
        <v>1392</v>
      </c>
      <c r="B37" s="601" t="s">
        <v>1396</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c r="A38" s="601"/>
      <c r="B38" s="601"/>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c r="A39" s="601"/>
      <c r="B39" s="601"/>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c r="A40" s="601"/>
      <c r="B40" s="601"/>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c r="A41" s="601"/>
      <c r="B41" s="601"/>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c r="A42" s="601"/>
      <c r="B42" s="601"/>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c r="A43" s="293"/>
      <c r="B43" s="294"/>
      <c r="C43" s="294"/>
      <c r="D43" s="293" t="s">
        <v>1386</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c r="H45"/>
      <c r="J45"/>
      <c r="L45"/>
      <c r="N45"/>
      <c r="P45" s="396"/>
    </row>
    <row r="46" spans="1:21">
      <c r="H46"/>
      <c r="J46"/>
      <c r="L46"/>
      <c r="N46"/>
      <c r="P46" s="396"/>
    </row>
    <row r="47" spans="1:21">
      <c r="H47"/>
      <c r="J47"/>
      <c r="L47"/>
      <c r="N47"/>
      <c r="P47" s="396"/>
    </row>
    <row r="48" spans="1:21">
      <c r="H48"/>
      <c r="J48"/>
      <c r="L48"/>
      <c r="N48"/>
      <c r="P48" s="396"/>
    </row>
    <row r="49" spans="8:16">
      <c r="H49"/>
      <c r="J49"/>
      <c r="L49"/>
      <c r="N49"/>
      <c r="P49" s="396"/>
    </row>
    <row r="50" spans="8:16">
      <c r="H50"/>
      <c r="J50"/>
      <c r="L50"/>
      <c r="N50"/>
      <c r="P50" s="396"/>
    </row>
    <row r="51" spans="8:16">
      <c r="H51"/>
      <c r="J51"/>
      <c r="L51"/>
      <c r="N51"/>
      <c r="P51" s="396"/>
    </row>
    <row r="52" spans="8:16">
      <c r="H52"/>
      <c r="J52"/>
      <c r="L52"/>
      <c r="N52"/>
      <c r="P52" s="396"/>
    </row>
    <row r="53" spans="8:16">
      <c r="H53"/>
      <c r="J53"/>
      <c r="L53"/>
      <c r="N53"/>
      <c r="P53" s="396"/>
    </row>
    <row r="54" spans="8:16">
      <c r="H54"/>
      <c r="J54"/>
      <c r="L54"/>
      <c r="N54"/>
      <c r="P54" s="396"/>
    </row>
    <row r="55" spans="8:16">
      <c r="H55"/>
      <c r="J55"/>
      <c r="L55"/>
      <c r="N55"/>
      <c r="P55" s="396"/>
    </row>
    <row r="56" spans="8:16">
      <c r="H56"/>
      <c r="J56"/>
      <c r="L56"/>
      <c r="N56"/>
      <c r="P56" s="396"/>
    </row>
    <row r="57" spans="8:16">
      <c r="H57"/>
      <c r="J57"/>
      <c r="L57"/>
      <c r="N57"/>
      <c r="P57" s="396"/>
    </row>
    <row r="58" spans="8:16">
      <c r="H58"/>
      <c r="J58"/>
      <c r="L58"/>
      <c r="N58"/>
      <c r="P58" s="396"/>
    </row>
    <row r="59" spans="8:16">
      <c r="H59"/>
      <c r="J59"/>
      <c r="L59"/>
      <c r="N59"/>
      <c r="P59" s="396"/>
    </row>
    <row r="60" spans="8:16">
      <c r="H60"/>
      <c r="J60"/>
      <c r="L60"/>
      <c r="N60"/>
      <c r="P60" s="396"/>
    </row>
    <row r="61" spans="8:16">
      <c r="H61"/>
      <c r="J61"/>
      <c r="L61"/>
      <c r="N61"/>
      <c r="P61" s="396"/>
    </row>
    <row r="62" spans="8:16">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P6" sqref="P6"/>
      <selection pane="bottomLeft" activeCell="B1" sqref="B1"/>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c r="B1" s="285"/>
      <c r="C1" s="285"/>
      <c r="D1" s="285"/>
      <c r="E1" s="285"/>
      <c r="F1" s="285"/>
      <c r="G1" s="285" t="s">
        <v>115</v>
      </c>
      <c r="I1" s="285"/>
      <c r="J1" s="285"/>
      <c r="K1" s="285"/>
      <c r="L1" s="285"/>
      <c r="M1" s="285"/>
      <c r="N1" s="285"/>
      <c r="O1" s="285"/>
      <c r="P1" s="285"/>
      <c r="Q1" s="285"/>
      <c r="R1" s="285"/>
      <c r="S1" s="285"/>
      <c r="T1" s="285"/>
      <c r="U1" s="285"/>
    </row>
    <row r="2" spans="1:21" s="286" customFormat="1" ht="18" customHeight="1">
      <c r="A2" s="320" t="s">
        <v>1349</v>
      </c>
      <c r="B2" s="285"/>
      <c r="C2" s="285"/>
      <c r="D2" s="285"/>
      <c r="E2" s="285"/>
      <c r="F2" s="285"/>
      <c r="G2" s="285"/>
      <c r="I2" s="285"/>
      <c r="J2" s="285"/>
      <c r="K2" s="285"/>
      <c r="L2" s="285"/>
      <c r="M2" s="285"/>
      <c r="N2" s="285"/>
      <c r="O2" s="285"/>
      <c r="P2" s="285"/>
      <c r="Q2" s="285"/>
      <c r="R2" s="285"/>
      <c r="S2" s="285"/>
      <c r="T2" s="285"/>
      <c r="U2" s="285"/>
    </row>
    <row r="3" spans="1:21" s="286" customFormat="1" ht="18.75">
      <c r="A3" s="355" t="s">
        <v>1397</v>
      </c>
      <c r="B3" s="285"/>
      <c r="C3" s="285"/>
      <c r="D3" s="285"/>
      <c r="E3" s="285"/>
      <c r="F3" s="285"/>
      <c r="G3" s="285"/>
      <c r="I3" s="285"/>
      <c r="J3" s="285"/>
      <c r="K3" s="285"/>
      <c r="L3" s="285"/>
      <c r="M3" s="285"/>
      <c r="N3" s="285"/>
      <c r="O3" s="285"/>
      <c r="P3" s="285"/>
      <c r="Q3" s="285"/>
      <c r="R3" s="285"/>
      <c r="S3" s="285"/>
      <c r="T3" s="285"/>
      <c r="U3" s="285"/>
    </row>
    <row r="4" spans="1:21" s="66" customFormat="1" ht="15.7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s="66" customFormat="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s="67" customFormat="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s="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 r="A8" s="613" t="s">
        <v>1398</v>
      </c>
      <c r="B8" s="613"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c r="A9" s="613"/>
      <c r="B9" s="613"/>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c r="A10" s="613"/>
      <c r="B10" s="613"/>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c r="A11" s="613"/>
      <c r="B11" s="613"/>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c r="A12" s="613"/>
      <c r="B12" s="613"/>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c r="A13" s="613"/>
      <c r="B13" s="613"/>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c r="A14" s="613"/>
      <c r="B14" s="613"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c r="A15" s="613"/>
      <c r="B15" s="613"/>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c r="A16" s="613"/>
      <c r="B16" s="613"/>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c r="A17" s="613"/>
      <c r="B17" s="613"/>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c r="A18" s="613"/>
      <c r="B18" s="613"/>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c r="A19" s="613"/>
      <c r="B19" s="613"/>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c r="A20" s="613"/>
      <c r="B20" s="613" t="s">
        <v>1399</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c r="A21" s="613"/>
      <c r="B21" s="613"/>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c r="A22" s="613"/>
      <c r="B22" s="613"/>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c r="A23" s="613"/>
      <c r="B23" s="613"/>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c r="A24" s="613"/>
      <c r="B24" s="613"/>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c r="A25" s="613"/>
      <c r="B25" s="613"/>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c r="A26" s="613"/>
      <c r="B26" s="613"/>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40"/>
  <sheetViews>
    <sheetView tabSelected="1" zoomScale="40" zoomScaleNormal="40" workbookViewId="0">
      <pane ySplit="5" topLeftCell="A24" activePane="bottomLeft" state="frozen"/>
      <selection activeCell="R5" sqref="R5"/>
      <selection pane="bottomLeft" activeCell="E28" sqref="E28"/>
    </sheetView>
  </sheetViews>
  <sheetFormatPr baseColWidth="10" defaultRowHeight="15.75"/>
  <cols>
    <col min="1" max="2" width="35.7109375" style="666" customWidth="1"/>
    <col min="3" max="5" width="27.42578125" style="666" customWidth="1"/>
    <col min="6" max="6" width="32" style="666" customWidth="1"/>
    <col min="7" max="7" width="15.28515625" style="666" customWidth="1"/>
    <col min="8" max="8" width="20" style="668" customWidth="1"/>
    <col min="9" max="9" width="16.42578125" style="666" customWidth="1"/>
    <col min="10" max="10" width="18.85546875" style="668" customWidth="1"/>
    <col min="11" max="11" width="17.5703125" style="666" customWidth="1"/>
    <col min="12" max="12" width="21" style="668" customWidth="1"/>
    <col min="13" max="13" width="16.85546875" style="666" customWidth="1"/>
    <col min="14" max="14" width="20.42578125" style="668" customWidth="1"/>
    <col min="15" max="15" width="16.42578125" style="666" customWidth="1"/>
    <col min="16" max="16" width="18.28515625" style="668" customWidth="1"/>
    <col min="17" max="17" width="14.140625" style="666" hidden="1" customWidth="1"/>
    <col min="18" max="20" width="14.140625" style="666" customWidth="1"/>
    <col min="21" max="21" width="17" style="666" customWidth="1"/>
  </cols>
  <sheetData>
    <row r="1" spans="1:21">
      <c r="B1" s="667"/>
      <c r="C1" s="667"/>
      <c r="D1" s="667"/>
      <c r="E1" s="667"/>
      <c r="F1" s="667"/>
      <c r="G1" s="667" t="s">
        <v>479</v>
      </c>
      <c r="I1" s="667"/>
      <c r="J1" s="667"/>
      <c r="K1" s="667"/>
      <c r="L1" s="667"/>
      <c r="M1" s="667"/>
      <c r="N1" s="667">
        <f>68837.5/2</f>
        <v>34418.75</v>
      </c>
      <c r="O1" s="669"/>
      <c r="P1" s="667"/>
      <c r="Q1" s="667"/>
      <c r="R1" s="667"/>
      <c r="S1" s="667"/>
      <c r="T1" s="667"/>
      <c r="U1" s="667"/>
    </row>
    <row r="2" spans="1:21">
      <c r="A2" s="670" t="s">
        <v>1340</v>
      </c>
      <c r="B2" s="670"/>
      <c r="C2" s="670"/>
      <c r="D2" s="670"/>
      <c r="E2" s="670"/>
      <c r="F2" s="670"/>
      <c r="G2" s="670"/>
      <c r="H2" s="670"/>
      <c r="I2" s="670"/>
      <c r="J2" s="670"/>
      <c r="K2" s="670"/>
      <c r="L2" s="670"/>
      <c r="M2" s="670"/>
      <c r="N2" s="670"/>
      <c r="O2" s="670"/>
      <c r="P2" s="670"/>
      <c r="Q2" s="670"/>
      <c r="R2" s="670"/>
      <c r="S2" s="670"/>
      <c r="T2" s="670"/>
      <c r="U2" s="670"/>
    </row>
    <row r="3" spans="1:21" ht="15" customHeight="1">
      <c r="A3" s="671" t="s">
        <v>97</v>
      </c>
      <c r="B3" s="672" t="s">
        <v>111</v>
      </c>
      <c r="C3" s="641" t="s">
        <v>86</v>
      </c>
      <c r="D3" s="641" t="s">
        <v>87</v>
      </c>
      <c r="E3" s="641" t="s">
        <v>392</v>
      </c>
      <c r="F3" s="641" t="s">
        <v>88</v>
      </c>
      <c r="G3" s="673" t="s">
        <v>100</v>
      </c>
      <c r="H3" s="674"/>
      <c r="I3" s="674"/>
      <c r="J3" s="674"/>
      <c r="K3" s="674"/>
      <c r="L3" s="674"/>
      <c r="M3" s="674"/>
      <c r="N3" s="675"/>
      <c r="O3" s="676" t="s">
        <v>101</v>
      </c>
      <c r="P3" s="677"/>
      <c r="Q3" s="672" t="s">
        <v>102</v>
      </c>
      <c r="R3" s="672" t="s">
        <v>103</v>
      </c>
      <c r="S3" s="672" t="s">
        <v>110</v>
      </c>
      <c r="T3" s="672" t="s">
        <v>109</v>
      </c>
      <c r="U3" s="641" t="s">
        <v>89</v>
      </c>
    </row>
    <row r="4" spans="1:21" ht="15" customHeight="1">
      <c r="A4" s="671"/>
      <c r="B4" s="671"/>
      <c r="C4" s="642"/>
      <c r="D4" s="642"/>
      <c r="E4" s="642"/>
      <c r="F4" s="642"/>
      <c r="G4" s="673" t="s">
        <v>104</v>
      </c>
      <c r="H4" s="675"/>
      <c r="I4" s="673" t="s">
        <v>105</v>
      </c>
      <c r="J4" s="675"/>
      <c r="K4" s="673" t="s">
        <v>106</v>
      </c>
      <c r="L4" s="675"/>
      <c r="M4" s="673" t="s">
        <v>107</v>
      </c>
      <c r="N4" s="675"/>
      <c r="O4" s="678"/>
      <c r="P4" s="679"/>
      <c r="Q4" s="671"/>
      <c r="R4" s="671"/>
      <c r="S4" s="671"/>
      <c r="T4" s="671"/>
      <c r="U4" s="642"/>
    </row>
    <row r="5" spans="1:21" ht="47.25">
      <c r="A5" s="680"/>
      <c r="B5" s="680"/>
      <c r="C5" s="643"/>
      <c r="D5" s="643"/>
      <c r="E5" s="643"/>
      <c r="F5" s="643"/>
      <c r="G5" s="681" t="s">
        <v>108</v>
      </c>
      <c r="H5" s="681" t="s">
        <v>12</v>
      </c>
      <c r="I5" s="681" t="s">
        <v>108</v>
      </c>
      <c r="J5" s="681" t="s">
        <v>12</v>
      </c>
      <c r="K5" s="681" t="s">
        <v>108</v>
      </c>
      <c r="L5" s="681" t="s">
        <v>12</v>
      </c>
      <c r="M5" s="681" t="s">
        <v>108</v>
      </c>
      <c r="N5" s="681" t="s">
        <v>12</v>
      </c>
      <c r="O5" s="681" t="s">
        <v>108</v>
      </c>
      <c r="P5" s="681" t="s">
        <v>12</v>
      </c>
      <c r="Q5" s="680"/>
      <c r="R5" s="680"/>
      <c r="S5" s="680"/>
      <c r="T5" s="680"/>
      <c r="U5" s="643"/>
    </row>
    <row r="6" spans="1:21" s="367" customFormat="1">
      <c r="A6" s="682"/>
      <c r="B6" s="683"/>
      <c r="C6" s="644"/>
      <c r="D6" s="644"/>
      <c r="E6" s="645"/>
      <c r="F6" s="644"/>
      <c r="G6" s="684"/>
      <c r="H6" s="684"/>
      <c r="I6" s="684"/>
      <c r="J6" s="684"/>
      <c r="K6" s="684"/>
      <c r="L6" s="684"/>
      <c r="M6" s="684"/>
      <c r="N6" s="684"/>
      <c r="O6" s="684"/>
      <c r="P6" s="684"/>
      <c r="Q6" s="685"/>
      <c r="R6" s="685"/>
      <c r="S6" s="685"/>
      <c r="T6" s="685"/>
      <c r="U6" s="644"/>
    </row>
    <row r="7" spans="1:21" ht="98.25" hidden="1" customHeight="1">
      <c r="A7" s="646" t="s">
        <v>1435</v>
      </c>
      <c r="B7" s="646" t="s">
        <v>1610</v>
      </c>
      <c r="C7" s="647"/>
      <c r="D7" s="648"/>
      <c r="E7" s="648"/>
      <c r="F7" s="649"/>
      <c r="G7" s="650"/>
      <c r="H7" s="651"/>
      <c r="I7" s="650"/>
      <c r="J7" s="651"/>
      <c r="K7" s="650"/>
      <c r="L7" s="651"/>
      <c r="M7" s="650"/>
      <c r="N7" s="651"/>
      <c r="O7" s="652">
        <f>G7+I7+K7+M7</f>
        <v>0</v>
      </c>
      <c r="P7" s="653">
        <f>H7+J7+L7+N7</f>
        <v>0</v>
      </c>
      <c r="Q7" s="648"/>
      <c r="R7" s="648"/>
      <c r="S7" s="648"/>
      <c r="T7" s="648"/>
      <c r="U7" s="648"/>
    </row>
    <row r="8" spans="1:21" ht="97.5" customHeight="1">
      <c r="A8" s="654" t="s">
        <v>1436</v>
      </c>
      <c r="B8" s="655" t="s">
        <v>1437</v>
      </c>
      <c r="C8" s="693" t="s">
        <v>1611</v>
      </c>
      <c r="D8" s="694" t="s">
        <v>1551</v>
      </c>
      <c r="E8" s="648">
        <v>7.1</v>
      </c>
      <c r="F8" s="686" t="s">
        <v>1583</v>
      </c>
      <c r="G8" s="650"/>
      <c r="H8" s="651"/>
      <c r="I8" s="650">
        <v>0.5</v>
      </c>
      <c r="J8" s="651">
        <v>77843.53</v>
      </c>
      <c r="K8" s="650">
        <v>0.5</v>
      </c>
      <c r="L8" s="651">
        <v>77843.55</v>
      </c>
      <c r="M8" s="650"/>
      <c r="N8" s="651"/>
      <c r="O8" s="652">
        <f t="shared" ref="O8:O28" si="0">G8+I8+K8+M8</f>
        <v>1</v>
      </c>
      <c r="P8" s="653">
        <f t="shared" ref="P8:P28" si="1">H8+J8+L8+N8</f>
        <v>155687.08000000002</v>
      </c>
      <c r="Q8" s="648"/>
      <c r="R8" s="648" t="s">
        <v>1552</v>
      </c>
      <c r="S8" s="648" t="s">
        <v>1553</v>
      </c>
      <c r="T8" s="648" t="s">
        <v>1584</v>
      </c>
      <c r="U8" s="648" t="s">
        <v>1585</v>
      </c>
    </row>
    <row r="9" spans="1:21" ht="87" customHeight="1">
      <c r="A9" s="654"/>
      <c r="B9" s="654"/>
      <c r="C9" s="695" t="s">
        <v>1586</v>
      </c>
      <c r="D9" s="689" t="s">
        <v>1712</v>
      </c>
      <c r="E9" s="648">
        <v>7.2</v>
      </c>
      <c r="F9" s="647" t="s">
        <v>1709</v>
      </c>
      <c r="G9" s="650"/>
      <c r="H9" s="651"/>
      <c r="I9" s="650">
        <v>0.5</v>
      </c>
      <c r="J9" s="651">
        <v>90962.5</v>
      </c>
      <c r="K9" s="650">
        <v>0.5</v>
      </c>
      <c r="L9" s="651">
        <v>90962.5</v>
      </c>
      <c r="M9" s="650"/>
      <c r="N9" s="651"/>
      <c r="O9" s="652">
        <f t="shared" si="0"/>
        <v>1</v>
      </c>
      <c r="P9" s="653">
        <f t="shared" si="1"/>
        <v>181925</v>
      </c>
      <c r="Q9" s="648"/>
      <c r="R9" s="648" t="s">
        <v>1554</v>
      </c>
      <c r="S9" s="648" t="s">
        <v>1587</v>
      </c>
      <c r="T9" s="648" t="s">
        <v>1584</v>
      </c>
      <c r="U9" s="648" t="s">
        <v>1585</v>
      </c>
    </row>
    <row r="10" spans="1:21" ht="93" customHeight="1">
      <c r="A10" s="654"/>
      <c r="B10" s="654"/>
      <c r="C10" s="695" t="s">
        <v>1671</v>
      </c>
      <c r="D10" s="689" t="s">
        <v>1555</v>
      </c>
      <c r="E10" s="648">
        <v>7.3</v>
      </c>
      <c r="F10" s="647" t="s">
        <v>1670</v>
      </c>
      <c r="G10" s="650"/>
      <c r="H10" s="651"/>
      <c r="I10" s="650"/>
      <c r="J10" s="651"/>
      <c r="K10" s="691">
        <v>1</v>
      </c>
      <c r="L10" s="651">
        <v>55200</v>
      </c>
      <c r="M10" s="691">
        <v>1</v>
      </c>
      <c r="N10" s="651">
        <v>55200</v>
      </c>
      <c r="O10" s="652">
        <f t="shared" si="0"/>
        <v>2</v>
      </c>
      <c r="P10" s="653">
        <f t="shared" si="1"/>
        <v>110400</v>
      </c>
      <c r="Q10" s="648"/>
      <c r="R10" s="648" t="s">
        <v>1588</v>
      </c>
      <c r="S10" s="648" t="s">
        <v>1556</v>
      </c>
      <c r="T10" s="648" t="s">
        <v>1589</v>
      </c>
      <c r="U10" s="648" t="s">
        <v>1585</v>
      </c>
    </row>
    <row r="11" spans="1:21" ht="108" customHeight="1">
      <c r="A11" s="655" t="s">
        <v>1438</v>
      </c>
      <c r="B11" s="655" t="s">
        <v>1439</v>
      </c>
      <c r="C11" s="695" t="s">
        <v>1673</v>
      </c>
      <c r="D11" s="689" t="s">
        <v>1557</v>
      </c>
      <c r="E11" s="648">
        <v>7.4</v>
      </c>
      <c r="F11" s="648" t="s">
        <v>1672</v>
      </c>
      <c r="G11" s="690">
        <v>1</v>
      </c>
      <c r="H11" s="651">
        <v>6000</v>
      </c>
      <c r="I11" s="651">
        <v>1</v>
      </c>
      <c r="J11" s="651">
        <v>6000</v>
      </c>
      <c r="K11" s="651">
        <v>1</v>
      </c>
      <c r="L11" s="651">
        <v>6000</v>
      </c>
      <c r="M11" s="651">
        <v>1</v>
      </c>
      <c r="N11" s="651">
        <v>6000</v>
      </c>
      <c r="O11" s="652">
        <f t="shared" si="0"/>
        <v>4</v>
      </c>
      <c r="P11" s="653">
        <f t="shared" si="1"/>
        <v>24000</v>
      </c>
      <c r="Q11" s="648"/>
      <c r="R11" s="648" t="s">
        <v>1590</v>
      </c>
      <c r="S11" s="648" t="s">
        <v>1558</v>
      </c>
      <c r="T11" s="648" t="s">
        <v>1565</v>
      </c>
      <c r="U11" s="648" t="s">
        <v>1585</v>
      </c>
    </row>
    <row r="12" spans="1:21" s="367" customFormat="1" ht="97.5" customHeight="1">
      <c r="A12" s="654"/>
      <c r="B12" s="654"/>
      <c r="C12" s="695" t="s">
        <v>1674</v>
      </c>
      <c r="D12" s="689" t="s">
        <v>1559</v>
      </c>
      <c r="E12" s="648">
        <v>7.5</v>
      </c>
      <c r="F12" s="686" t="s">
        <v>1591</v>
      </c>
      <c r="G12" s="650"/>
      <c r="H12" s="651"/>
      <c r="I12" s="650"/>
      <c r="J12" s="651"/>
      <c r="K12" s="650">
        <v>1</v>
      </c>
      <c r="L12" s="651">
        <v>90000</v>
      </c>
      <c r="M12" s="650"/>
      <c r="N12" s="651"/>
      <c r="O12" s="652">
        <f t="shared" si="0"/>
        <v>1</v>
      </c>
      <c r="P12" s="653">
        <f t="shared" si="1"/>
        <v>90000</v>
      </c>
      <c r="Q12" s="648"/>
      <c r="R12" s="648" t="s">
        <v>1592</v>
      </c>
      <c r="S12" s="648" t="s">
        <v>1560</v>
      </c>
      <c r="T12" s="648" t="s">
        <v>1593</v>
      </c>
      <c r="U12" s="648" t="s">
        <v>1585</v>
      </c>
    </row>
    <row r="13" spans="1:21" ht="135">
      <c r="A13" s="654"/>
      <c r="B13" s="654"/>
      <c r="C13" s="695" t="s">
        <v>1710</v>
      </c>
      <c r="D13" s="689" t="s">
        <v>1594</v>
      </c>
      <c r="E13" s="648">
        <v>7.6</v>
      </c>
      <c r="F13" s="686" t="s">
        <v>1675</v>
      </c>
      <c r="G13" s="650"/>
      <c r="H13" s="651"/>
      <c r="I13" s="650"/>
      <c r="J13" s="651"/>
      <c r="K13" s="650">
        <v>1</v>
      </c>
      <c r="L13" s="651">
        <v>150000</v>
      </c>
      <c r="M13" s="650"/>
      <c r="N13" s="651"/>
      <c r="O13" s="652">
        <f t="shared" si="0"/>
        <v>1</v>
      </c>
      <c r="P13" s="653">
        <f t="shared" si="1"/>
        <v>150000</v>
      </c>
      <c r="Q13" s="648"/>
      <c r="R13" s="648" t="s">
        <v>1595</v>
      </c>
      <c r="S13" s="648" t="s">
        <v>1562</v>
      </c>
      <c r="T13" s="648" t="s">
        <v>1593</v>
      </c>
      <c r="U13" s="648" t="s">
        <v>1585</v>
      </c>
    </row>
    <row r="14" spans="1:21" s="464" customFormat="1" ht="75">
      <c r="A14" s="654"/>
      <c r="B14" s="654"/>
      <c r="C14" s="695" t="s">
        <v>1711</v>
      </c>
      <c r="D14" s="689" t="s">
        <v>1596</v>
      </c>
      <c r="E14" s="648">
        <v>7.7</v>
      </c>
      <c r="F14" s="659" t="s">
        <v>1676</v>
      </c>
      <c r="G14" s="650">
        <v>1</v>
      </c>
      <c r="H14" s="651">
        <v>60000</v>
      </c>
      <c r="I14" s="650"/>
      <c r="J14" s="651"/>
      <c r="K14" s="650"/>
      <c r="L14" s="651"/>
      <c r="M14" s="650"/>
      <c r="N14" s="651"/>
      <c r="O14" s="652">
        <f>G14+I14+K14+M14</f>
        <v>1</v>
      </c>
      <c r="P14" s="653">
        <f>H14+J14+L14+N14</f>
        <v>60000</v>
      </c>
      <c r="Q14" s="648"/>
      <c r="R14" s="648" t="s">
        <v>1597</v>
      </c>
      <c r="S14" s="648" t="s">
        <v>1598</v>
      </c>
      <c r="T14" s="648" t="s">
        <v>1585</v>
      </c>
      <c r="U14" s="648" t="s">
        <v>1585</v>
      </c>
    </row>
    <row r="15" spans="1:21" s="464" customFormat="1" ht="150">
      <c r="A15" s="654"/>
      <c r="B15" s="654"/>
      <c r="C15" s="695" t="s">
        <v>1678</v>
      </c>
      <c r="D15" s="689" t="s">
        <v>1677</v>
      </c>
      <c r="E15" s="648">
        <v>7.8</v>
      </c>
      <c r="F15" s="659" t="s">
        <v>1599</v>
      </c>
      <c r="G15" s="650"/>
      <c r="H15" s="651"/>
      <c r="I15" s="650">
        <v>1</v>
      </c>
      <c r="J15" s="651">
        <v>55000</v>
      </c>
      <c r="K15" s="650"/>
      <c r="L15" s="651"/>
      <c r="M15" s="650"/>
      <c r="N15" s="651"/>
      <c r="O15" s="652">
        <f t="shared" ref="O15:O16" si="2">G15+I15+K15+M15</f>
        <v>1</v>
      </c>
      <c r="P15" s="653">
        <f t="shared" ref="P15" si="3">H15+J15+L15+N15</f>
        <v>55000</v>
      </c>
      <c r="Q15" s="648"/>
      <c r="R15" s="648" t="s">
        <v>1600</v>
      </c>
      <c r="S15" s="648" t="s">
        <v>1601</v>
      </c>
      <c r="T15" s="648" t="s">
        <v>1585</v>
      </c>
      <c r="U15" s="648" t="s">
        <v>1585</v>
      </c>
    </row>
    <row r="16" spans="1:21" s="464" customFormat="1" ht="75">
      <c r="A16" s="654"/>
      <c r="B16" s="654"/>
      <c r="C16" s="695" t="s">
        <v>1679</v>
      </c>
      <c r="D16" s="689" t="s">
        <v>1713</v>
      </c>
      <c r="E16" s="648">
        <v>7.9</v>
      </c>
      <c r="F16" s="656" t="s">
        <v>1563</v>
      </c>
      <c r="G16" s="650"/>
      <c r="H16" s="651"/>
      <c r="I16" s="650"/>
      <c r="J16" s="651"/>
      <c r="K16" s="650">
        <v>0.5</v>
      </c>
      <c r="L16" s="651">
        <v>34418.75</v>
      </c>
      <c r="M16" s="650">
        <v>0.5</v>
      </c>
      <c r="N16" s="651">
        <v>34418.75</v>
      </c>
      <c r="O16" s="652">
        <f t="shared" si="2"/>
        <v>1</v>
      </c>
      <c r="P16" s="653">
        <f>H16+J16+L16+N16</f>
        <v>68837.5</v>
      </c>
      <c r="Q16" s="648"/>
      <c r="R16" s="648" t="s">
        <v>1602</v>
      </c>
      <c r="S16" s="648" t="s">
        <v>1564</v>
      </c>
      <c r="T16" s="648" t="s">
        <v>1565</v>
      </c>
      <c r="U16" s="648" t="s">
        <v>1585</v>
      </c>
    </row>
    <row r="17" spans="1:21" s="464" customFormat="1" ht="105">
      <c r="A17" s="654"/>
      <c r="B17" s="654"/>
      <c r="C17" s="695" t="s">
        <v>1682</v>
      </c>
      <c r="D17" s="689" t="s">
        <v>1681</v>
      </c>
      <c r="E17" s="657" t="s">
        <v>1627</v>
      </c>
      <c r="F17" s="659" t="s">
        <v>1680</v>
      </c>
      <c r="G17" s="650"/>
      <c r="H17" s="651"/>
      <c r="I17" s="650"/>
      <c r="J17" s="651"/>
      <c r="K17" s="650"/>
      <c r="L17" s="651"/>
      <c r="M17" s="650">
        <v>1</v>
      </c>
      <c r="N17" s="651">
        <v>75000</v>
      </c>
      <c r="O17" s="652">
        <f>G17+I17+K17+M17</f>
        <v>1</v>
      </c>
      <c r="P17" s="653">
        <f>H17+J17+L17+N17</f>
        <v>75000</v>
      </c>
      <c r="Q17" s="648"/>
      <c r="R17" s="648" t="s">
        <v>1569</v>
      </c>
      <c r="S17" s="648" t="s">
        <v>1564</v>
      </c>
      <c r="T17" s="648" t="s">
        <v>1565</v>
      </c>
      <c r="U17" s="648" t="s">
        <v>1585</v>
      </c>
    </row>
    <row r="18" spans="1:21" s="464" customFormat="1" ht="135">
      <c r="A18" s="654"/>
      <c r="B18" s="654"/>
      <c r="C18" s="695" t="s">
        <v>1683</v>
      </c>
      <c r="D18" s="689" t="s">
        <v>1696</v>
      </c>
      <c r="E18" s="648">
        <v>7.11</v>
      </c>
      <c r="F18" s="659" t="s">
        <v>1665</v>
      </c>
      <c r="G18" s="650"/>
      <c r="H18" s="651"/>
      <c r="I18" s="650">
        <v>1</v>
      </c>
      <c r="J18" s="651">
        <v>110000</v>
      </c>
      <c r="K18" s="650"/>
      <c r="L18" s="651"/>
      <c r="M18" s="650"/>
      <c r="N18" s="651"/>
      <c r="O18" s="652">
        <f t="shared" ref="O18:O21" si="4">G18+I18+K18+M18</f>
        <v>1</v>
      </c>
      <c r="P18" s="653">
        <f t="shared" ref="P18:P21" si="5">H18+J18+L18+N18</f>
        <v>110000</v>
      </c>
      <c r="Q18" s="648"/>
      <c r="R18" s="648" t="s">
        <v>1603</v>
      </c>
      <c r="S18" s="648" t="s">
        <v>1604</v>
      </c>
      <c r="T18" s="648" t="s">
        <v>1605</v>
      </c>
      <c r="U18" s="648" t="s">
        <v>1585</v>
      </c>
    </row>
    <row r="19" spans="1:21" s="464" customFormat="1" ht="120">
      <c r="A19" s="654"/>
      <c r="B19" s="654"/>
      <c r="C19" s="695" t="s">
        <v>1685</v>
      </c>
      <c r="D19" s="689" t="s">
        <v>1570</v>
      </c>
      <c r="E19" s="657">
        <v>7.12</v>
      </c>
      <c r="F19" s="658" t="s">
        <v>1684</v>
      </c>
      <c r="G19" s="650"/>
      <c r="H19" s="651"/>
      <c r="I19" s="650"/>
      <c r="J19" s="651"/>
      <c r="K19" s="650"/>
      <c r="L19" s="651"/>
      <c r="M19" s="691">
        <v>3</v>
      </c>
      <c r="N19" s="651">
        <v>1789162.5</v>
      </c>
      <c r="O19" s="652">
        <f t="shared" si="4"/>
        <v>3</v>
      </c>
      <c r="P19" s="653">
        <f>H19+J19+L19+N19</f>
        <v>1789162.5</v>
      </c>
      <c r="Q19" s="648"/>
      <c r="R19" s="648" t="s">
        <v>1606</v>
      </c>
      <c r="S19" s="648" t="s">
        <v>1571</v>
      </c>
      <c r="T19" s="648" t="s">
        <v>1565</v>
      </c>
      <c r="U19" s="648" t="s">
        <v>1585</v>
      </c>
    </row>
    <row r="20" spans="1:21" s="464" customFormat="1" ht="135">
      <c r="A20" s="654"/>
      <c r="B20" s="654"/>
      <c r="C20" s="689" t="s">
        <v>1631</v>
      </c>
      <c r="D20" s="689" t="s">
        <v>1697</v>
      </c>
      <c r="E20" s="648">
        <v>7.13</v>
      </c>
      <c r="F20" s="659" t="s">
        <v>1686</v>
      </c>
      <c r="G20" s="650">
        <f>+H20/P20</f>
        <v>0.15584415584415584</v>
      </c>
      <c r="H20" s="651">
        <v>672000</v>
      </c>
      <c r="I20" s="650">
        <f>+J20/P20</f>
        <v>0.30519480519480519</v>
      </c>
      <c r="J20" s="651">
        <v>1316000</v>
      </c>
      <c r="K20" s="650">
        <f>+L20/P20</f>
        <v>0.23376623376623376</v>
      </c>
      <c r="L20" s="651">
        <v>1008000</v>
      </c>
      <c r="M20" s="650">
        <f>+N20/P20</f>
        <v>0.30519480519480519</v>
      </c>
      <c r="N20" s="651">
        <v>1316000</v>
      </c>
      <c r="O20" s="652">
        <f t="shared" si="4"/>
        <v>1</v>
      </c>
      <c r="P20" s="653">
        <f t="shared" si="5"/>
        <v>4312000</v>
      </c>
      <c r="Q20" s="648"/>
      <c r="R20" s="648" t="s">
        <v>1632</v>
      </c>
      <c r="S20" s="648" t="s">
        <v>1633</v>
      </c>
      <c r="T20" s="648" t="s">
        <v>1605</v>
      </c>
      <c r="U20" s="648" t="s">
        <v>1585</v>
      </c>
    </row>
    <row r="21" spans="1:21" s="464" customFormat="1" ht="150">
      <c r="A21" s="654"/>
      <c r="B21" s="654"/>
      <c r="C21" s="695" t="s">
        <v>1687</v>
      </c>
      <c r="D21" s="689" t="s">
        <v>1699</v>
      </c>
      <c r="E21" s="657">
        <v>7.14</v>
      </c>
      <c r="F21" s="659" t="s">
        <v>1698</v>
      </c>
      <c r="G21" s="650">
        <f>+H21/P21</f>
        <v>0.14705882352941177</v>
      </c>
      <c r="H21" s="651">
        <v>25000</v>
      </c>
      <c r="I21" s="650">
        <f>+J21/P21</f>
        <v>0.14705882352941177</v>
      </c>
      <c r="J21" s="651">
        <v>25000</v>
      </c>
      <c r="K21" s="650">
        <f>+L21/P21</f>
        <v>0.14705882352941177</v>
      </c>
      <c r="L21" s="651">
        <v>25000</v>
      </c>
      <c r="M21" s="650">
        <f>+N21/P21</f>
        <v>0.55882352941176472</v>
      </c>
      <c r="N21" s="651">
        <v>95000</v>
      </c>
      <c r="O21" s="652">
        <f t="shared" si="4"/>
        <v>1</v>
      </c>
      <c r="P21" s="653">
        <f t="shared" si="5"/>
        <v>170000</v>
      </c>
      <c r="Q21" s="648"/>
      <c r="R21" s="648" t="s">
        <v>1572</v>
      </c>
      <c r="S21" s="648" t="s">
        <v>1573</v>
      </c>
      <c r="T21" s="648" t="s">
        <v>1574</v>
      </c>
      <c r="U21" s="648" t="s">
        <v>1585</v>
      </c>
    </row>
    <row r="22" spans="1:21" ht="150">
      <c r="A22" s="655" t="s">
        <v>1440</v>
      </c>
      <c r="B22" s="655" t="s">
        <v>1441</v>
      </c>
      <c r="C22" s="696" t="s">
        <v>1688</v>
      </c>
      <c r="D22" s="697" t="s">
        <v>1700</v>
      </c>
      <c r="E22" s="648">
        <v>7.15</v>
      </c>
      <c r="F22" s="686" t="s">
        <v>1607</v>
      </c>
      <c r="G22" s="650">
        <v>0.25</v>
      </c>
      <c r="H22" s="651">
        <v>32848.75</v>
      </c>
      <c r="I22" s="650">
        <v>0.25</v>
      </c>
      <c r="J22" s="651">
        <v>32848.75</v>
      </c>
      <c r="K22" s="650">
        <v>0.25</v>
      </c>
      <c r="L22" s="651">
        <v>32848.75</v>
      </c>
      <c r="M22" s="650">
        <v>0.25</v>
      </c>
      <c r="N22" s="651">
        <v>32848.75</v>
      </c>
      <c r="O22" s="652">
        <f t="shared" si="0"/>
        <v>1</v>
      </c>
      <c r="P22" s="653">
        <f>H22+J22+L22+N22</f>
        <v>131395</v>
      </c>
      <c r="Q22" s="648"/>
      <c r="R22" s="350" t="s">
        <v>1637</v>
      </c>
      <c r="S22" s="648" t="s">
        <v>1638</v>
      </c>
      <c r="T22" s="648" t="s">
        <v>1565</v>
      </c>
      <c r="U22" s="648" t="s">
        <v>1639</v>
      </c>
    </row>
    <row r="23" spans="1:21" s="367" customFormat="1" ht="120">
      <c r="A23" s="654"/>
      <c r="B23" s="654"/>
      <c r="C23" s="695" t="s">
        <v>1702</v>
      </c>
      <c r="D23" s="689" t="s">
        <v>1701</v>
      </c>
      <c r="E23" s="657">
        <v>7.16</v>
      </c>
      <c r="F23" s="686" t="s">
        <v>1689</v>
      </c>
      <c r="G23" s="650"/>
      <c r="H23" s="651"/>
      <c r="I23" s="650">
        <v>1</v>
      </c>
      <c r="J23" s="651">
        <v>174775</v>
      </c>
      <c r="K23" s="650"/>
      <c r="L23" s="651"/>
      <c r="M23" s="650"/>
      <c r="N23" s="651"/>
      <c r="O23" s="652">
        <f t="shared" si="0"/>
        <v>1</v>
      </c>
      <c r="P23" s="653">
        <v>160750</v>
      </c>
      <c r="Q23" s="648"/>
      <c r="R23" s="648" t="s">
        <v>1575</v>
      </c>
      <c r="S23" s="648" t="s">
        <v>1576</v>
      </c>
      <c r="T23" s="648" t="s">
        <v>1577</v>
      </c>
      <c r="U23" s="648" t="s">
        <v>1585</v>
      </c>
    </row>
    <row r="24" spans="1:21" s="367" customFormat="1" ht="150">
      <c r="A24" s="654"/>
      <c r="B24" s="654"/>
      <c r="C24" s="695" t="s">
        <v>1706</v>
      </c>
      <c r="D24" s="689" t="s">
        <v>1579</v>
      </c>
      <c r="E24" s="648">
        <v>7.17</v>
      </c>
      <c r="F24" s="649" t="s">
        <v>1578</v>
      </c>
      <c r="G24" s="650"/>
      <c r="H24" s="651"/>
      <c r="I24" s="650"/>
      <c r="J24" s="651"/>
      <c r="K24" s="691">
        <v>2</v>
      </c>
      <c r="L24" s="651">
        <v>60000</v>
      </c>
      <c r="M24" s="650"/>
      <c r="N24" s="651"/>
      <c r="O24" s="652">
        <f t="shared" si="0"/>
        <v>2</v>
      </c>
      <c r="P24" s="653">
        <f t="shared" si="1"/>
        <v>60000</v>
      </c>
      <c r="Q24" s="648"/>
      <c r="R24" s="648" t="s">
        <v>1608</v>
      </c>
      <c r="S24" s="648" t="s">
        <v>1581</v>
      </c>
      <c r="T24" s="648" t="s">
        <v>1580</v>
      </c>
      <c r="U24" s="648" t="s">
        <v>1585</v>
      </c>
    </row>
    <row r="25" spans="1:21" s="367" customFormat="1" ht="195">
      <c r="A25" s="654"/>
      <c r="B25" s="654"/>
      <c r="C25" s="688" t="s">
        <v>1703</v>
      </c>
      <c r="D25" s="687" t="s">
        <v>1609</v>
      </c>
      <c r="E25" s="687">
        <v>7.18</v>
      </c>
      <c r="F25" s="687" t="s">
        <v>1690</v>
      </c>
      <c r="G25" s="650"/>
      <c r="H25" s="651"/>
      <c r="I25" s="691">
        <v>1</v>
      </c>
      <c r="J25" s="651">
        <v>359089</v>
      </c>
      <c r="K25" s="691">
        <v>1</v>
      </c>
      <c r="L25" s="651">
        <v>359089</v>
      </c>
      <c r="M25" s="691">
        <v>1</v>
      </c>
      <c r="N25" s="651">
        <v>359089</v>
      </c>
      <c r="O25" s="692">
        <f t="shared" si="0"/>
        <v>3</v>
      </c>
      <c r="P25" s="653">
        <f t="shared" si="1"/>
        <v>1077267</v>
      </c>
      <c r="Q25" s="648"/>
      <c r="R25" s="648" t="s">
        <v>1704</v>
      </c>
      <c r="S25" s="648" t="s">
        <v>1561</v>
      </c>
      <c r="T25" s="648" t="s">
        <v>1585</v>
      </c>
      <c r="U25" s="648" t="s">
        <v>1585</v>
      </c>
    </row>
    <row r="26" spans="1:21" ht="75">
      <c r="A26" s="654"/>
      <c r="B26" s="654"/>
      <c r="C26" s="687" t="s">
        <v>1705</v>
      </c>
      <c r="D26" s="687" t="s">
        <v>1634</v>
      </c>
      <c r="E26" s="687">
        <v>7.19</v>
      </c>
      <c r="F26" s="687" t="s">
        <v>1691</v>
      </c>
      <c r="G26" s="650"/>
      <c r="H26" s="651"/>
      <c r="I26" s="650"/>
      <c r="J26" s="651"/>
      <c r="K26" s="650">
        <v>1</v>
      </c>
      <c r="L26" s="651">
        <v>5000</v>
      </c>
      <c r="M26" s="650"/>
      <c r="N26" s="651"/>
      <c r="O26" s="652">
        <f t="shared" si="0"/>
        <v>1</v>
      </c>
      <c r="P26" s="653">
        <f t="shared" si="1"/>
        <v>5000</v>
      </c>
      <c r="Q26" s="648"/>
      <c r="R26" s="649" t="s">
        <v>1635</v>
      </c>
      <c r="S26" s="649" t="s">
        <v>1636</v>
      </c>
      <c r="T26" s="648" t="s">
        <v>1585</v>
      </c>
      <c r="U26" s="648" t="s">
        <v>1585</v>
      </c>
    </row>
    <row r="27" spans="1:21" ht="76.5" customHeight="1">
      <c r="A27" s="654"/>
      <c r="B27" s="654"/>
      <c r="C27" s="688" t="s">
        <v>1695</v>
      </c>
      <c r="D27" s="687" t="s">
        <v>1715</v>
      </c>
      <c r="E27" s="687" t="s">
        <v>1650</v>
      </c>
      <c r="F27" s="687" t="s">
        <v>1714</v>
      </c>
      <c r="G27" s="650"/>
      <c r="H27" s="651"/>
      <c r="I27" s="650"/>
      <c r="J27" s="651"/>
      <c r="K27" s="650">
        <v>1</v>
      </c>
      <c r="L27" s="651">
        <v>50000</v>
      </c>
      <c r="M27" s="650"/>
      <c r="N27" s="651"/>
      <c r="O27" s="652">
        <f t="shared" si="0"/>
        <v>1</v>
      </c>
      <c r="P27" s="653">
        <f t="shared" si="1"/>
        <v>50000</v>
      </c>
      <c r="Q27" s="648"/>
      <c r="R27" s="648" t="s">
        <v>1655</v>
      </c>
      <c r="S27" s="648" t="s">
        <v>1604</v>
      </c>
      <c r="T27" s="648" t="s">
        <v>1585</v>
      </c>
      <c r="U27" s="648" t="s">
        <v>1585</v>
      </c>
    </row>
    <row r="28" spans="1:21" ht="135">
      <c r="A28" s="654"/>
      <c r="B28" s="654"/>
      <c r="C28" s="695" t="s">
        <v>1692</v>
      </c>
      <c r="D28" s="689" t="s">
        <v>1707</v>
      </c>
      <c r="E28" s="648">
        <v>7.21</v>
      </c>
      <c r="F28" s="649" t="s">
        <v>1657</v>
      </c>
      <c r="G28" s="650"/>
      <c r="H28" s="651"/>
      <c r="I28" s="650">
        <v>0.33</v>
      </c>
      <c r="J28" s="651">
        <v>59125</v>
      </c>
      <c r="K28" s="650">
        <v>0.67</v>
      </c>
      <c r="L28" s="651">
        <v>109125</v>
      </c>
      <c r="M28" s="650"/>
      <c r="N28" s="651"/>
      <c r="O28" s="652">
        <f t="shared" si="0"/>
        <v>1</v>
      </c>
      <c r="P28" s="653">
        <f t="shared" si="1"/>
        <v>168250</v>
      </c>
      <c r="Q28" s="648"/>
      <c r="R28" s="648" t="s">
        <v>1658</v>
      </c>
      <c r="S28" s="648" t="s">
        <v>1659</v>
      </c>
      <c r="T28" s="648" t="s">
        <v>1660</v>
      </c>
      <c r="U28" s="648" t="s">
        <v>1585</v>
      </c>
    </row>
    <row r="29" spans="1:21" s="464" customFormat="1" ht="60">
      <c r="A29" s="660"/>
      <c r="B29" s="660"/>
      <c r="C29" s="695" t="s">
        <v>1694</v>
      </c>
      <c r="D29" s="698" t="s">
        <v>1708</v>
      </c>
      <c r="E29" s="648">
        <v>7.22</v>
      </c>
      <c r="F29" s="649" t="s">
        <v>1693</v>
      </c>
      <c r="G29" s="650"/>
      <c r="H29" s="651"/>
      <c r="I29" s="691">
        <v>5</v>
      </c>
      <c r="J29" s="651">
        <v>80000</v>
      </c>
      <c r="K29" s="650"/>
      <c r="L29" s="651"/>
      <c r="M29" s="650"/>
      <c r="N29" s="651"/>
      <c r="O29" s="652">
        <f t="shared" ref="O29" si="6">G29+I29+K29+M29</f>
        <v>5</v>
      </c>
      <c r="P29" s="653">
        <f t="shared" ref="P29" si="7">H29+J29+L29+N29</f>
        <v>80000</v>
      </c>
      <c r="Q29" s="648"/>
      <c r="R29" s="648" t="s">
        <v>1662</v>
      </c>
      <c r="S29" s="648" t="s">
        <v>1663</v>
      </c>
      <c r="T29" s="648" t="s">
        <v>1565</v>
      </c>
      <c r="U29" s="648" t="s">
        <v>1585</v>
      </c>
    </row>
    <row r="30" spans="1:21" ht="15.6" customHeight="1">
      <c r="A30" s="661"/>
      <c r="B30" s="662"/>
      <c r="C30" s="661" t="s">
        <v>118</v>
      </c>
      <c r="D30" s="662"/>
      <c r="E30" s="662"/>
      <c r="F30" s="663"/>
      <c r="G30" s="664">
        <f t="shared" ref="G30:O30" si="8">SUM(G7:H28)</f>
        <v>795851.30290297931</v>
      </c>
      <c r="H30" s="664">
        <f t="shared" si="8"/>
        <v>795855.7822536286</v>
      </c>
      <c r="I30" s="664">
        <f t="shared" si="8"/>
        <v>2306650.8122536289</v>
      </c>
      <c r="J30" s="664">
        <f t="shared" si="8"/>
        <v>2306655.5808250573</v>
      </c>
      <c r="K30" s="664">
        <f t="shared" si="8"/>
        <v>2153499.3508250574</v>
      </c>
      <c r="L30" s="664">
        <f t="shared" si="8"/>
        <v>2153496.1640183348</v>
      </c>
      <c r="M30" s="664">
        <f t="shared" si="8"/>
        <v>3762727.614018335</v>
      </c>
      <c r="N30" s="664">
        <f t="shared" si="8"/>
        <v>3762749</v>
      </c>
      <c r="O30" s="664">
        <f t="shared" si="8"/>
        <v>9004704.0800000001</v>
      </c>
      <c r="P30" s="664">
        <f>SUM(P7:Q29)</f>
        <v>9084674.0800000001</v>
      </c>
      <c r="Q30" s="665"/>
      <c r="R30" s="665"/>
      <c r="S30" s="665"/>
      <c r="T30" s="665"/>
      <c r="U30" s="665"/>
    </row>
    <row r="40" spans="16:16">
      <c r="P40" s="668">
        <f>8500449.08-P25-P20</f>
        <v>3111182.08</v>
      </c>
    </row>
  </sheetData>
  <mergeCells count="23">
    <mergeCell ref="B11:B21"/>
    <mergeCell ref="A11:A21"/>
    <mergeCell ref="B8:B10"/>
    <mergeCell ref="A8:A10"/>
    <mergeCell ref="B22:B29"/>
    <mergeCell ref="A22:A2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dimension ref="A1:U54"/>
  <sheetViews>
    <sheetView topLeftCell="C1" workbookViewId="0">
      <pane ySplit="8" topLeftCell="A9" activePane="bottomLeft" state="frozen"/>
      <selection activeCell="A7" sqref="A7"/>
      <selection pane="bottomLeft" activeCell="C1" sqref="C1"/>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1517</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614" t="s">
        <v>1401</v>
      </c>
      <c r="B3" s="614"/>
      <c r="C3" s="614"/>
      <c r="D3" s="614"/>
      <c r="E3" s="614"/>
      <c r="F3" s="614"/>
      <c r="G3" s="614"/>
      <c r="H3" s="614"/>
      <c r="I3" s="614"/>
      <c r="J3" s="614"/>
      <c r="K3" s="614"/>
      <c r="L3" s="614"/>
      <c r="M3" s="614"/>
      <c r="N3" s="614"/>
      <c r="O3" s="614"/>
      <c r="P3" s="614"/>
      <c r="Q3" s="614"/>
      <c r="R3" s="614"/>
      <c r="S3" s="614"/>
      <c r="T3" s="614"/>
      <c r="U3" s="614"/>
    </row>
    <row r="4" spans="1:21" s="367" customFormat="1">
      <c r="A4" s="379" t="s">
        <v>1400</v>
      </c>
      <c r="B4" s="377"/>
      <c r="C4" s="377"/>
      <c r="D4" s="377"/>
      <c r="E4" s="377"/>
      <c r="F4" s="377"/>
      <c r="G4" s="377"/>
      <c r="H4" s="377"/>
      <c r="I4" s="377"/>
      <c r="J4" s="377"/>
      <c r="K4" s="377"/>
      <c r="L4" s="377"/>
      <c r="M4" s="377"/>
      <c r="N4" s="377"/>
      <c r="O4" s="377"/>
      <c r="P4" s="377"/>
      <c r="Q4" s="377"/>
      <c r="R4" s="377"/>
      <c r="S4" s="377"/>
      <c r="T4" s="377"/>
      <c r="U4" s="377"/>
    </row>
    <row r="5" spans="1:21">
      <c r="A5" s="317" t="s">
        <v>1476</v>
      </c>
      <c r="B5" s="270"/>
      <c r="C5" s="270"/>
      <c r="D5" s="270"/>
      <c r="E5" s="270"/>
      <c r="F5" s="270"/>
      <c r="G5" s="270"/>
      <c r="H5" s="270"/>
      <c r="I5" s="270"/>
      <c r="J5" s="270"/>
      <c r="K5" s="270"/>
      <c r="L5" s="270"/>
      <c r="M5" s="270"/>
      <c r="N5" s="270"/>
      <c r="O5" s="270"/>
      <c r="P5" s="270"/>
      <c r="Q5" s="270"/>
      <c r="R5" s="270"/>
      <c r="S5" s="270"/>
      <c r="T5" s="270"/>
      <c r="U5" s="270"/>
    </row>
    <row r="6" spans="1:21" ht="15" customHeight="1">
      <c r="A6" s="577" t="s">
        <v>97</v>
      </c>
      <c r="B6" s="576" t="s">
        <v>111</v>
      </c>
      <c r="C6" s="579" t="s">
        <v>86</v>
      </c>
      <c r="D6" s="579" t="s">
        <v>87</v>
      </c>
      <c r="E6" s="579" t="s">
        <v>392</v>
      </c>
      <c r="F6" s="579" t="s">
        <v>88</v>
      </c>
      <c r="G6" s="582" t="s">
        <v>100</v>
      </c>
      <c r="H6" s="588"/>
      <c r="I6" s="588"/>
      <c r="J6" s="588"/>
      <c r="K6" s="588"/>
      <c r="L6" s="588"/>
      <c r="M6" s="588"/>
      <c r="N6" s="583"/>
      <c r="O6" s="584" t="s">
        <v>101</v>
      </c>
      <c r="P6" s="585"/>
      <c r="Q6" s="576" t="s">
        <v>102</v>
      </c>
      <c r="R6" s="576" t="s">
        <v>103</v>
      </c>
      <c r="S6" s="576" t="s">
        <v>110</v>
      </c>
      <c r="T6" s="576" t="s">
        <v>109</v>
      </c>
      <c r="U6" s="573" t="s">
        <v>89</v>
      </c>
    </row>
    <row r="7" spans="1:21" ht="15" customHeight="1">
      <c r="A7" s="577"/>
      <c r="B7" s="577"/>
      <c r="C7" s="580"/>
      <c r="D7" s="580"/>
      <c r="E7" s="580"/>
      <c r="F7" s="580"/>
      <c r="G7" s="582" t="s">
        <v>104</v>
      </c>
      <c r="H7" s="583"/>
      <c r="I7" s="582" t="s">
        <v>105</v>
      </c>
      <c r="J7" s="583"/>
      <c r="K7" s="582" t="s">
        <v>106</v>
      </c>
      <c r="L7" s="583"/>
      <c r="M7" s="582" t="s">
        <v>107</v>
      </c>
      <c r="N7" s="583"/>
      <c r="O7" s="586"/>
      <c r="P7" s="587"/>
      <c r="Q7" s="577"/>
      <c r="R7" s="577"/>
      <c r="S7" s="577"/>
      <c r="T7" s="577"/>
      <c r="U7" s="574"/>
    </row>
    <row r="8" spans="1:21" ht="25.5">
      <c r="A8" s="578"/>
      <c r="B8" s="578"/>
      <c r="C8" s="581"/>
      <c r="D8" s="581"/>
      <c r="E8" s="581"/>
      <c r="F8" s="581"/>
      <c r="G8" s="440" t="s">
        <v>108</v>
      </c>
      <c r="H8" s="440" t="s">
        <v>12</v>
      </c>
      <c r="I8" s="440" t="s">
        <v>108</v>
      </c>
      <c r="J8" s="440" t="s">
        <v>12</v>
      </c>
      <c r="K8" s="440" t="s">
        <v>108</v>
      </c>
      <c r="L8" s="440" t="s">
        <v>12</v>
      </c>
      <c r="M8" s="440" t="s">
        <v>108</v>
      </c>
      <c r="N8" s="440" t="s">
        <v>12</v>
      </c>
      <c r="O8" s="440" t="s">
        <v>108</v>
      </c>
      <c r="P8" s="440" t="s">
        <v>12</v>
      </c>
      <c r="Q8" s="578"/>
      <c r="R8" s="578"/>
      <c r="S8" s="578"/>
      <c r="T8" s="578"/>
      <c r="U8" s="575"/>
    </row>
    <row r="9" spans="1:21" s="367" customFormat="1" ht="15.75">
      <c r="A9" s="441"/>
      <c r="B9" s="442"/>
      <c r="C9" s="443"/>
      <c r="D9" s="443"/>
      <c r="E9" s="444"/>
      <c r="F9" s="443"/>
      <c r="G9" s="445"/>
      <c r="H9" s="445"/>
      <c r="I9" s="445"/>
      <c r="J9" s="445"/>
      <c r="K9" s="445"/>
      <c r="L9" s="445"/>
      <c r="M9" s="445"/>
      <c r="N9" s="445"/>
      <c r="O9" s="445"/>
      <c r="P9" s="445"/>
      <c r="Q9" s="446"/>
      <c r="R9" s="446"/>
      <c r="S9" s="446"/>
      <c r="T9" s="446"/>
      <c r="U9" s="447"/>
    </row>
    <row r="10" spans="1:21" ht="15.75">
      <c r="A10" s="616" t="s">
        <v>1401</v>
      </c>
      <c r="B10" s="616" t="s">
        <v>1402</v>
      </c>
      <c r="C10" s="281"/>
      <c r="D10" s="281"/>
      <c r="E10" s="281"/>
      <c r="F10" s="282"/>
      <c r="G10" s="282"/>
      <c r="H10" s="360"/>
      <c r="I10" s="282"/>
      <c r="J10" s="360"/>
      <c r="K10" s="282"/>
      <c r="L10" s="360"/>
      <c r="M10" s="282"/>
      <c r="N10" s="360"/>
      <c r="O10" s="400">
        <f>G10+I10+K10+M10</f>
        <v>0</v>
      </c>
      <c r="P10" s="401">
        <f>H10+J10+L10+N10</f>
        <v>0</v>
      </c>
      <c r="Q10" s="282"/>
      <c r="R10" s="282"/>
      <c r="S10" s="282"/>
      <c r="T10" s="282"/>
      <c r="U10" s="282"/>
    </row>
    <row r="11" spans="1:21" ht="15.75">
      <c r="A11" s="617"/>
      <c r="B11" s="617"/>
      <c r="C11" s="281"/>
      <c r="D11" s="281"/>
      <c r="E11" s="281"/>
      <c r="F11" s="282"/>
      <c r="G11" s="282"/>
      <c r="H11" s="360"/>
      <c r="I11" s="282"/>
      <c r="J11" s="360"/>
      <c r="K11" s="282"/>
      <c r="L11" s="360"/>
      <c r="M11" s="282"/>
      <c r="N11" s="360"/>
      <c r="O11" s="400">
        <f t="shared" ref="O11:O35" si="0">G11+I11+K11+M11</f>
        <v>0</v>
      </c>
      <c r="P11" s="401">
        <f t="shared" ref="P11:P35" si="1">H11+J11+L11+N11</f>
        <v>0</v>
      </c>
      <c r="Q11" s="282"/>
      <c r="R11" s="282"/>
      <c r="S11" s="282"/>
      <c r="T11" s="282"/>
      <c r="U11" s="282"/>
    </row>
    <row r="12" spans="1:21" ht="15.75">
      <c r="A12" s="617"/>
      <c r="B12" s="617"/>
      <c r="C12" s="281"/>
      <c r="D12" s="281"/>
      <c r="E12" s="281"/>
      <c r="F12" s="282"/>
      <c r="G12" s="282"/>
      <c r="H12" s="360"/>
      <c r="I12" s="282"/>
      <c r="J12" s="360"/>
      <c r="K12" s="282"/>
      <c r="L12" s="360"/>
      <c r="M12" s="282"/>
      <c r="N12" s="360"/>
      <c r="O12" s="400">
        <f t="shared" si="0"/>
        <v>0</v>
      </c>
      <c r="P12" s="401">
        <f t="shared" si="1"/>
        <v>0</v>
      </c>
      <c r="Q12" s="282"/>
      <c r="R12" s="282"/>
      <c r="S12" s="282"/>
      <c r="T12" s="282"/>
      <c r="U12" s="282"/>
    </row>
    <row r="13" spans="1:21" ht="15.75">
      <c r="A13" s="617"/>
      <c r="B13" s="617"/>
      <c r="C13" s="281"/>
      <c r="D13" s="281"/>
      <c r="E13" s="281"/>
      <c r="F13" s="282"/>
      <c r="G13" s="282"/>
      <c r="H13" s="360"/>
      <c r="I13" s="282"/>
      <c r="J13" s="360"/>
      <c r="K13" s="282"/>
      <c r="L13" s="360"/>
      <c r="M13" s="282"/>
      <c r="N13" s="360"/>
      <c r="O13" s="400">
        <f t="shared" si="0"/>
        <v>0</v>
      </c>
      <c r="P13" s="401">
        <f t="shared" si="1"/>
        <v>0</v>
      </c>
      <c r="Q13" s="282"/>
      <c r="R13" s="282"/>
      <c r="S13" s="282"/>
      <c r="T13" s="282"/>
      <c r="U13" s="282"/>
    </row>
    <row r="14" spans="1:21" ht="15.75">
      <c r="A14" s="617"/>
      <c r="B14" s="617"/>
      <c r="C14" s="281"/>
      <c r="D14" s="281"/>
      <c r="E14" s="281"/>
      <c r="F14" s="282"/>
      <c r="G14" s="282"/>
      <c r="H14" s="360"/>
      <c r="I14" s="282"/>
      <c r="J14" s="360"/>
      <c r="K14" s="282"/>
      <c r="L14" s="360"/>
      <c r="M14" s="282"/>
      <c r="N14" s="360"/>
      <c r="O14" s="400">
        <f t="shared" si="0"/>
        <v>0</v>
      </c>
      <c r="P14" s="401">
        <f t="shared" si="1"/>
        <v>0</v>
      </c>
      <c r="Q14" s="282"/>
      <c r="R14" s="282"/>
      <c r="S14" s="282"/>
      <c r="T14" s="282"/>
      <c r="U14" s="282"/>
    </row>
    <row r="15" spans="1:21" ht="15.75">
      <c r="A15" s="618"/>
      <c r="B15" s="618"/>
      <c r="C15" s="281"/>
      <c r="D15" s="281"/>
      <c r="E15" s="281"/>
      <c r="F15" s="282"/>
      <c r="G15" s="282"/>
      <c r="H15" s="360"/>
      <c r="I15" s="282"/>
      <c r="J15" s="360"/>
      <c r="K15" s="282"/>
      <c r="L15" s="360"/>
      <c r="M15" s="282"/>
      <c r="N15" s="360"/>
      <c r="O15" s="400">
        <f t="shared" si="0"/>
        <v>0</v>
      </c>
      <c r="P15" s="401">
        <f t="shared" si="1"/>
        <v>0</v>
      </c>
      <c r="Q15" s="282"/>
      <c r="R15" s="282"/>
      <c r="S15" s="282"/>
      <c r="T15" s="282"/>
      <c r="U15" s="361"/>
    </row>
    <row r="16" spans="1:21" ht="15.75" customHeight="1">
      <c r="A16" s="616" t="s">
        <v>1400</v>
      </c>
      <c r="B16" s="616" t="s">
        <v>1403</v>
      </c>
      <c r="C16" s="281"/>
      <c r="D16" s="281"/>
      <c r="E16" s="281"/>
      <c r="F16" s="282"/>
      <c r="G16" s="282"/>
      <c r="H16" s="360"/>
      <c r="I16" s="282"/>
      <c r="J16" s="360"/>
      <c r="K16" s="362"/>
      <c r="L16" s="360"/>
      <c r="M16" s="282"/>
      <c r="N16" s="360"/>
      <c r="O16" s="400">
        <f t="shared" si="0"/>
        <v>0</v>
      </c>
      <c r="P16" s="401">
        <f t="shared" si="1"/>
        <v>0</v>
      </c>
      <c r="Q16" s="282"/>
      <c r="R16" s="282"/>
      <c r="S16" s="282"/>
      <c r="T16" s="282"/>
      <c r="U16" s="282"/>
    </row>
    <row r="17" spans="1:21" ht="15.75">
      <c r="A17" s="617"/>
      <c r="B17" s="617"/>
      <c r="C17" s="281"/>
      <c r="D17" s="281"/>
      <c r="E17" s="281"/>
      <c r="F17" s="282"/>
      <c r="G17" s="282"/>
      <c r="H17" s="360"/>
      <c r="I17" s="282"/>
      <c r="J17" s="360"/>
      <c r="K17" s="362"/>
      <c r="L17" s="360"/>
      <c r="M17" s="282"/>
      <c r="N17" s="360"/>
      <c r="O17" s="400">
        <f t="shared" si="0"/>
        <v>0</v>
      </c>
      <c r="P17" s="401">
        <f t="shared" si="1"/>
        <v>0</v>
      </c>
      <c r="Q17" s="282"/>
      <c r="R17" s="282"/>
      <c r="S17" s="282"/>
      <c r="T17" s="282"/>
      <c r="U17" s="282"/>
    </row>
    <row r="18" spans="1:21" ht="15.75">
      <c r="A18" s="617"/>
      <c r="B18" s="617"/>
      <c r="C18" s="281"/>
      <c r="D18" s="281"/>
      <c r="E18" s="281"/>
      <c r="F18" s="282"/>
      <c r="G18" s="282"/>
      <c r="H18" s="360"/>
      <c r="I18" s="282"/>
      <c r="J18" s="360"/>
      <c r="K18" s="362"/>
      <c r="L18" s="360"/>
      <c r="M18" s="282"/>
      <c r="N18" s="360"/>
      <c r="O18" s="400">
        <f t="shared" si="0"/>
        <v>0</v>
      </c>
      <c r="P18" s="401">
        <f t="shared" si="1"/>
        <v>0</v>
      </c>
      <c r="Q18" s="282"/>
      <c r="R18" s="282"/>
      <c r="S18" s="282"/>
      <c r="T18" s="282"/>
      <c r="U18" s="282"/>
    </row>
    <row r="19" spans="1:21" ht="15.75">
      <c r="A19" s="617"/>
      <c r="B19" s="617"/>
      <c r="C19" s="281"/>
      <c r="D19" s="281"/>
      <c r="E19" s="281"/>
      <c r="F19" s="282"/>
      <c r="G19" s="282"/>
      <c r="H19" s="360"/>
      <c r="I19" s="282"/>
      <c r="J19" s="360"/>
      <c r="K19" s="362"/>
      <c r="L19" s="360"/>
      <c r="M19" s="282"/>
      <c r="N19" s="360"/>
      <c r="O19" s="400">
        <f t="shared" si="0"/>
        <v>0</v>
      </c>
      <c r="P19" s="401">
        <f t="shared" si="1"/>
        <v>0</v>
      </c>
      <c r="Q19" s="282"/>
      <c r="R19" s="282"/>
      <c r="S19" s="282"/>
      <c r="T19" s="282"/>
      <c r="U19" s="282"/>
    </row>
    <row r="20" spans="1:21" ht="15.75">
      <c r="A20" s="617"/>
      <c r="B20" s="617"/>
      <c r="C20" s="281"/>
      <c r="D20" s="281"/>
      <c r="E20" s="281"/>
      <c r="F20" s="282"/>
      <c r="G20" s="282"/>
      <c r="H20" s="360"/>
      <c r="I20" s="282"/>
      <c r="J20" s="360"/>
      <c r="K20" s="282"/>
      <c r="L20" s="360"/>
      <c r="M20" s="282"/>
      <c r="N20" s="360"/>
      <c r="O20" s="400">
        <f t="shared" si="0"/>
        <v>0</v>
      </c>
      <c r="P20" s="401">
        <f t="shared" si="1"/>
        <v>0</v>
      </c>
      <c r="Q20" s="282"/>
      <c r="R20" s="282"/>
      <c r="S20" s="282"/>
      <c r="T20" s="282"/>
      <c r="U20" s="363"/>
    </row>
    <row r="21" spans="1:21" s="367" customFormat="1" ht="15.75">
      <c r="A21" s="617"/>
      <c r="B21" s="617"/>
      <c r="C21" s="378"/>
      <c r="D21" s="378"/>
      <c r="E21" s="378"/>
      <c r="F21" s="282"/>
      <c r="G21" s="282"/>
      <c r="H21" s="360"/>
      <c r="I21" s="282"/>
      <c r="J21" s="360"/>
      <c r="K21" s="282"/>
      <c r="L21" s="360"/>
      <c r="M21" s="282"/>
      <c r="N21" s="360"/>
      <c r="O21" s="400">
        <f t="shared" si="0"/>
        <v>0</v>
      </c>
      <c r="P21" s="401">
        <f t="shared" si="1"/>
        <v>0</v>
      </c>
      <c r="Q21" s="282"/>
      <c r="R21" s="282"/>
      <c r="S21" s="282"/>
      <c r="T21" s="282"/>
      <c r="U21" s="363"/>
    </row>
    <row r="22" spans="1:21" s="367" customFormat="1" ht="15.75">
      <c r="A22" s="617"/>
      <c r="B22" s="617"/>
      <c r="C22" s="378"/>
      <c r="D22" s="378"/>
      <c r="E22" s="378"/>
      <c r="F22" s="282"/>
      <c r="G22" s="282"/>
      <c r="H22" s="360"/>
      <c r="I22" s="282"/>
      <c r="J22" s="360"/>
      <c r="K22" s="282"/>
      <c r="L22" s="360"/>
      <c r="M22" s="282"/>
      <c r="N22" s="360"/>
      <c r="O22" s="400">
        <f t="shared" si="0"/>
        <v>0</v>
      </c>
      <c r="P22" s="401">
        <f t="shared" si="1"/>
        <v>0</v>
      </c>
      <c r="Q22" s="282"/>
      <c r="R22" s="282"/>
      <c r="S22" s="282"/>
      <c r="T22" s="282"/>
      <c r="U22" s="363"/>
    </row>
    <row r="23" spans="1:21" s="367" customFormat="1" ht="15.75">
      <c r="A23" s="617"/>
      <c r="B23" s="617"/>
      <c r="C23" s="378"/>
      <c r="D23" s="378"/>
      <c r="E23" s="378"/>
      <c r="F23" s="282"/>
      <c r="G23" s="282"/>
      <c r="H23" s="360"/>
      <c r="I23" s="282"/>
      <c r="J23" s="360"/>
      <c r="K23" s="282"/>
      <c r="L23" s="360"/>
      <c r="M23" s="282"/>
      <c r="N23" s="360"/>
      <c r="O23" s="400">
        <f t="shared" si="0"/>
        <v>0</v>
      </c>
      <c r="P23" s="401">
        <f t="shared" si="1"/>
        <v>0</v>
      </c>
      <c r="Q23" s="282"/>
      <c r="R23" s="282"/>
      <c r="S23" s="282"/>
      <c r="T23" s="282"/>
      <c r="U23" s="363"/>
    </row>
    <row r="24" spans="1:21" s="367" customFormat="1" ht="15.75">
      <c r="A24" s="617"/>
      <c r="B24" s="617"/>
      <c r="C24" s="378"/>
      <c r="D24" s="378"/>
      <c r="E24" s="378"/>
      <c r="F24" s="282"/>
      <c r="G24" s="282"/>
      <c r="H24" s="360"/>
      <c r="I24" s="282"/>
      <c r="J24" s="360"/>
      <c r="K24" s="282"/>
      <c r="L24" s="360"/>
      <c r="M24" s="282"/>
      <c r="N24" s="360"/>
      <c r="O24" s="400">
        <f t="shared" si="0"/>
        <v>0</v>
      </c>
      <c r="P24" s="401">
        <f t="shared" si="1"/>
        <v>0</v>
      </c>
      <c r="Q24" s="282"/>
      <c r="R24" s="282"/>
      <c r="S24" s="282"/>
      <c r="T24" s="282"/>
      <c r="U24" s="363"/>
    </row>
    <row r="25" spans="1:21" s="367" customFormat="1" ht="15.75">
      <c r="A25" s="615" t="s">
        <v>1476</v>
      </c>
      <c r="B25" s="615" t="s">
        <v>1424</v>
      </c>
      <c r="C25" s="378"/>
      <c r="D25" s="378"/>
      <c r="E25" s="378"/>
      <c r="F25" s="282"/>
      <c r="G25" s="282"/>
      <c r="H25" s="360"/>
      <c r="I25" s="282"/>
      <c r="J25" s="360"/>
      <c r="K25" s="282"/>
      <c r="L25" s="360"/>
      <c r="M25" s="282"/>
      <c r="N25" s="360"/>
      <c r="O25" s="400">
        <f t="shared" si="0"/>
        <v>0</v>
      </c>
      <c r="P25" s="401">
        <f t="shared" si="1"/>
        <v>0</v>
      </c>
      <c r="Q25" s="282"/>
      <c r="R25" s="282"/>
      <c r="S25" s="282"/>
      <c r="T25" s="282"/>
      <c r="U25" s="363"/>
    </row>
    <row r="26" spans="1:21" s="367" customFormat="1" ht="15.75">
      <c r="A26" s="615"/>
      <c r="B26" s="615"/>
      <c r="C26" s="378"/>
      <c r="D26" s="378"/>
      <c r="E26" s="378"/>
      <c r="F26" s="282"/>
      <c r="G26" s="282"/>
      <c r="H26" s="360"/>
      <c r="I26" s="282"/>
      <c r="J26" s="360"/>
      <c r="K26" s="282"/>
      <c r="L26" s="360"/>
      <c r="M26" s="282"/>
      <c r="N26" s="360"/>
      <c r="O26" s="400">
        <f t="shared" si="0"/>
        <v>0</v>
      </c>
      <c r="P26" s="401">
        <f t="shared" si="1"/>
        <v>0</v>
      </c>
      <c r="Q26" s="282"/>
      <c r="R26" s="282"/>
      <c r="S26" s="282"/>
      <c r="T26" s="282"/>
      <c r="U26" s="363"/>
    </row>
    <row r="27" spans="1:21" s="367" customFormat="1" ht="15.75">
      <c r="A27" s="615"/>
      <c r="B27" s="615"/>
      <c r="C27" s="378"/>
      <c r="D27" s="378"/>
      <c r="E27" s="378"/>
      <c r="F27" s="282"/>
      <c r="G27" s="282"/>
      <c r="H27" s="360"/>
      <c r="I27" s="282"/>
      <c r="J27" s="360"/>
      <c r="K27" s="282"/>
      <c r="L27" s="360"/>
      <c r="M27" s="282"/>
      <c r="N27" s="360"/>
      <c r="O27" s="400">
        <f t="shared" si="0"/>
        <v>0</v>
      </c>
      <c r="P27" s="401">
        <f t="shared" si="1"/>
        <v>0</v>
      </c>
      <c r="Q27" s="282"/>
      <c r="R27" s="282"/>
      <c r="S27" s="282"/>
      <c r="T27" s="282"/>
      <c r="U27" s="363"/>
    </row>
    <row r="28" spans="1:21" s="367" customFormat="1" ht="15.75">
      <c r="A28" s="615"/>
      <c r="B28" s="615"/>
      <c r="C28" s="378"/>
      <c r="D28" s="378"/>
      <c r="E28" s="378"/>
      <c r="F28" s="282"/>
      <c r="G28" s="282"/>
      <c r="H28" s="360"/>
      <c r="I28" s="282"/>
      <c r="J28" s="360"/>
      <c r="K28" s="282"/>
      <c r="L28" s="360"/>
      <c r="M28" s="282"/>
      <c r="N28" s="360"/>
      <c r="O28" s="400">
        <f t="shared" si="0"/>
        <v>0</v>
      </c>
      <c r="P28" s="401">
        <f t="shared" si="1"/>
        <v>0</v>
      </c>
      <c r="Q28" s="282"/>
      <c r="R28" s="282"/>
      <c r="S28" s="282"/>
      <c r="T28" s="282"/>
      <c r="U28" s="363"/>
    </row>
    <row r="29" spans="1:21" s="367" customFormat="1" ht="15.75">
      <c r="A29" s="615"/>
      <c r="B29" s="615"/>
      <c r="C29" s="378"/>
      <c r="D29" s="378"/>
      <c r="E29" s="378"/>
      <c r="F29" s="282"/>
      <c r="G29" s="282"/>
      <c r="H29" s="360"/>
      <c r="I29" s="282"/>
      <c r="J29" s="360"/>
      <c r="K29" s="282"/>
      <c r="L29" s="360"/>
      <c r="M29" s="282"/>
      <c r="N29" s="360"/>
      <c r="O29" s="400">
        <f t="shared" si="0"/>
        <v>0</v>
      </c>
      <c r="P29" s="401">
        <f t="shared" si="1"/>
        <v>0</v>
      </c>
      <c r="Q29" s="282"/>
      <c r="R29" s="282"/>
      <c r="S29" s="282"/>
      <c r="T29" s="282"/>
      <c r="U29" s="363"/>
    </row>
    <row r="30" spans="1:21" s="367" customFormat="1" ht="15.75">
      <c r="A30" s="615"/>
      <c r="B30" s="615"/>
      <c r="C30" s="378"/>
      <c r="D30" s="378"/>
      <c r="E30" s="378"/>
      <c r="F30" s="282"/>
      <c r="G30" s="282"/>
      <c r="H30" s="360"/>
      <c r="I30" s="282"/>
      <c r="J30" s="360"/>
      <c r="K30" s="282"/>
      <c r="L30" s="360"/>
      <c r="M30" s="282"/>
      <c r="N30" s="360"/>
      <c r="O30" s="400">
        <f t="shared" si="0"/>
        <v>0</v>
      </c>
      <c r="P30" s="401">
        <f t="shared" si="1"/>
        <v>0</v>
      </c>
      <c r="Q30" s="282"/>
      <c r="R30" s="282"/>
      <c r="S30" s="282"/>
      <c r="T30" s="282"/>
      <c r="U30" s="363"/>
    </row>
    <row r="31" spans="1:21" s="367" customFormat="1" ht="15.75">
      <c r="A31" s="615"/>
      <c r="B31" s="615"/>
      <c r="C31" s="378"/>
      <c r="D31" s="378"/>
      <c r="E31" s="378"/>
      <c r="F31" s="282"/>
      <c r="G31" s="282"/>
      <c r="H31" s="360"/>
      <c r="I31" s="282"/>
      <c r="J31" s="360"/>
      <c r="K31" s="282"/>
      <c r="L31" s="360"/>
      <c r="M31" s="282"/>
      <c r="N31" s="360"/>
      <c r="O31" s="400">
        <f t="shared" si="0"/>
        <v>0</v>
      </c>
      <c r="P31" s="401">
        <f t="shared" si="1"/>
        <v>0</v>
      </c>
      <c r="Q31" s="282"/>
      <c r="R31" s="282"/>
      <c r="S31" s="282"/>
      <c r="T31" s="282"/>
      <c r="U31" s="363"/>
    </row>
    <row r="32" spans="1:21" s="367" customFormat="1" ht="15.75">
      <c r="A32" s="615"/>
      <c r="B32" s="615"/>
      <c r="C32" s="378"/>
      <c r="D32" s="378"/>
      <c r="E32" s="378"/>
      <c r="F32" s="282"/>
      <c r="G32" s="282"/>
      <c r="H32" s="360"/>
      <c r="I32" s="282"/>
      <c r="J32" s="360"/>
      <c r="K32" s="282"/>
      <c r="L32" s="360"/>
      <c r="M32" s="282"/>
      <c r="N32" s="360"/>
      <c r="O32" s="400">
        <f t="shared" si="0"/>
        <v>0</v>
      </c>
      <c r="P32" s="401">
        <f t="shared" si="1"/>
        <v>0</v>
      </c>
      <c r="Q32" s="282"/>
      <c r="R32" s="282"/>
      <c r="S32" s="282"/>
      <c r="T32" s="282"/>
      <c r="U32" s="363"/>
    </row>
    <row r="33" spans="1:21" s="367" customFormat="1" ht="15.75">
      <c r="A33" s="615"/>
      <c r="B33" s="615"/>
      <c r="C33" s="378"/>
      <c r="D33" s="378"/>
      <c r="E33" s="378"/>
      <c r="F33" s="282"/>
      <c r="G33" s="282"/>
      <c r="H33" s="360"/>
      <c r="I33" s="282"/>
      <c r="J33" s="360"/>
      <c r="K33" s="282"/>
      <c r="L33" s="360"/>
      <c r="M33" s="282"/>
      <c r="N33" s="360"/>
      <c r="O33" s="400">
        <f t="shared" si="0"/>
        <v>0</v>
      </c>
      <c r="P33" s="401">
        <f t="shared" si="1"/>
        <v>0</v>
      </c>
      <c r="Q33" s="282"/>
      <c r="R33" s="282"/>
      <c r="S33" s="282"/>
      <c r="T33" s="282"/>
      <c r="U33" s="363"/>
    </row>
    <row r="34" spans="1:21" s="367" customFormat="1" ht="15.75">
      <c r="A34" s="615"/>
      <c r="B34" s="615"/>
      <c r="C34" s="378"/>
      <c r="D34" s="378"/>
      <c r="E34" s="378"/>
      <c r="F34" s="282"/>
      <c r="G34" s="282"/>
      <c r="H34" s="360"/>
      <c r="I34" s="282"/>
      <c r="J34" s="360"/>
      <c r="K34" s="282"/>
      <c r="L34" s="360"/>
      <c r="M34" s="282"/>
      <c r="N34" s="360"/>
      <c r="O34" s="400">
        <f t="shared" si="0"/>
        <v>0</v>
      </c>
      <c r="P34" s="401">
        <f t="shared" si="1"/>
        <v>0</v>
      </c>
      <c r="Q34" s="282"/>
      <c r="R34" s="282"/>
      <c r="S34" s="282"/>
      <c r="T34" s="282"/>
      <c r="U34" s="363"/>
    </row>
    <row r="35" spans="1:21" ht="15.75">
      <c r="A35" s="615"/>
      <c r="B35" s="615"/>
      <c r="C35" s="281"/>
      <c r="D35" s="281"/>
      <c r="E35" s="281"/>
      <c r="F35" s="282"/>
      <c r="G35" s="282"/>
      <c r="H35" s="360"/>
      <c r="I35" s="282"/>
      <c r="J35" s="360"/>
      <c r="K35" s="282"/>
      <c r="L35" s="360"/>
      <c r="M35" s="282"/>
      <c r="N35" s="360"/>
      <c r="O35" s="400">
        <f t="shared" si="0"/>
        <v>0</v>
      </c>
      <c r="P35" s="401">
        <f t="shared" si="1"/>
        <v>0</v>
      </c>
      <c r="Q35" s="282"/>
      <c r="R35" s="282"/>
      <c r="S35" s="282"/>
      <c r="T35" s="282"/>
      <c r="U35" s="282"/>
    </row>
    <row r="36" spans="1:21" ht="15.75">
      <c r="A36" s="293"/>
      <c r="B36" s="294"/>
      <c r="C36" s="293" t="s">
        <v>1518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F10" workbookViewId="0">
      <selection activeCell="E15" sqref="E15"/>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65" t="s">
        <v>1368</v>
      </c>
      <c r="I2" s="565"/>
    </row>
    <row r="3" spans="2:9" ht="19.5" thickBot="1">
      <c r="B3" s="81" t="s">
        <v>21</v>
      </c>
      <c r="C3" s="81" t="s">
        <v>391</v>
      </c>
      <c r="H3" s="422" t="s">
        <v>390</v>
      </c>
      <c r="I3" s="423" t="s">
        <v>391</v>
      </c>
    </row>
    <row r="4" spans="2:9" ht="18.75">
      <c r="B4" s="82" t="s">
        <v>122</v>
      </c>
      <c r="C4" s="201">
        <f>'1. TALLERES SEMINARIOS'!D5</f>
        <v>0</v>
      </c>
      <c r="H4" s="415" t="s">
        <v>1356</v>
      </c>
      <c r="I4" s="418">
        <f>'1. Desarrollo e Innov. Curricu.'!P28</f>
        <v>0</v>
      </c>
    </row>
    <row r="5" spans="2:9" ht="18.75">
      <c r="B5" s="82" t="s">
        <v>415</v>
      </c>
      <c r="C5" s="201">
        <f>'2. CONTRATACION DE PERSONAL'!D5</f>
        <v>5389267.333333334</v>
      </c>
      <c r="H5" s="416" t="s">
        <v>1358</v>
      </c>
      <c r="I5" s="419">
        <f>'2. Investigación Científica'!P47</f>
        <v>0</v>
      </c>
    </row>
    <row r="6" spans="2:9" ht="18.75">
      <c r="B6" s="82" t="s">
        <v>126</v>
      </c>
      <c r="C6" s="201">
        <f>'3. EQUIPO DE OFICINA'!D5</f>
        <v>0</v>
      </c>
      <c r="H6" s="416" t="s">
        <v>471</v>
      </c>
      <c r="I6" s="419">
        <f>'3. Vinculación Univ. Sociedad'!P74</f>
        <v>0</v>
      </c>
    </row>
    <row r="7" spans="2:9" ht="19.5" thickBot="1">
      <c r="B7" s="82" t="s">
        <v>416</v>
      </c>
      <c r="C7" s="201">
        <f>'4. EQUIPO TECNOLÓGICOS'!D5</f>
        <v>250000</v>
      </c>
      <c r="E7" s="426" t="s">
        <v>119</v>
      </c>
      <c r="F7" s="435" t="s">
        <v>1482</v>
      </c>
      <c r="H7" s="416" t="s">
        <v>1357</v>
      </c>
      <c r="I7" s="419">
        <f>'4. Docencia y Profesorado Univ.'!P21</f>
        <v>0</v>
      </c>
    </row>
    <row r="8" spans="2:9" ht="18.75">
      <c r="B8" s="82" t="s">
        <v>127</v>
      </c>
      <c r="C8" s="201">
        <f>'5. ACTIVIDADES ESPECIALES'!D5</f>
        <v>3695407.08</v>
      </c>
      <c r="E8" s="431" t="s">
        <v>1484</v>
      </c>
      <c r="F8" s="432">
        <f>Presupuesto!D566</f>
        <v>1688107.5</v>
      </c>
      <c r="H8" s="416" t="s">
        <v>1359</v>
      </c>
      <c r="I8" s="419">
        <f>'5. Estudiantes y Graduados'!P43</f>
        <v>0</v>
      </c>
    </row>
    <row r="9" spans="2:9" ht="19.5" thickBot="1">
      <c r="B9" s="92" t="s">
        <v>386</v>
      </c>
      <c r="C9" s="83">
        <f>'6. Becas'!D5</f>
        <v>0</v>
      </c>
      <c r="E9" s="433" t="s">
        <v>1509</v>
      </c>
      <c r="F9" s="434">
        <f>Presupuesto!E566</f>
        <v>7646566.9133333331</v>
      </c>
      <c r="H9" s="416" t="s">
        <v>472</v>
      </c>
      <c r="I9" s="419">
        <f>'6. Gestión del Conocimiento'!P27</f>
        <v>0</v>
      </c>
    </row>
    <row r="10" spans="2:9" ht="19.5" thickBot="1">
      <c r="B10" s="92" t="s">
        <v>387</v>
      </c>
      <c r="C10" s="83">
        <f>'7. Infraestructura'!D5</f>
        <v>0</v>
      </c>
      <c r="E10" s="436" t="s">
        <v>1483</v>
      </c>
      <c r="F10" s="437">
        <f>Presupuesto!F566</f>
        <v>9334674.413333334</v>
      </c>
      <c r="G10" s="111"/>
      <c r="H10" s="416" t="s">
        <v>1360</v>
      </c>
      <c r="I10" s="420">
        <f>'7. Lo Esencial de la Reforma U.'!P30</f>
        <v>9084674.0800000001</v>
      </c>
    </row>
    <row r="11" spans="2:9" ht="18.75">
      <c r="B11" s="82" t="s">
        <v>418</v>
      </c>
      <c r="C11" s="83">
        <f>'8. Venta de Servicios'!D5</f>
        <v>0</v>
      </c>
      <c r="E11" s="438" t="s">
        <v>405</v>
      </c>
      <c r="F11" s="439">
        <f>Presupuesto!AR566</f>
        <v>9334674.4133333322</v>
      </c>
      <c r="G11" s="111"/>
      <c r="H11" s="416" t="s">
        <v>1477</v>
      </c>
      <c r="I11" s="420">
        <f>'8. Asegura. de la Calid. y M'!P36</f>
        <v>0</v>
      </c>
    </row>
    <row r="12" spans="2:9" ht="18.75">
      <c r="B12" s="92"/>
      <c r="C12" s="83"/>
      <c r="F12" s="111"/>
      <c r="G12" s="111"/>
      <c r="H12" s="416" t="s">
        <v>1362</v>
      </c>
      <c r="I12" s="420">
        <f>'9. Cultura de Inno. Insti...'!P21</f>
        <v>0</v>
      </c>
    </row>
    <row r="13" spans="2:9" ht="24" thickBot="1">
      <c r="B13" s="84" t="s">
        <v>125</v>
      </c>
      <c r="C13" s="430">
        <f>SUM(C4:C12)</f>
        <v>9334674.413333334</v>
      </c>
      <c r="F13" s="111"/>
      <c r="G13" s="111"/>
      <c r="H13" s="417" t="s">
        <v>1453</v>
      </c>
      <c r="I13" s="421">
        <f>'10. Posgrado'!P43</f>
        <v>0</v>
      </c>
    </row>
    <row r="14" spans="2:9" ht="23.25">
      <c r="B14" s="84"/>
      <c r="C14" s="85"/>
      <c r="F14" s="111"/>
      <c r="G14" s="111"/>
      <c r="H14" s="424" t="s">
        <v>125</v>
      </c>
      <c r="I14" s="425">
        <f>SUM(I4:I13)</f>
        <v>9084674.0800000001</v>
      </c>
    </row>
    <row r="15" spans="2:9" ht="15.75">
      <c r="F15" s="111"/>
      <c r="G15" s="111"/>
      <c r="H15" s="566"/>
      <c r="I15" s="566"/>
    </row>
    <row r="16" spans="2:9" ht="16.5" thickBot="1">
      <c r="F16" s="111"/>
      <c r="G16" s="111"/>
      <c r="H16" s="567" t="s">
        <v>1370</v>
      </c>
      <c r="I16" s="567"/>
    </row>
    <row r="17" spans="2:15" ht="15.75" thickBot="1">
      <c r="F17" s="111"/>
      <c r="G17" s="111"/>
      <c r="H17" s="426" t="s">
        <v>390</v>
      </c>
      <c r="I17" s="427" t="s">
        <v>391</v>
      </c>
      <c r="J17" s="196"/>
    </row>
    <row r="18" spans="2:15">
      <c r="H18" s="479" t="s">
        <v>1363</v>
      </c>
      <c r="I18" s="480">
        <f>'11. Gestion Administrativa'!P39</f>
        <v>0</v>
      </c>
      <c r="J18" s="196"/>
    </row>
    <row r="19" spans="2:15">
      <c r="H19" s="481" t="s">
        <v>1364</v>
      </c>
      <c r="I19" s="482">
        <f>'12. Gestión del Talento Humano'!P21</f>
        <v>0</v>
      </c>
      <c r="J19" s="196"/>
    </row>
    <row r="20" spans="2:15">
      <c r="B20" s="473" t="s">
        <v>1504</v>
      </c>
      <c r="C20" s="474">
        <v>21.981300000000001</v>
      </c>
      <c r="D20" s="473" t="s">
        <v>1507</v>
      </c>
      <c r="E20" s="475"/>
      <c r="H20" s="481" t="s">
        <v>1365</v>
      </c>
      <c r="I20" s="482">
        <f>'13. Gestión Académica'!P21</f>
        <v>0</v>
      </c>
      <c r="J20" s="196"/>
    </row>
    <row r="21" spans="2:15">
      <c r="H21" s="481" t="s">
        <v>1366</v>
      </c>
      <c r="I21" s="482">
        <f>'14. Internacional... de la E.S.'!P36</f>
        <v>0</v>
      </c>
      <c r="J21" s="196"/>
    </row>
    <row r="22" spans="2:15">
      <c r="H22" s="483" t="s">
        <v>1367</v>
      </c>
      <c r="I22" s="484">
        <f>'15. Gobernabilidad y Proceso...'!P29</f>
        <v>0</v>
      </c>
      <c r="J22" s="196"/>
    </row>
    <row r="23" spans="2:15">
      <c r="H23" s="485" t="s">
        <v>1478</v>
      </c>
      <c r="I23" s="486">
        <f>'16. Desa. del Sistema Educ.Sup.'!P70</f>
        <v>0</v>
      </c>
      <c r="J23" s="196"/>
    </row>
    <row r="24" spans="2:15" s="465" customFormat="1" ht="15.75" thickBot="1">
      <c r="H24" s="487" t="s">
        <v>1516</v>
      </c>
      <c r="I24" s="488">
        <f>'17. Gestión TIC'!P70</f>
        <v>250000</v>
      </c>
      <c r="J24" s="196"/>
    </row>
    <row r="25" spans="2:15" ht="15.75" thickBot="1">
      <c r="H25" s="477" t="s">
        <v>125</v>
      </c>
      <c r="I25" s="478">
        <f>SUM(I18:I23)</f>
        <v>0</v>
      </c>
    </row>
    <row r="26" spans="2:15" ht="15.75" thickBot="1"/>
    <row r="27" spans="2:15" ht="15.75" thickBot="1">
      <c r="H27" s="428" t="s">
        <v>1369</v>
      </c>
      <c r="I27" s="429">
        <f>I14+I25</f>
        <v>9084674.0800000001</v>
      </c>
    </row>
    <row r="28" spans="2:15">
      <c r="H28" s="343"/>
      <c r="I28" s="344"/>
    </row>
    <row r="29" spans="2:15">
      <c r="H29" s="343"/>
      <c r="I29" s="344"/>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28</v>
      </c>
      <c r="D54" s="238">
        <f>SUMIF('2. CONTRATACION DE PERSONAL'!$C:$C,'Cuadro Resumen'!$B$40:$B$56,'2. CONTRATACION DE PERSONAL'!$G:$G)</f>
        <v>3696000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3</v>
      </c>
      <c r="D56" s="238">
        <f>SUMIF('2. CONTRATACION DE PERSONAL'!$C:$C,'Cuadro Resumen'!$B$40:$B$56,'2. CONTRATACION DE PERSONAL'!$G:$G)</f>
        <v>960806</v>
      </c>
    </row>
    <row r="57" spans="2:4" ht="23.25">
      <c r="B57" s="84" t="s">
        <v>125</v>
      </c>
      <c r="C57" s="168">
        <f>SUBTOTAL(109,C40:C56)</f>
        <v>31</v>
      </c>
      <c r="D57" s="238">
        <f>SUM(D40:D56)</f>
        <v>4656806</v>
      </c>
    </row>
    <row r="66" spans="2:4">
      <c r="B66" s="197" t="s">
        <v>380</v>
      </c>
    </row>
    <row r="68" spans="2:4" ht="18.75">
      <c r="B68" s="81" t="s">
        <v>21</v>
      </c>
      <c r="C68" s="81" t="s">
        <v>55</v>
      </c>
      <c r="D68" s="237" t="s">
        <v>475</v>
      </c>
    </row>
    <row r="69" spans="2:4" ht="18.75">
      <c r="B69" s="82" t="s">
        <v>63</v>
      </c>
      <c r="C69" s="83">
        <f>SUMIF('3. EQUIPO DE OFICINA'!C:C,'Cuadro Resumen'!$B$69:$B$78,'3. EQUIPO DE OFICINA'!D:D)</f>
        <v>0</v>
      </c>
      <c r="D69" s="239">
        <f>SUMIF('3. EQUIPO DE OFICINA'!$C:$C,'Cuadro Resumen'!$B$69:$B$78,'3. EQUIPO DE OFICINA'!$F:$F)</f>
        <v>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0</v>
      </c>
      <c r="D71" s="239">
        <f>SUMIF('3. EQUIPO DE OFICINA'!$C:$C,'Cuadro Resumen'!$B$69:$B$78,'3. EQUIPO DE OFICINA'!$F:$F)</f>
        <v>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0</v>
      </c>
      <c r="D73" s="239">
        <f>SUMIF('3. EQUIPO DE OFICINA'!$C:$C,'Cuadro Resumen'!$B$69:$B$78,'3. EQUIPO DE OFICINA'!$F:$F)</f>
        <v>0</v>
      </c>
    </row>
    <row r="74" spans="2:4" ht="18.75">
      <c r="B74" s="92" t="s">
        <v>68</v>
      </c>
      <c r="C74" s="83">
        <f>SUMIF('3. EQUIPO DE OFICINA'!C:C,'Cuadro Resumen'!$B$69:$B$78,'3. EQUIPO DE OFICINA'!D:D)</f>
        <v>0</v>
      </c>
      <c r="D74" s="239">
        <f>SUMIF('3. EQUIPO DE OFICINA'!$C:$C,'Cuadro Resumen'!$B$69:$B$78,'3. EQUIPO DE OFICINA'!$F:$F)</f>
        <v>0</v>
      </c>
    </row>
    <row r="75" spans="2:4" ht="18.75">
      <c r="B75" s="92" t="s">
        <v>69</v>
      </c>
      <c r="C75" s="83">
        <f>SUMIF('3. EQUIPO DE OFICINA'!C:C,'Cuadro Resumen'!$B$69:$B$78,'3. EQUIPO DE OFICINA'!D:D)</f>
        <v>0</v>
      </c>
      <c r="D75" s="239">
        <f>SUMIF('3. EQUIPO DE OFICINA'!$C:$C,'Cuadro Resumen'!$B$69:$B$78,'3. EQUIPO DE OFICINA'!$F:$F)</f>
        <v>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0</v>
      </c>
      <c r="D80" s="240">
        <f>SUM(D69:D79)</f>
        <v>0</v>
      </c>
    </row>
    <row r="83" spans="2:4">
      <c r="B83" s="197" t="s">
        <v>381</v>
      </c>
    </row>
    <row r="85" spans="2:4" ht="18.75">
      <c r="B85" s="81" t="s">
        <v>382</v>
      </c>
      <c r="C85" s="81" t="s">
        <v>55</v>
      </c>
      <c r="D85" s="237" t="s">
        <v>475</v>
      </c>
    </row>
    <row r="86" spans="2:4" ht="37.5">
      <c r="B86" s="307" t="s">
        <v>1337</v>
      </c>
      <c r="C86" s="83">
        <f>SUMIF('4. EQUIPO TECNOLÓGICOS'!C:C,'Cuadro Resumen'!$B$86:$B$102,'4. EQUIPO TECNOLÓGICOS'!D:D)</f>
        <v>0</v>
      </c>
      <c r="D86" s="83">
        <f>SUMIF('4. EQUIPO TECNOLÓGICOS'!$C:$C,'Cuadro Resumen'!$B$86:$B$102,'4. EQUIPO TECNOLÓGICOS'!F:F)</f>
        <v>0</v>
      </c>
    </row>
    <row r="87" spans="2:4" ht="18.75">
      <c r="B87" s="307" t="s">
        <v>1338</v>
      </c>
      <c r="C87" s="83">
        <f>SUMIF('4. EQUIPO TECNOLÓGICOS'!C:C,'Cuadro Resumen'!$B$86:$B$102,'4. EQUIPO TECNOLÓGICOS'!D:D)</f>
        <v>0</v>
      </c>
      <c r="D87" s="83">
        <f>SUMIF('4. EQUIPO TECNOLÓGICOS'!$C:$C,'Cuadro Resumen'!$B$86:$B$102,'4. EQUIPO TECNOLÓGICOS'!F:F)</f>
        <v>0</v>
      </c>
    </row>
    <row r="88" spans="2:4" ht="37.5">
      <c r="B88" s="307" t="s">
        <v>1336</v>
      </c>
      <c r="C88" s="83">
        <f>SUMIF('4. EQUIPO TECNOLÓGICOS'!C:C,'Cuadro Resumen'!$B$86:$B$102,'4. EQUIPO TECNOLÓGICOS'!D:D)</f>
        <v>0</v>
      </c>
      <c r="D88" s="83">
        <f>SUMIF('4. EQUIPO TECNOLÓGICOS'!$C:$C,'Cuadro Resumen'!$B$86:$B$102,'4. EQUIPO TECNOLÓGICOS'!F:F)</f>
        <v>0</v>
      </c>
    </row>
    <row r="89" spans="2:4" ht="37.5">
      <c r="B89" s="307"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2</v>
      </c>
      <c r="D97" s="83">
        <f>SUMIF('4. EQUIPO TECNOLÓGICOS'!$C:$C,'Cuadro Resumen'!$B$86:$B$102,'4. EQUIPO TECNOLÓGICOS'!F:F)</f>
        <v>130000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1481</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2</v>
      </c>
      <c r="D103" s="85">
        <f>SUM(D86:D102)</f>
        <v>130000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9"/>
    </row>
    <row r="198" spans="2:9" hidden="1">
      <c r="B198" s="568" t="s">
        <v>1497</v>
      </c>
      <c r="C198" s="568"/>
      <c r="D198" s="568"/>
      <c r="E198" s="568"/>
      <c r="F198" s="568"/>
    </row>
    <row r="199" spans="2:9" hidden="1">
      <c r="B199" s="453" t="s">
        <v>1498</v>
      </c>
      <c r="C199" s="452" t="s">
        <v>1499</v>
      </c>
      <c r="D199" s="452" t="s">
        <v>1499</v>
      </c>
      <c r="E199" s="452" t="s">
        <v>1500</v>
      </c>
      <c r="F199" s="452" t="s">
        <v>1500</v>
      </c>
    </row>
    <row r="200" spans="2:9" hidden="1">
      <c r="B200" s="451"/>
      <c r="C200" s="451" t="s">
        <v>1501</v>
      </c>
      <c r="D200" s="451" t="s">
        <v>1502</v>
      </c>
      <c r="E200" s="451" t="s">
        <v>1501</v>
      </c>
      <c r="F200" s="451" t="s">
        <v>1502</v>
      </c>
    </row>
    <row r="201" spans="2:9" hidden="1">
      <c r="B201" s="453" t="s">
        <v>3</v>
      </c>
      <c r="C201" s="450">
        <v>255</v>
      </c>
      <c r="D201" s="450">
        <v>235</v>
      </c>
      <c r="E201" s="450">
        <v>300</v>
      </c>
      <c r="F201" s="450">
        <v>280</v>
      </c>
    </row>
    <row r="202" spans="2:9" hidden="1">
      <c r="B202" s="453" t="s">
        <v>4</v>
      </c>
      <c r="C202" s="450">
        <v>225</v>
      </c>
      <c r="D202" s="450">
        <v>205</v>
      </c>
      <c r="E202" s="450">
        <v>270</v>
      </c>
      <c r="F202" s="450">
        <v>250</v>
      </c>
    </row>
    <row r="203" spans="2:9" hidden="1">
      <c r="B203" s="453" t="s">
        <v>5</v>
      </c>
      <c r="C203" s="450">
        <v>195</v>
      </c>
      <c r="D203" s="450">
        <v>180</v>
      </c>
      <c r="E203" s="450">
        <v>240</v>
      </c>
      <c r="F203" s="450">
        <v>220</v>
      </c>
    </row>
    <row r="204" spans="2:9" hidden="1">
      <c r="B204" s="453" t="s">
        <v>6</v>
      </c>
      <c r="C204" s="450">
        <v>165</v>
      </c>
      <c r="D204" s="450">
        <v>150</v>
      </c>
      <c r="E204" s="450">
        <v>210</v>
      </c>
      <c r="F204" s="450">
        <v>195</v>
      </c>
    </row>
    <row r="205" spans="2:9" hidden="1">
      <c r="B205" s="453" t="s">
        <v>1503</v>
      </c>
      <c r="C205" s="450">
        <v>145</v>
      </c>
      <c r="D205" s="450">
        <v>135</v>
      </c>
      <c r="E205" s="450">
        <v>185</v>
      </c>
      <c r="F205" s="450">
        <v>170</v>
      </c>
    </row>
    <row r="206" spans="2:9" hidden="1">
      <c r="B206" s="448"/>
      <c r="C206" s="448"/>
      <c r="D206" s="448"/>
      <c r="E206" s="448"/>
      <c r="F206" s="448"/>
    </row>
    <row r="207" spans="2:9" hidden="1">
      <c r="B207" s="569" t="s">
        <v>1504</v>
      </c>
      <c r="C207" s="569"/>
      <c r="D207" s="569"/>
      <c r="E207" s="476">
        <f>C20</f>
        <v>21.981300000000001</v>
      </c>
      <c r="F207" s="476" t="str">
        <f>D20</f>
        <v>Martes, 25 de Agosto del 2015 Fuente el BCH</v>
      </c>
    </row>
    <row r="208" spans="2:9" hidden="1">
      <c r="B208" s="448"/>
      <c r="C208" s="448"/>
      <c r="D208" s="448"/>
      <c r="E208" s="448"/>
      <c r="F208" s="448"/>
    </row>
    <row r="209" spans="2:9" hidden="1">
      <c r="B209" s="448"/>
      <c r="C209" s="448"/>
      <c r="D209" s="448"/>
      <c r="E209" s="448"/>
      <c r="F209" s="448"/>
    </row>
    <row r="210" spans="2:9" hidden="1">
      <c r="B210" s="568" t="s">
        <v>1497</v>
      </c>
      <c r="C210" s="568"/>
      <c r="D210" s="568"/>
      <c r="E210" s="568"/>
      <c r="F210" s="568"/>
    </row>
    <row r="211" spans="2:9" hidden="1">
      <c r="B211" s="453" t="s">
        <v>1498</v>
      </c>
      <c r="C211" s="452" t="s">
        <v>1499</v>
      </c>
      <c r="D211" s="452" t="s">
        <v>1499</v>
      </c>
      <c r="E211" s="452" t="s">
        <v>1500</v>
      </c>
      <c r="F211" s="452" t="s">
        <v>1500</v>
      </c>
    </row>
    <row r="212" spans="2:9" hidden="1">
      <c r="B212" s="451"/>
      <c r="C212" s="451" t="s">
        <v>1501</v>
      </c>
      <c r="D212" s="451" t="s">
        <v>1502</v>
      </c>
      <c r="E212" s="451" t="s">
        <v>1501</v>
      </c>
      <c r="F212" s="451" t="s">
        <v>1502</v>
      </c>
    </row>
    <row r="213" spans="2:9" hidden="1">
      <c r="B213" s="453" t="s">
        <v>3</v>
      </c>
      <c r="C213" s="454">
        <f>+C201*E207</f>
        <v>5605.2314999999999</v>
      </c>
      <c r="D213" s="455">
        <f>+D201*E207</f>
        <v>5165.6055000000006</v>
      </c>
      <c r="E213" s="455">
        <f>+E201*E207</f>
        <v>6594.39</v>
      </c>
      <c r="F213" s="455">
        <f>+F201*E207</f>
        <v>6154.7640000000001</v>
      </c>
    </row>
    <row r="214" spans="2:9" hidden="1">
      <c r="B214" s="453" t="s">
        <v>4</v>
      </c>
      <c r="C214" s="454">
        <f>+C202*E207</f>
        <v>4945.7925000000005</v>
      </c>
      <c r="D214" s="455">
        <f>+D202*E207</f>
        <v>4506.1665000000003</v>
      </c>
      <c r="E214" s="455">
        <f>+E202*E207</f>
        <v>5934.951</v>
      </c>
      <c r="F214" s="455">
        <f>+F202*E207</f>
        <v>5495.3249999999998</v>
      </c>
    </row>
    <row r="215" spans="2:9" hidden="1">
      <c r="B215" s="453" t="s">
        <v>5</v>
      </c>
      <c r="C215" s="454">
        <f>+C203*E207</f>
        <v>4286.3535000000002</v>
      </c>
      <c r="D215" s="455">
        <f>+D203*E207</f>
        <v>3956.634</v>
      </c>
      <c r="E215" s="455">
        <f>+E203*E207</f>
        <v>5275.5120000000006</v>
      </c>
      <c r="F215" s="455">
        <f>+F203*E207</f>
        <v>4835.8860000000004</v>
      </c>
    </row>
    <row r="216" spans="2:9" hidden="1">
      <c r="B216" s="453" t="s">
        <v>6</v>
      </c>
      <c r="C216" s="454">
        <f>+C204*E207</f>
        <v>3626.9145000000003</v>
      </c>
      <c r="D216" s="455">
        <f>+D204*E207</f>
        <v>3297.1950000000002</v>
      </c>
      <c r="E216" s="455">
        <f>+E204*E207</f>
        <v>4616.0730000000003</v>
      </c>
      <c r="F216" s="455">
        <f>+F204*E207</f>
        <v>4286.3535000000002</v>
      </c>
    </row>
    <row r="217" spans="2:9" hidden="1">
      <c r="B217" s="453" t="s">
        <v>1503</v>
      </c>
      <c r="C217" s="454">
        <f>+C205*E207</f>
        <v>3187.2885000000001</v>
      </c>
      <c r="D217" s="455">
        <f>+D205*E207</f>
        <v>2967.4755</v>
      </c>
      <c r="E217" s="455">
        <f>+E205*E207</f>
        <v>4066.5405000000001</v>
      </c>
      <c r="F217" s="455">
        <f>+F205*E207</f>
        <v>3736.8210000000004</v>
      </c>
    </row>
    <row r="218" spans="2:9" hidden="1"/>
    <row r="220" spans="2:9" s="122" customFormat="1">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1405</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614" t="s">
        <v>1406</v>
      </c>
      <c r="B3" s="614"/>
      <c r="C3" s="614"/>
      <c r="D3" s="614"/>
      <c r="E3" s="614"/>
      <c r="F3" s="614"/>
      <c r="G3" s="614"/>
      <c r="H3" s="614"/>
      <c r="I3" s="614"/>
      <c r="J3" s="614"/>
      <c r="K3" s="614"/>
      <c r="L3" s="614"/>
      <c r="M3" s="614"/>
      <c r="N3" s="614"/>
      <c r="O3" s="614"/>
      <c r="P3" s="614"/>
      <c r="Q3" s="614"/>
      <c r="R3" s="614"/>
      <c r="S3" s="614"/>
      <c r="T3" s="614"/>
      <c r="U3" s="614"/>
    </row>
    <row r="4" spans="1:21" ht="1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616" t="s">
        <v>1406</v>
      </c>
      <c r="B8" s="616" t="s">
        <v>1407</v>
      </c>
      <c r="C8" s="281"/>
      <c r="D8" s="281"/>
      <c r="E8" s="281"/>
      <c r="F8" s="282"/>
      <c r="G8" s="282"/>
      <c r="H8" s="360"/>
      <c r="I8" s="282"/>
      <c r="J8" s="360"/>
      <c r="K8" s="282"/>
      <c r="L8" s="360"/>
      <c r="M8" s="282"/>
      <c r="N8" s="360"/>
      <c r="O8" s="400">
        <f t="shared" ref="O8:P8" si="0">G8+I8+K8+M8</f>
        <v>0</v>
      </c>
      <c r="P8" s="401">
        <f t="shared" si="0"/>
        <v>0</v>
      </c>
      <c r="Q8" s="282"/>
      <c r="R8" s="282"/>
      <c r="S8" s="282"/>
      <c r="T8" s="282"/>
      <c r="U8" s="282"/>
    </row>
    <row r="9" spans="1:21" ht="15.75">
      <c r="A9" s="617"/>
      <c r="B9" s="617"/>
      <c r="C9" s="281"/>
      <c r="D9" s="281"/>
      <c r="E9" s="281"/>
      <c r="F9" s="282"/>
      <c r="G9" s="282"/>
      <c r="H9" s="360"/>
      <c r="I9" s="282"/>
      <c r="J9" s="360"/>
      <c r="K9" s="282"/>
      <c r="L9" s="360"/>
      <c r="M9" s="282"/>
      <c r="N9" s="360"/>
      <c r="O9" s="400">
        <f t="shared" ref="O9:O20" si="1">G9+I9+K9+M9</f>
        <v>0</v>
      </c>
      <c r="P9" s="401">
        <f t="shared" ref="P9:P20" si="2">H9+J9+L9+N9</f>
        <v>0</v>
      </c>
      <c r="Q9" s="282"/>
      <c r="R9" s="282"/>
      <c r="S9" s="282"/>
      <c r="T9" s="282"/>
      <c r="U9" s="282"/>
    </row>
    <row r="10" spans="1:21" ht="15.75">
      <c r="A10" s="617"/>
      <c r="B10" s="617"/>
      <c r="C10" s="281"/>
      <c r="D10" s="281"/>
      <c r="E10" s="281"/>
      <c r="F10" s="282"/>
      <c r="G10" s="282"/>
      <c r="H10" s="360"/>
      <c r="I10" s="282"/>
      <c r="J10" s="360"/>
      <c r="K10" s="282"/>
      <c r="L10" s="360"/>
      <c r="M10" s="282"/>
      <c r="N10" s="360"/>
      <c r="O10" s="400">
        <f t="shared" si="1"/>
        <v>0</v>
      </c>
      <c r="P10" s="401">
        <f t="shared" si="2"/>
        <v>0</v>
      </c>
      <c r="Q10" s="282"/>
      <c r="R10" s="282"/>
      <c r="S10" s="282"/>
      <c r="T10" s="282"/>
      <c r="U10" s="282"/>
    </row>
    <row r="11" spans="1:21" ht="15.75">
      <c r="A11" s="617"/>
      <c r="B11" s="617"/>
      <c r="C11" s="281"/>
      <c r="D11" s="281"/>
      <c r="E11" s="281"/>
      <c r="F11" s="282"/>
      <c r="G11" s="282"/>
      <c r="H11" s="360"/>
      <c r="I11" s="282"/>
      <c r="J11" s="360"/>
      <c r="K11" s="282"/>
      <c r="L11" s="360"/>
      <c r="M11" s="282"/>
      <c r="N11" s="360"/>
      <c r="O11" s="400">
        <f t="shared" si="1"/>
        <v>0</v>
      </c>
      <c r="P11" s="401">
        <f t="shared" si="2"/>
        <v>0</v>
      </c>
      <c r="Q11" s="282"/>
      <c r="R11" s="282"/>
      <c r="S11" s="282"/>
      <c r="T11" s="282"/>
      <c r="U11" s="282"/>
    </row>
    <row r="12" spans="1:21" ht="15.75">
      <c r="A12" s="617"/>
      <c r="B12" s="617"/>
      <c r="C12" s="281"/>
      <c r="D12" s="281"/>
      <c r="E12" s="281"/>
      <c r="F12" s="282"/>
      <c r="G12" s="282"/>
      <c r="H12" s="360"/>
      <c r="I12" s="282"/>
      <c r="J12" s="360"/>
      <c r="K12" s="282"/>
      <c r="L12" s="360"/>
      <c r="M12" s="282"/>
      <c r="N12" s="360"/>
      <c r="O12" s="400">
        <f t="shared" si="1"/>
        <v>0</v>
      </c>
      <c r="P12" s="401">
        <f t="shared" si="2"/>
        <v>0</v>
      </c>
      <c r="Q12" s="282"/>
      <c r="R12" s="282"/>
      <c r="S12" s="282"/>
      <c r="T12" s="282"/>
      <c r="U12" s="282"/>
    </row>
    <row r="13" spans="1:21" s="367" customFormat="1" ht="15.75">
      <c r="A13" s="617"/>
      <c r="B13" s="617"/>
      <c r="C13" s="406"/>
      <c r="D13" s="406"/>
      <c r="E13" s="406"/>
      <c r="F13" s="282"/>
      <c r="G13" s="282"/>
      <c r="H13" s="360"/>
      <c r="I13" s="282"/>
      <c r="J13" s="360"/>
      <c r="K13" s="282"/>
      <c r="L13" s="360"/>
      <c r="M13" s="282"/>
      <c r="N13" s="360"/>
      <c r="O13" s="400">
        <f t="shared" ref="O13" si="3">G13+I13+K13+M13</f>
        <v>0</v>
      </c>
      <c r="P13" s="401">
        <f t="shared" ref="P13" si="4">H13+J13+L13+N13</f>
        <v>0</v>
      </c>
      <c r="Q13" s="282"/>
      <c r="R13" s="282"/>
      <c r="S13" s="282"/>
      <c r="T13" s="282"/>
      <c r="U13" s="282"/>
    </row>
    <row r="14" spans="1:21" ht="15.75">
      <c r="A14" s="617"/>
      <c r="B14" s="617"/>
      <c r="C14" s="281"/>
      <c r="D14" s="281"/>
      <c r="E14" s="281"/>
      <c r="F14" s="282"/>
      <c r="G14" s="282"/>
      <c r="H14" s="360"/>
      <c r="I14" s="282"/>
      <c r="J14" s="360"/>
      <c r="K14" s="282"/>
      <c r="L14" s="360"/>
      <c r="M14" s="282"/>
      <c r="N14" s="360"/>
      <c r="O14" s="400">
        <f t="shared" si="1"/>
        <v>0</v>
      </c>
      <c r="P14" s="401">
        <f t="shared" si="2"/>
        <v>0</v>
      </c>
      <c r="Q14" s="282"/>
      <c r="R14" s="282"/>
      <c r="S14" s="282"/>
      <c r="T14" s="282"/>
      <c r="U14" s="361"/>
    </row>
    <row r="15" spans="1:21" ht="15.75" customHeight="1">
      <c r="A15" s="617"/>
      <c r="B15" s="617"/>
      <c r="C15" s="281"/>
      <c r="D15" s="281"/>
      <c r="E15" s="281"/>
      <c r="F15" s="282"/>
      <c r="G15" s="282"/>
      <c r="H15" s="360"/>
      <c r="I15" s="282"/>
      <c r="J15" s="360"/>
      <c r="K15" s="362"/>
      <c r="L15" s="360"/>
      <c r="M15" s="282"/>
      <c r="N15" s="360"/>
      <c r="O15" s="400">
        <f t="shared" si="1"/>
        <v>0</v>
      </c>
      <c r="P15" s="401">
        <f t="shared" si="2"/>
        <v>0</v>
      </c>
      <c r="Q15" s="282"/>
      <c r="R15" s="282"/>
      <c r="S15" s="282"/>
      <c r="T15" s="282"/>
      <c r="U15" s="282"/>
    </row>
    <row r="16" spans="1:21" ht="15.75">
      <c r="A16" s="617"/>
      <c r="B16" s="617"/>
      <c r="C16" s="281"/>
      <c r="D16" s="281"/>
      <c r="E16" s="281"/>
      <c r="F16" s="282"/>
      <c r="G16" s="282"/>
      <c r="H16" s="360"/>
      <c r="I16" s="282"/>
      <c r="J16" s="360"/>
      <c r="K16" s="362"/>
      <c r="L16" s="360"/>
      <c r="M16" s="282"/>
      <c r="N16" s="360"/>
      <c r="O16" s="400">
        <f t="shared" si="1"/>
        <v>0</v>
      </c>
      <c r="P16" s="401">
        <f t="shared" si="2"/>
        <v>0</v>
      </c>
      <c r="Q16" s="282"/>
      <c r="R16" s="282"/>
      <c r="S16" s="282"/>
      <c r="T16" s="282"/>
      <c r="U16" s="282"/>
    </row>
    <row r="17" spans="1:21" ht="15.75">
      <c r="A17" s="617"/>
      <c r="B17" s="617"/>
      <c r="C17" s="281"/>
      <c r="D17" s="281"/>
      <c r="E17" s="281"/>
      <c r="F17" s="282"/>
      <c r="G17" s="282"/>
      <c r="H17" s="360"/>
      <c r="I17" s="282"/>
      <c r="J17" s="360"/>
      <c r="K17" s="362"/>
      <c r="L17" s="360"/>
      <c r="M17" s="282"/>
      <c r="N17" s="360"/>
      <c r="O17" s="400">
        <f t="shared" si="1"/>
        <v>0</v>
      </c>
      <c r="P17" s="401">
        <f t="shared" si="2"/>
        <v>0</v>
      </c>
      <c r="Q17" s="282"/>
      <c r="R17" s="282"/>
      <c r="S17" s="282"/>
      <c r="T17" s="282"/>
      <c r="U17" s="282"/>
    </row>
    <row r="18" spans="1:21" ht="15.75">
      <c r="A18" s="617"/>
      <c r="B18" s="617"/>
      <c r="C18" s="281"/>
      <c r="D18" s="281"/>
      <c r="E18" s="281"/>
      <c r="F18" s="282"/>
      <c r="G18" s="282"/>
      <c r="H18" s="360"/>
      <c r="I18" s="282"/>
      <c r="J18" s="360"/>
      <c r="K18" s="362"/>
      <c r="L18" s="360"/>
      <c r="M18" s="282"/>
      <c r="N18" s="360"/>
      <c r="O18" s="400">
        <f t="shared" si="1"/>
        <v>0</v>
      </c>
      <c r="P18" s="401">
        <f t="shared" si="2"/>
        <v>0</v>
      </c>
      <c r="Q18" s="282"/>
      <c r="R18" s="282"/>
      <c r="S18" s="282"/>
      <c r="T18" s="282"/>
      <c r="U18" s="282"/>
    </row>
    <row r="19" spans="1:21" ht="15.75">
      <c r="A19" s="617"/>
      <c r="B19" s="617"/>
      <c r="C19" s="281"/>
      <c r="D19" s="281"/>
      <c r="E19" s="281"/>
      <c r="F19" s="282"/>
      <c r="G19" s="282"/>
      <c r="H19" s="360"/>
      <c r="I19" s="282"/>
      <c r="J19" s="360"/>
      <c r="K19" s="282"/>
      <c r="L19" s="360"/>
      <c r="M19" s="282"/>
      <c r="N19" s="360"/>
      <c r="O19" s="400">
        <f t="shared" si="1"/>
        <v>0</v>
      </c>
      <c r="P19" s="401">
        <f t="shared" si="2"/>
        <v>0</v>
      </c>
      <c r="Q19" s="282"/>
      <c r="R19" s="282"/>
      <c r="S19" s="282"/>
      <c r="T19" s="282"/>
      <c r="U19" s="363"/>
    </row>
    <row r="20" spans="1:21" ht="15.75">
      <c r="A20" s="618"/>
      <c r="B20" s="618"/>
      <c r="C20" s="281"/>
      <c r="D20" s="281"/>
      <c r="E20" s="281"/>
      <c r="F20" s="282"/>
      <c r="G20" s="282"/>
      <c r="H20" s="360"/>
      <c r="I20" s="282"/>
      <c r="J20" s="360"/>
      <c r="K20" s="282"/>
      <c r="L20" s="360"/>
      <c r="M20" s="282"/>
      <c r="N20" s="360"/>
      <c r="O20" s="400">
        <f t="shared" si="1"/>
        <v>0</v>
      </c>
      <c r="P20" s="401">
        <f t="shared" si="2"/>
        <v>0</v>
      </c>
      <c r="Q20" s="282"/>
      <c r="R20" s="282"/>
      <c r="S20" s="282"/>
      <c r="T20" s="282"/>
      <c r="U20" s="282"/>
    </row>
    <row r="21" spans="1:21" ht="15.75">
      <c r="A21" s="293"/>
      <c r="B21" s="294"/>
      <c r="C21" s="293" t="s">
        <v>1404</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7" activePane="bottomLeft" state="frozen"/>
      <selection activeCell="A7" sqref="A7"/>
      <selection pane="bottomLeft" activeCell="A8" sqref="A8:A42"/>
    </sheetView>
  </sheetViews>
  <sheetFormatPr baseColWidth="10" defaultRowHeight="1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c r="B1" s="285"/>
      <c r="C1" s="285"/>
      <c r="D1" s="285"/>
      <c r="E1" s="285"/>
      <c r="F1" s="285"/>
      <c r="G1" s="285" t="s">
        <v>1451</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614" t="s">
        <v>1450</v>
      </c>
      <c r="B3" s="614"/>
      <c r="C3" s="614"/>
      <c r="D3" s="614"/>
      <c r="E3" s="614"/>
      <c r="F3" s="614"/>
      <c r="G3" s="614"/>
      <c r="H3" s="614"/>
      <c r="I3" s="614"/>
      <c r="J3" s="614"/>
      <c r="K3" s="614"/>
      <c r="L3" s="614"/>
      <c r="M3" s="614"/>
      <c r="N3" s="614"/>
      <c r="O3" s="614"/>
      <c r="P3" s="614"/>
      <c r="Q3" s="614"/>
      <c r="R3" s="614"/>
      <c r="S3" s="614"/>
      <c r="T3" s="614"/>
      <c r="U3" s="614"/>
    </row>
    <row r="4" spans="1:21" ht="1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ht="15.75">
      <c r="A7" s="441"/>
      <c r="B7" s="442"/>
      <c r="C7" s="443"/>
      <c r="D7" s="443"/>
      <c r="E7" s="444"/>
      <c r="F7" s="443"/>
      <c r="G7" s="445"/>
      <c r="H7" s="445"/>
      <c r="I7" s="445"/>
      <c r="J7" s="445"/>
      <c r="K7" s="445"/>
      <c r="L7" s="445"/>
      <c r="M7" s="445"/>
      <c r="N7" s="445"/>
      <c r="O7" s="445"/>
      <c r="P7" s="445"/>
      <c r="Q7" s="446"/>
      <c r="R7" s="446"/>
      <c r="S7" s="446"/>
      <c r="T7" s="446"/>
      <c r="U7" s="447"/>
    </row>
    <row r="8" spans="1:21" ht="15.75">
      <c r="A8" s="616" t="s">
        <v>1444</v>
      </c>
      <c r="B8" s="615" t="s">
        <v>1442</v>
      </c>
      <c r="C8" s="281"/>
      <c r="D8" s="281"/>
      <c r="E8" s="281"/>
      <c r="F8" s="282"/>
      <c r="G8" s="282"/>
      <c r="H8" s="360"/>
      <c r="I8" s="282"/>
      <c r="J8" s="360"/>
      <c r="K8" s="282"/>
      <c r="L8" s="360"/>
      <c r="M8" s="282"/>
      <c r="N8" s="360"/>
      <c r="O8" s="402">
        <f t="shared" ref="O8:O22" si="0">G8+I8+K8+M8</f>
        <v>0</v>
      </c>
      <c r="P8" s="401">
        <f t="shared" ref="P8:P22" si="1">H8+J8+L8+N8</f>
        <v>0</v>
      </c>
      <c r="Q8" s="282"/>
      <c r="R8" s="282"/>
      <c r="S8" s="282"/>
      <c r="T8" s="282"/>
      <c r="U8" s="282"/>
    </row>
    <row r="9" spans="1:21" ht="15.75">
      <c r="A9" s="617"/>
      <c r="B9" s="615"/>
      <c r="C9" s="281"/>
      <c r="D9" s="281"/>
      <c r="E9" s="281"/>
      <c r="F9" s="282"/>
      <c r="G9" s="282"/>
      <c r="H9" s="360"/>
      <c r="I9" s="282"/>
      <c r="J9" s="360"/>
      <c r="K9" s="282"/>
      <c r="L9" s="360"/>
      <c r="M9" s="282"/>
      <c r="N9" s="360"/>
      <c r="O9" s="402">
        <f t="shared" si="0"/>
        <v>0</v>
      </c>
      <c r="P9" s="401">
        <f t="shared" si="1"/>
        <v>0</v>
      </c>
      <c r="Q9" s="282"/>
      <c r="R9" s="282"/>
      <c r="S9" s="282"/>
      <c r="T9" s="282"/>
      <c r="U9" s="282"/>
    </row>
    <row r="10" spans="1:21" ht="15.75">
      <c r="A10" s="617"/>
      <c r="B10" s="615"/>
      <c r="C10" s="281"/>
      <c r="D10" s="281"/>
      <c r="E10" s="281"/>
      <c r="F10" s="282"/>
      <c r="G10" s="282"/>
      <c r="H10" s="360"/>
      <c r="I10" s="282"/>
      <c r="J10" s="360"/>
      <c r="K10" s="282"/>
      <c r="L10" s="360"/>
      <c r="M10" s="282"/>
      <c r="N10" s="360"/>
      <c r="O10" s="402">
        <f t="shared" si="0"/>
        <v>0</v>
      </c>
      <c r="P10" s="401">
        <f t="shared" si="1"/>
        <v>0</v>
      </c>
      <c r="Q10" s="282"/>
      <c r="R10" s="282"/>
      <c r="S10" s="282"/>
      <c r="T10" s="282"/>
      <c r="U10" s="282"/>
    </row>
    <row r="11" spans="1:21" ht="15.75">
      <c r="A11" s="617"/>
      <c r="B11" s="615"/>
      <c r="C11" s="281"/>
      <c r="D11" s="281"/>
      <c r="E11" s="281"/>
      <c r="F11" s="282"/>
      <c r="G11" s="282"/>
      <c r="H11" s="360"/>
      <c r="I11" s="282"/>
      <c r="J11" s="360"/>
      <c r="K11" s="282"/>
      <c r="L11" s="360"/>
      <c r="M11" s="282"/>
      <c r="N11" s="360"/>
      <c r="O11" s="402">
        <f t="shared" si="0"/>
        <v>0</v>
      </c>
      <c r="P11" s="401">
        <f t="shared" si="1"/>
        <v>0</v>
      </c>
      <c r="Q11" s="282"/>
      <c r="R11" s="282"/>
      <c r="S11" s="282"/>
      <c r="T11" s="282"/>
      <c r="U11" s="282"/>
    </row>
    <row r="12" spans="1:21" ht="15.75">
      <c r="A12" s="617"/>
      <c r="B12" s="615"/>
      <c r="C12" s="281"/>
      <c r="D12" s="281"/>
      <c r="E12" s="281"/>
      <c r="F12" s="282"/>
      <c r="G12" s="282"/>
      <c r="H12" s="360"/>
      <c r="I12" s="282"/>
      <c r="J12" s="360"/>
      <c r="K12" s="282"/>
      <c r="L12" s="360"/>
      <c r="M12" s="282"/>
      <c r="N12" s="360"/>
      <c r="O12" s="402">
        <f t="shared" si="0"/>
        <v>0</v>
      </c>
      <c r="P12" s="401">
        <f t="shared" si="1"/>
        <v>0</v>
      </c>
      <c r="Q12" s="282"/>
      <c r="R12" s="282"/>
      <c r="S12" s="282"/>
      <c r="T12" s="282"/>
      <c r="U12" s="282"/>
    </row>
    <row r="13" spans="1:21" ht="15.75">
      <c r="A13" s="617"/>
      <c r="B13" s="615" t="s">
        <v>1449</v>
      </c>
      <c r="C13" s="281"/>
      <c r="D13" s="281"/>
      <c r="E13" s="281"/>
      <c r="F13" s="282"/>
      <c r="G13" s="282"/>
      <c r="H13" s="360"/>
      <c r="I13" s="282"/>
      <c r="J13" s="360"/>
      <c r="K13" s="282"/>
      <c r="L13" s="360"/>
      <c r="M13" s="282"/>
      <c r="N13" s="360"/>
      <c r="O13" s="402">
        <f t="shared" si="0"/>
        <v>0</v>
      </c>
      <c r="P13" s="401">
        <f t="shared" si="1"/>
        <v>0</v>
      </c>
      <c r="Q13" s="282"/>
      <c r="R13" s="282"/>
      <c r="S13" s="282"/>
      <c r="T13" s="282"/>
      <c r="U13" s="282"/>
    </row>
    <row r="14" spans="1:21" ht="15.75">
      <c r="A14" s="617"/>
      <c r="B14" s="615"/>
      <c r="C14" s="281"/>
      <c r="D14" s="281"/>
      <c r="E14" s="281"/>
      <c r="F14" s="282"/>
      <c r="G14" s="282"/>
      <c r="H14" s="360"/>
      <c r="I14" s="282"/>
      <c r="J14" s="360"/>
      <c r="K14" s="282"/>
      <c r="L14" s="360"/>
      <c r="M14" s="282"/>
      <c r="N14" s="360"/>
      <c r="O14" s="402">
        <f t="shared" si="0"/>
        <v>0</v>
      </c>
      <c r="P14" s="401">
        <f t="shared" si="1"/>
        <v>0</v>
      </c>
      <c r="Q14" s="282"/>
      <c r="R14" s="282"/>
      <c r="S14" s="282"/>
      <c r="T14" s="282"/>
      <c r="U14" s="361"/>
    </row>
    <row r="15" spans="1:21" ht="15.75">
      <c r="A15" s="617"/>
      <c r="B15" s="615"/>
      <c r="C15" s="281"/>
      <c r="D15" s="281"/>
      <c r="E15" s="281"/>
      <c r="F15" s="282"/>
      <c r="G15" s="282"/>
      <c r="H15" s="360"/>
      <c r="I15" s="282"/>
      <c r="J15" s="360"/>
      <c r="K15" s="282"/>
      <c r="L15" s="360"/>
      <c r="M15" s="282"/>
      <c r="N15" s="360"/>
      <c r="O15" s="402">
        <f t="shared" si="0"/>
        <v>0</v>
      </c>
      <c r="P15" s="401">
        <f t="shared" si="1"/>
        <v>0</v>
      </c>
      <c r="Q15" s="282"/>
      <c r="R15" s="282"/>
      <c r="S15" s="282"/>
      <c r="T15" s="282"/>
      <c r="U15" s="361"/>
    </row>
    <row r="16" spans="1:21" ht="15.75">
      <c r="A16" s="617"/>
      <c r="B16" s="615"/>
      <c r="C16" s="281"/>
      <c r="D16" s="281"/>
      <c r="E16" s="281"/>
      <c r="F16" s="282"/>
      <c r="G16" s="282"/>
      <c r="H16" s="360"/>
      <c r="I16" s="282"/>
      <c r="J16" s="360"/>
      <c r="K16" s="282"/>
      <c r="L16" s="360"/>
      <c r="M16" s="282"/>
      <c r="N16" s="360"/>
      <c r="O16" s="402">
        <f t="shared" si="0"/>
        <v>0</v>
      </c>
      <c r="P16" s="401">
        <f t="shared" si="1"/>
        <v>0</v>
      </c>
      <c r="Q16" s="282"/>
      <c r="R16" s="282"/>
      <c r="S16" s="282"/>
      <c r="T16" s="282"/>
      <c r="U16" s="361"/>
    </row>
    <row r="17" spans="1:21" ht="15.75">
      <c r="A17" s="617"/>
      <c r="B17" s="615"/>
      <c r="C17" s="281"/>
      <c r="D17" s="281"/>
      <c r="E17" s="281"/>
      <c r="F17" s="282"/>
      <c r="G17" s="282"/>
      <c r="H17" s="360"/>
      <c r="I17" s="282"/>
      <c r="J17" s="360"/>
      <c r="K17" s="362"/>
      <c r="L17" s="360"/>
      <c r="M17" s="282"/>
      <c r="N17" s="360"/>
      <c r="O17" s="402">
        <f t="shared" si="0"/>
        <v>0</v>
      </c>
      <c r="P17" s="401">
        <f t="shared" si="1"/>
        <v>0</v>
      </c>
      <c r="Q17" s="282"/>
      <c r="R17" s="282"/>
      <c r="S17" s="282"/>
      <c r="T17" s="282"/>
      <c r="U17" s="282"/>
    </row>
    <row r="18" spans="1:21" ht="15.75">
      <c r="A18" s="617"/>
      <c r="B18" s="615" t="s">
        <v>1443</v>
      </c>
      <c r="C18" s="281"/>
      <c r="D18" s="281"/>
      <c r="E18" s="281"/>
      <c r="F18" s="282"/>
      <c r="G18" s="282"/>
      <c r="H18" s="360"/>
      <c r="I18" s="282"/>
      <c r="J18" s="360"/>
      <c r="K18" s="362"/>
      <c r="L18" s="360"/>
      <c r="M18" s="282"/>
      <c r="N18" s="360"/>
      <c r="O18" s="402">
        <f t="shared" si="0"/>
        <v>0</v>
      </c>
      <c r="P18" s="401">
        <f t="shared" si="1"/>
        <v>0</v>
      </c>
      <c r="Q18" s="282"/>
      <c r="R18" s="282"/>
      <c r="S18" s="282"/>
      <c r="T18" s="282"/>
      <c r="U18" s="282"/>
    </row>
    <row r="19" spans="1:21" ht="15.75">
      <c r="A19" s="617"/>
      <c r="B19" s="615"/>
      <c r="C19" s="281"/>
      <c r="D19" s="281"/>
      <c r="E19" s="281"/>
      <c r="F19" s="282"/>
      <c r="G19" s="282"/>
      <c r="H19" s="360"/>
      <c r="I19" s="282"/>
      <c r="J19" s="360"/>
      <c r="K19" s="362"/>
      <c r="L19" s="360"/>
      <c r="M19" s="282"/>
      <c r="N19" s="360"/>
      <c r="O19" s="402">
        <f t="shared" si="0"/>
        <v>0</v>
      </c>
      <c r="P19" s="401">
        <f t="shared" si="1"/>
        <v>0</v>
      </c>
      <c r="Q19" s="282"/>
      <c r="R19" s="282"/>
      <c r="S19" s="282"/>
      <c r="T19" s="282"/>
      <c r="U19" s="282"/>
    </row>
    <row r="20" spans="1:21" ht="15.75">
      <c r="A20" s="617"/>
      <c r="B20" s="615"/>
      <c r="C20" s="281"/>
      <c r="D20" s="281"/>
      <c r="E20" s="281"/>
      <c r="F20" s="282"/>
      <c r="G20" s="282"/>
      <c r="H20" s="360"/>
      <c r="I20" s="282"/>
      <c r="J20" s="360"/>
      <c r="K20" s="362"/>
      <c r="L20" s="360"/>
      <c r="M20" s="282"/>
      <c r="N20" s="360"/>
      <c r="O20" s="402">
        <f t="shared" si="0"/>
        <v>0</v>
      </c>
      <c r="P20" s="401">
        <f t="shared" si="1"/>
        <v>0</v>
      </c>
      <c r="Q20" s="282"/>
      <c r="R20" s="282"/>
      <c r="S20" s="282"/>
      <c r="T20" s="282"/>
      <c r="U20" s="282"/>
    </row>
    <row r="21" spans="1:21" ht="15.75">
      <c r="A21" s="617"/>
      <c r="B21" s="615"/>
      <c r="C21" s="281"/>
      <c r="D21" s="281"/>
      <c r="E21" s="281"/>
      <c r="F21" s="282"/>
      <c r="G21" s="282"/>
      <c r="H21" s="360"/>
      <c r="I21" s="282"/>
      <c r="J21" s="360"/>
      <c r="K21" s="362"/>
      <c r="L21" s="360"/>
      <c r="M21" s="282"/>
      <c r="N21" s="360"/>
      <c r="O21" s="402">
        <f t="shared" si="0"/>
        <v>0</v>
      </c>
      <c r="P21" s="401">
        <f t="shared" si="1"/>
        <v>0</v>
      </c>
      <c r="Q21" s="282"/>
      <c r="R21" s="282"/>
      <c r="S21" s="282"/>
      <c r="T21" s="282"/>
      <c r="U21" s="282"/>
    </row>
    <row r="22" spans="1:21" ht="15.75">
      <c r="A22" s="617"/>
      <c r="B22" s="615"/>
      <c r="C22" s="281"/>
      <c r="D22" s="281"/>
      <c r="E22" s="372"/>
      <c r="F22" s="282"/>
      <c r="G22" s="282"/>
      <c r="H22" s="360"/>
      <c r="I22" s="282"/>
      <c r="J22" s="360"/>
      <c r="K22" s="362"/>
      <c r="L22" s="360"/>
      <c r="M22" s="282"/>
      <c r="N22" s="360"/>
      <c r="O22" s="402">
        <f t="shared" si="0"/>
        <v>0</v>
      </c>
      <c r="P22" s="401">
        <f t="shared" si="1"/>
        <v>0</v>
      </c>
      <c r="Q22" s="282"/>
      <c r="R22" s="282"/>
      <c r="S22" s="282"/>
      <c r="T22" s="282"/>
      <c r="U22" s="282"/>
    </row>
    <row r="23" spans="1:21" ht="15.75">
      <c r="A23" s="617"/>
      <c r="B23" s="616" t="s">
        <v>1445</v>
      </c>
      <c r="C23" s="281"/>
      <c r="D23" s="281"/>
      <c r="E23" s="372"/>
      <c r="F23" s="282"/>
      <c r="G23" s="282"/>
      <c r="H23" s="360"/>
      <c r="I23" s="282"/>
      <c r="J23" s="360"/>
      <c r="K23" s="362"/>
      <c r="L23" s="360"/>
      <c r="M23" s="282"/>
      <c r="N23" s="360"/>
      <c r="O23" s="402">
        <f t="shared" ref="O23:P23" si="2">G23+I23+K23+M23</f>
        <v>0</v>
      </c>
      <c r="P23" s="401">
        <f t="shared" si="2"/>
        <v>0</v>
      </c>
      <c r="Q23" s="282"/>
      <c r="R23" s="282"/>
      <c r="S23" s="282"/>
      <c r="T23" s="282"/>
      <c r="U23" s="282"/>
    </row>
    <row r="24" spans="1:21" ht="15.75">
      <c r="A24" s="617"/>
      <c r="B24" s="617"/>
      <c r="C24" s="281"/>
      <c r="D24" s="281"/>
      <c r="E24" s="372"/>
      <c r="F24" s="282"/>
      <c r="G24" s="282"/>
      <c r="H24" s="360"/>
      <c r="I24" s="282"/>
      <c r="J24" s="360"/>
      <c r="K24" s="362"/>
      <c r="L24" s="360"/>
      <c r="M24" s="282"/>
      <c r="N24" s="360"/>
      <c r="O24" s="402">
        <f t="shared" ref="O24:O42" si="3">G24+I24+K24+M24</f>
        <v>0</v>
      </c>
      <c r="P24" s="401">
        <f t="shared" ref="P24:P42" si="4">H24+J24+L24+N24</f>
        <v>0</v>
      </c>
      <c r="Q24" s="282"/>
      <c r="R24" s="282"/>
      <c r="S24" s="282"/>
      <c r="T24" s="282"/>
      <c r="U24" s="282"/>
    </row>
    <row r="25" spans="1:21" ht="15.75">
      <c r="A25" s="617"/>
      <c r="B25" s="617"/>
      <c r="C25" s="281"/>
      <c r="D25" s="281"/>
      <c r="E25" s="372"/>
      <c r="F25" s="282"/>
      <c r="G25" s="282"/>
      <c r="H25" s="360"/>
      <c r="I25" s="282"/>
      <c r="J25" s="360"/>
      <c r="K25" s="362"/>
      <c r="L25" s="360"/>
      <c r="M25" s="282"/>
      <c r="N25" s="360"/>
      <c r="O25" s="402">
        <f t="shared" si="3"/>
        <v>0</v>
      </c>
      <c r="P25" s="401">
        <f t="shared" si="4"/>
        <v>0</v>
      </c>
      <c r="Q25" s="282"/>
      <c r="R25" s="282"/>
      <c r="S25" s="282"/>
      <c r="T25" s="282"/>
      <c r="U25" s="282"/>
    </row>
    <row r="26" spans="1:21" ht="15.75">
      <c r="A26" s="617"/>
      <c r="B26" s="617"/>
      <c r="C26" s="281"/>
      <c r="D26" s="281"/>
      <c r="E26" s="372"/>
      <c r="F26" s="282"/>
      <c r="G26" s="282"/>
      <c r="H26" s="360"/>
      <c r="I26" s="282"/>
      <c r="J26" s="360"/>
      <c r="K26" s="362"/>
      <c r="L26" s="360"/>
      <c r="M26" s="282"/>
      <c r="N26" s="360"/>
      <c r="O26" s="402">
        <f t="shared" si="3"/>
        <v>0</v>
      </c>
      <c r="P26" s="401">
        <f t="shared" si="4"/>
        <v>0</v>
      </c>
      <c r="Q26" s="282"/>
      <c r="R26" s="282"/>
      <c r="S26" s="282"/>
      <c r="T26" s="282"/>
      <c r="U26" s="282"/>
    </row>
    <row r="27" spans="1:21" ht="15.75">
      <c r="A27" s="617"/>
      <c r="B27" s="618"/>
      <c r="C27" s="281"/>
      <c r="D27" s="281"/>
      <c r="E27" s="372"/>
      <c r="F27" s="282"/>
      <c r="G27" s="282"/>
      <c r="H27" s="360"/>
      <c r="I27" s="282"/>
      <c r="J27" s="360"/>
      <c r="K27" s="362"/>
      <c r="L27" s="360"/>
      <c r="M27" s="282"/>
      <c r="N27" s="360"/>
      <c r="O27" s="402">
        <f t="shared" si="3"/>
        <v>0</v>
      </c>
      <c r="P27" s="401">
        <f t="shared" si="4"/>
        <v>0</v>
      </c>
      <c r="Q27" s="282"/>
      <c r="R27" s="282"/>
      <c r="S27" s="282"/>
      <c r="T27" s="282"/>
      <c r="U27" s="282"/>
    </row>
    <row r="28" spans="1:21" ht="15.75">
      <c r="A28" s="617"/>
      <c r="B28" s="616" t="s">
        <v>1446</v>
      </c>
      <c r="C28" s="281"/>
      <c r="D28" s="281"/>
      <c r="E28" s="372"/>
      <c r="F28" s="282"/>
      <c r="G28" s="282"/>
      <c r="H28" s="360"/>
      <c r="I28" s="282"/>
      <c r="J28" s="360"/>
      <c r="K28" s="362"/>
      <c r="L28" s="360"/>
      <c r="M28" s="282"/>
      <c r="N28" s="360"/>
      <c r="O28" s="402">
        <f t="shared" si="3"/>
        <v>0</v>
      </c>
      <c r="P28" s="401">
        <f t="shared" si="4"/>
        <v>0</v>
      </c>
      <c r="Q28" s="282"/>
      <c r="R28" s="282"/>
      <c r="S28" s="282"/>
      <c r="T28" s="282"/>
      <c r="U28" s="282"/>
    </row>
    <row r="29" spans="1:21" ht="15.75">
      <c r="A29" s="617"/>
      <c r="B29" s="617"/>
      <c r="C29" s="281"/>
      <c r="D29" s="281"/>
      <c r="E29" s="372"/>
      <c r="F29" s="282"/>
      <c r="G29" s="282"/>
      <c r="H29" s="360"/>
      <c r="I29" s="282"/>
      <c r="J29" s="360"/>
      <c r="K29" s="362"/>
      <c r="L29" s="360"/>
      <c r="M29" s="282"/>
      <c r="N29" s="360"/>
      <c r="O29" s="402">
        <f t="shared" si="3"/>
        <v>0</v>
      </c>
      <c r="P29" s="401">
        <f t="shared" si="4"/>
        <v>0</v>
      </c>
      <c r="Q29" s="282"/>
      <c r="R29" s="282"/>
      <c r="S29" s="282"/>
      <c r="T29" s="282"/>
      <c r="U29" s="282"/>
    </row>
    <row r="30" spans="1:21" ht="15.75">
      <c r="A30" s="617"/>
      <c r="B30" s="617"/>
      <c r="C30" s="281"/>
      <c r="D30" s="281"/>
      <c r="E30" s="281"/>
      <c r="F30" s="282"/>
      <c r="G30" s="282"/>
      <c r="H30" s="360"/>
      <c r="I30" s="282"/>
      <c r="J30" s="360"/>
      <c r="K30" s="362"/>
      <c r="L30" s="360"/>
      <c r="M30" s="282"/>
      <c r="N30" s="360"/>
      <c r="O30" s="402">
        <f t="shared" si="3"/>
        <v>0</v>
      </c>
      <c r="P30" s="401">
        <f t="shared" si="4"/>
        <v>0</v>
      </c>
      <c r="Q30" s="282"/>
      <c r="R30" s="282"/>
      <c r="S30" s="282"/>
      <c r="T30" s="282"/>
      <c r="U30" s="282"/>
    </row>
    <row r="31" spans="1:21" ht="15.75">
      <c r="A31" s="617"/>
      <c r="B31" s="617"/>
      <c r="C31" s="281"/>
      <c r="D31" s="281"/>
      <c r="E31" s="281"/>
      <c r="F31" s="282"/>
      <c r="G31" s="282"/>
      <c r="H31" s="360"/>
      <c r="I31" s="282"/>
      <c r="J31" s="360"/>
      <c r="K31" s="362"/>
      <c r="L31" s="360"/>
      <c r="M31" s="282"/>
      <c r="N31" s="360"/>
      <c r="O31" s="402">
        <f t="shared" si="3"/>
        <v>0</v>
      </c>
      <c r="P31" s="401">
        <f t="shared" si="4"/>
        <v>0</v>
      </c>
      <c r="Q31" s="282"/>
      <c r="R31" s="282"/>
      <c r="S31" s="282"/>
      <c r="T31" s="282"/>
      <c r="U31" s="282"/>
    </row>
    <row r="32" spans="1:21" ht="15.75">
      <c r="A32" s="617"/>
      <c r="B32" s="618"/>
      <c r="C32" s="281"/>
      <c r="D32" s="281"/>
      <c r="E32" s="281"/>
      <c r="F32" s="282"/>
      <c r="G32" s="282"/>
      <c r="H32" s="360"/>
      <c r="I32" s="282"/>
      <c r="J32" s="360"/>
      <c r="K32" s="362"/>
      <c r="L32" s="360"/>
      <c r="M32" s="282"/>
      <c r="N32" s="360"/>
      <c r="O32" s="402">
        <f t="shared" si="3"/>
        <v>0</v>
      </c>
      <c r="P32" s="401">
        <f t="shared" si="4"/>
        <v>0</v>
      </c>
      <c r="Q32" s="282"/>
      <c r="R32" s="282"/>
      <c r="S32" s="282"/>
      <c r="T32" s="282"/>
      <c r="U32" s="282"/>
    </row>
    <row r="33" spans="1:21" ht="15.75">
      <c r="A33" s="617"/>
      <c r="B33" s="615" t="s">
        <v>1447</v>
      </c>
      <c r="C33" s="371"/>
      <c r="D33" s="281"/>
      <c r="E33" s="281"/>
      <c r="F33" s="282"/>
      <c r="G33" s="282"/>
      <c r="H33" s="360"/>
      <c r="I33" s="282"/>
      <c r="J33" s="360"/>
      <c r="K33" s="362"/>
      <c r="L33" s="360"/>
      <c r="M33" s="282"/>
      <c r="N33" s="360"/>
      <c r="O33" s="402">
        <f t="shared" si="3"/>
        <v>0</v>
      </c>
      <c r="P33" s="401">
        <f t="shared" si="4"/>
        <v>0</v>
      </c>
      <c r="Q33" s="282"/>
      <c r="R33" s="282"/>
      <c r="S33" s="282"/>
      <c r="T33" s="282"/>
      <c r="U33" s="282"/>
    </row>
    <row r="34" spans="1:21" ht="15.75">
      <c r="A34" s="617"/>
      <c r="B34" s="615"/>
      <c r="C34" s="371"/>
      <c r="D34" s="281"/>
      <c r="E34" s="281"/>
      <c r="F34" s="282"/>
      <c r="G34" s="282"/>
      <c r="H34" s="360"/>
      <c r="I34" s="282"/>
      <c r="J34" s="360"/>
      <c r="K34" s="362"/>
      <c r="L34" s="360"/>
      <c r="M34" s="282"/>
      <c r="N34" s="360"/>
      <c r="O34" s="402">
        <f t="shared" si="3"/>
        <v>0</v>
      </c>
      <c r="P34" s="401">
        <f t="shared" si="4"/>
        <v>0</v>
      </c>
      <c r="Q34" s="282"/>
      <c r="R34" s="282"/>
      <c r="S34" s="282"/>
      <c r="T34" s="282"/>
      <c r="U34" s="282"/>
    </row>
    <row r="35" spans="1:21" ht="15.75">
      <c r="A35" s="617"/>
      <c r="B35" s="615"/>
      <c r="C35" s="371"/>
      <c r="D35" s="281"/>
      <c r="E35" s="281"/>
      <c r="F35" s="282"/>
      <c r="G35" s="282"/>
      <c r="H35" s="360"/>
      <c r="I35" s="282"/>
      <c r="J35" s="360"/>
      <c r="K35" s="362"/>
      <c r="L35" s="360"/>
      <c r="M35" s="282"/>
      <c r="N35" s="360"/>
      <c r="O35" s="402">
        <f t="shared" si="3"/>
        <v>0</v>
      </c>
      <c r="P35" s="401">
        <f t="shared" si="4"/>
        <v>0</v>
      </c>
      <c r="Q35" s="282"/>
      <c r="R35" s="282"/>
      <c r="S35" s="282"/>
      <c r="T35" s="282"/>
      <c r="U35" s="282"/>
    </row>
    <row r="36" spans="1:21" ht="15.75">
      <c r="A36" s="617"/>
      <c r="B36" s="615"/>
      <c r="C36" s="371"/>
      <c r="D36" s="281"/>
      <c r="E36" s="281"/>
      <c r="F36" s="282"/>
      <c r="G36" s="282"/>
      <c r="H36" s="360"/>
      <c r="I36" s="282"/>
      <c r="J36" s="360"/>
      <c r="K36" s="362"/>
      <c r="L36" s="360"/>
      <c r="M36" s="282"/>
      <c r="N36" s="360"/>
      <c r="O36" s="402">
        <f t="shared" si="3"/>
        <v>0</v>
      </c>
      <c r="P36" s="401">
        <f t="shared" si="4"/>
        <v>0</v>
      </c>
      <c r="Q36" s="282"/>
      <c r="R36" s="282"/>
      <c r="S36" s="282"/>
      <c r="T36" s="282"/>
      <c r="U36" s="282"/>
    </row>
    <row r="37" spans="1:21" ht="15.75">
      <c r="A37" s="617"/>
      <c r="B37" s="615"/>
      <c r="C37" s="371"/>
      <c r="D37" s="281"/>
      <c r="E37" s="281"/>
      <c r="F37" s="282"/>
      <c r="G37" s="282"/>
      <c r="H37" s="360"/>
      <c r="I37" s="282"/>
      <c r="J37" s="360"/>
      <c r="K37" s="362"/>
      <c r="L37" s="360"/>
      <c r="M37" s="282"/>
      <c r="N37" s="360"/>
      <c r="O37" s="402">
        <f t="shared" si="3"/>
        <v>0</v>
      </c>
      <c r="P37" s="401">
        <f t="shared" si="4"/>
        <v>0</v>
      </c>
      <c r="Q37" s="282"/>
      <c r="R37" s="282"/>
      <c r="S37" s="282"/>
      <c r="T37" s="282"/>
      <c r="U37" s="282"/>
    </row>
    <row r="38" spans="1:21" ht="15.75">
      <c r="A38" s="617"/>
      <c r="B38" s="615" t="s">
        <v>1448</v>
      </c>
      <c r="C38" s="371"/>
      <c r="D38" s="281"/>
      <c r="E38" s="281"/>
      <c r="F38" s="282"/>
      <c r="G38" s="282"/>
      <c r="H38" s="360"/>
      <c r="I38" s="282"/>
      <c r="J38" s="360"/>
      <c r="K38" s="362"/>
      <c r="L38" s="360"/>
      <c r="M38" s="282"/>
      <c r="N38" s="360"/>
      <c r="O38" s="402">
        <f t="shared" si="3"/>
        <v>0</v>
      </c>
      <c r="P38" s="401">
        <f t="shared" si="4"/>
        <v>0</v>
      </c>
      <c r="Q38" s="282"/>
      <c r="R38" s="282"/>
      <c r="S38" s="282"/>
      <c r="T38" s="282"/>
      <c r="U38" s="282"/>
    </row>
    <row r="39" spans="1:21" ht="15.75">
      <c r="A39" s="617"/>
      <c r="B39" s="615"/>
      <c r="C39" s="371"/>
      <c r="D39" s="281"/>
      <c r="E39" s="281"/>
      <c r="F39" s="282"/>
      <c r="G39" s="282"/>
      <c r="H39" s="360"/>
      <c r="I39" s="282"/>
      <c r="J39" s="360"/>
      <c r="K39" s="362"/>
      <c r="L39" s="360"/>
      <c r="M39" s="282"/>
      <c r="N39" s="360"/>
      <c r="O39" s="402">
        <f t="shared" si="3"/>
        <v>0</v>
      </c>
      <c r="P39" s="401">
        <f t="shared" si="4"/>
        <v>0</v>
      </c>
      <c r="Q39" s="282"/>
      <c r="R39" s="282"/>
      <c r="S39" s="282"/>
      <c r="T39" s="282"/>
      <c r="U39" s="282"/>
    </row>
    <row r="40" spans="1:21" ht="15.75">
      <c r="A40" s="617"/>
      <c r="B40" s="615"/>
      <c r="C40" s="371"/>
      <c r="D40" s="281"/>
      <c r="E40" s="281"/>
      <c r="F40" s="282"/>
      <c r="G40" s="282"/>
      <c r="H40" s="360"/>
      <c r="I40" s="282"/>
      <c r="J40" s="360"/>
      <c r="K40" s="362"/>
      <c r="L40" s="360"/>
      <c r="M40" s="282"/>
      <c r="N40" s="360"/>
      <c r="O40" s="402">
        <f t="shared" si="3"/>
        <v>0</v>
      </c>
      <c r="P40" s="401">
        <f t="shared" si="4"/>
        <v>0</v>
      </c>
      <c r="Q40" s="282"/>
      <c r="R40" s="282"/>
      <c r="S40" s="282"/>
      <c r="T40" s="282"/>
      <c r="U40" s="282"/>
    </row>
    <row r="41" spans="1:21" ht="15.75">
      <c r="A41" s="617"/>
      <c r="B41" s="615"/>
      <c r="C41" s="371"/>
      <c r="D41" s="281"/>
      <c r="E41" s="281"/>
      <c r="F41" s="282"/>
      <c r="G41" s="282"/>
      <c r="H41" s="360"/>
      <c r="I41" s="282"/>
      <c r="J41" s="360"/>
      <c r="K41" s="362"/>
      <c r="L41" s="360"/>
      <c r="M41" s="282"/>
      <c r="N41" s="360"/>
      <c r="O41" s="402">
        <f t="shared" si="3"/>
        <v>0</v>
      </c>
      <c r="P41" s="401">
        <f t="shared" si="4"/>
        <v>0</v>
      </c>
      <c r="Q41" s="282"/>
      <c r="R41" s="282"/>
      <c r="S41" s="282"/>
      <c r="T41" s="282"/>
      <c r="U41" s="282"/>
    </row>
    <row r="42" spans="1:21" ht="15.75">
      <c r="A42" s="617"/>
      <c r="B42" s="615"/>
      <c r="C42" s="371"/>
      <c r="D42" s="281"/>
      <c r="E42" s="281"/>
      <c r="F42" s="282"/>
      <c r="G42" s="282"/>
      <c r="H42" s="360"/>
      <c r="I42" s="282"/>
      <c r="J42" s="360"/>
      <c r="K42" s="362"/>
      <c r="L42" s="360"/>
      <c r="M42" s="282"/>
      <c r="N42" s="360"/>
      <c r="O42" s="402">
        <f t="shared" si="3"/>
        <v>0</v>
      </c>
      <c r="P42" s="401">
        <f t="shared" si="4"/>
        <v>0</v>
      </c>
      <c r="Q42" s="282"/>
      <c r="R42" s="282"/>
      <c r="S42" s="282"/>
      <c r="T42" s="282"/>
      <c r="U42" s="282"/>
    </row>
    <row r="43" spans="1:21" ht="15.75">
      <c r="A43" s="293"/>
      <c r="B43" s="294"/>
      <c r="C43" s="293" t="s">
        <v>1452</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c r="H49" s="367"/>
      <c r="J49" s="367"/>
      <c r="L49" s="367"/>
      <c r="N49" s="367"/>
      <c r="P49" s="367"/>
    </row>
    <row r="50" spans="8:16">
      <c r="H50" s="367"/>
      <c r="J50" s="367"/>
      <c r="L50" s="367"/>
      <c r="N50" s="367"/>
      <c r="P50" s="367"/>
    </row>
    <row r="51" spans="8:16">
      <c r="H51" s="367"/>
      <c r="J51" s="367"/>
      <c r="L51" s="367"/>
      <c r="N51" s="367"/>
      <c r="P51" s="367"/>
    </row>
    <row r="52" spans="8:16">
      <c r="H52" s="367"/>
      <c r="J52" s="367"/>
      <c r="L52" s="367"/>
      <c r="N52" s="367"/>
      <c r="P52" s="367"/>
    </row>
    <row r="53" spans="8:16">
      <c r="H53" s="367"/>
      <c r="J53" s="367"/>
      <c r="L53" s="367"/>
      <c r="N53" s="367"/>
      <c r="P53" s="367"/>
    </row>
    <row r="54" spans="8:16">
      <c r="H54" s="367"/>
      <c r="J54" s="367"/>
      <c r="L54" s="367"/>
      <c r="N54" s="367"/>
      <c r="P54" s="367"/>
    </row>
    <row r="55" spans="8:16">
      <c r="H55" s="367"/>
      <c r="J55" s="367"/>
      <c r="L55" s="367"/>
      <c r="N55" s="367"/>
      <c r="P55" s="367"/>
    </row>
    <row r="56" spans="8:16">
      <c r="H56" s="367"/>
      <c r="J56" s="367"/>
      <c r="L56" s="367"/>
      <c r="N56" s="367"/>
      <c r="P56" s="367"/>
    </row>
    <row r="57" spans="8:16">
      <c r="H57" s="367"/>
      <c r="J57" s="367"/>
      <c r="L57" s="367"/>
      <c r="N57" s="367"/>
      <c r="P57" s="367"/>
    </row>
    <row r="58" spans="8:16">
      <c r="H58" s="367"/>
      <c r="J58" s="367"/>
      <c r="L58" s="367"/>
      <c r="N58" s="367"/>
      <c r="P58" s="367"/>
    </row>
    <row r="59" spans="8:16">
      <c r="H59" s="367"/>
      <c r="J59" s="367"/>
      <c r="L59" s="367"/>
      <c r="N59" s="367"/>
      <c r="P59" s="367"/>
    </row>
    <row r="60" spans="8:16">
      <c r="H60" s="367"/>
      <c r="J60" s="367"/>
      <c r="L60" s="367"/>
      <c r="N60" s="367"/>
      <c r="P60" s="367"/>
    </row>
    <row r="61" spans="8:16">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D9" sqref="D9"/>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c r="G1" s="280" t="s">
        <v>1408</v>
      </c>
      <c r="L1" s="280"/>
      <c r="M1" s="280"/>
      <c r="N1" s="280"/>
      <c r="O1" s="280"/>
      <c r="P1" s="280"/>
      <c r="Q1" s="280"/>
      <c r="R1" s="280"/>
      <c r="S1" s="280"/>
      <c r="T1" s="280"/>
      <c r="U1" s="280"/>
    </row>
    <row r="2" spans="1:21" s="277" customFormat="1" ht="18.75">
      <c r="A2" s="322" t="s">
        <v>1351</v>
      </c>
      <c r="G2" s="280"/>
      <c r="L2" s="280"/>
      <c r="M2" s="280"/>
      <c r="N2" s="280"/>
      <c r="O2" s="280"/>
      <c r="P2" s="280"/>
      <c r="Q2" s="280"/>
      <c r="R2" s="280"/>
      <c r="S2" s="280"/>
      <c r="T2" s="280"/>
      <c r="U2" s="280"/>
    </row>
    <row r="3" spans="1:21" s="277" customFormat="1" ht="27.75" customHeight="1">
      <c r="A3" s="619" t="s">
        <v>1410</v>
      </c>
      <c r="B3" s="619"/>
      <c r="C3" s="619"/>
      <c r="D3" s="619"/>
      <c r="E3" s="619"/>
      <c r="F3" s="619"/>
      <c r="G3" s="619"/>
      <c r="H3" s="619"/>
      <c r="I3" s="619"/>
      <c r="J3" s="619"/>
      <c r="K3" s="619"/>
      <c r="L3" s="619"/>
      <c r="M3" s="619"/>
      <c r="N3" s="619"/>
      <c r="O3" s="619"/>
      <c r="P3" s="619"/>
      <c r="Q3" s="619"/>
      <c r="R3" s="619"/>
      <c r="S3" s="619"/>
      <c r="T3" s="619"/>
      <c r="U3" s="619"/>
    </row>
    <row r="4" spans="1:21" s="321" customFormat="1">
      <c r="A4" s="620" t="s">
        <v>1416</v>
      </c>
      <c r="B4" s="620"/>
      <c r="C4" s="620"/>
      <c r="D4" s="620"/>
      <c r="E4" s="620"/>
      <c r="F4" s="620"/>
      <c r="G4" s="620"/>
      <c r="H4" s="620"/>
      <c r="I4" s="620"/>
      <c r="J4" s="620"/>
      <c r="K4" s="620"/>
      <c r="L4" s="620"/>
      <c r="M4" s="620"/>
      <c r="N4" s="620"/>
      <c r="O4" s="620"/>
      <c r="P4" s="620"/>
      <c r="Q4" s="620"/>
      <c r="R4" s="620"/>
      <c r="S4" s="620"/>
      <c r="T4" s="620"/>
      <c r="U4" s="620"/>
    </row>
    <row r="5" spans="1:21" s="66" customFormat="1" ht="23.25" customHeight="1">
      <c r="A5" s="577" t="s">
        <v>97</v>
      </c>
      <c r="B5" s="576" t="s">
        <v>111</v>
      </c>
      <c r="C5" s="579" t="s">
        <v>86</v>
      </c>
      <c r="D5" s="579" t="s">
        <v>87</v>
      </c>
      <c r="E5" s="579" t="s">
        <v>392</v>
      </c>
      <c r="F5" s="579" t="s">
        <v>88</v>
      </c>
      <c r="G5" s="582" t="s">
        <v>100</v>
      </c>
      <c r="H5" s="588"/>
      <c r="I5" s="588"/>
      <c r="J5" s="588"/>
      <c r="K5" s="588"/>
      <c r="L5" s="588"/>
      <c r="M5" s="588"/>
      <c r="N5" s="583"/>
      <c r="O5" s="584" t="s">
        <v>101</v>
      </c>
      <c r="P5" s="585"/>
      <c r="Q5" s="576" t="s">
        <v>102</v>
      </c>
      <c r="R5" s="576" t="s">
        <v>103</v>
      </c>
      <c r="S5" s="576" t="s">
        <v>110</v>
      </c>
      <c r="T5" s="576" t="s">
        <v>109</v>
      </c>
      <c r="U5" s="573" t="s">
        <v>89</v>
      </c>
    </row>
    <row r="6" spans="1:21" s="66" customFormat="1" ht="15" customHeight="1">
      <c r="A6" s="577"/>
      <c r="B6" s="577"/>
      <c r="C6" s="580"/>
      <c r="D6" s="580"/>
      <c r="E6" s="580"/>
      <c r="F6" s="580"/>
      <c r="G6" s="582" t="s">
        <v>104</v>
      </c>
      <c r="H6" s="583"/>
      <c r="I6" s="582" t="s">
        <v>105</v>
      </c>
      <c r="J6" s="583"/>
      <c r="K6" s="582" t="s">
        <v>106</v>
      </c>
      <c r="L6" s="583"/>
      <c r="M6" s="582" t="s">
        <v>107</v>
      </c>
      <c r="N6" s="583"/>
      <c r="O6" s="586"/>
      <c r="P6" s="587"/>
      <c r="Q6" s="577"/>
      <c r="R6" s="577"/>
      <c r="S6" s="577"/>
      <c r="T6" s="577"/>
      <c r="U6" s="574"/>
    </row>
    <row r="7" spans="1:21" s="67" customFormat="1" ht="24" customHeight="1">
      <c r="A7" s="578"/>
      <c r="B7" s="578"/>
      <c r="C7" s="581"/>
      <c r="D7" s="581"/>
      <c r="E7" s="581"/>
      <c r="F7" s="581"/>
      <c r="G7" s="440" t="s">
        <v>108</v>
      </c>
      <c r="H7" s="440" t="s">
        <v>12</v>
      </c>
      <c r="I7" s="440" t="s">
        <v>108</v>
      </c>
      <c r="J7" s="440" t="s">
        <v>12</v>
      </c>
      <c r="K7" s="440" t="s">
        <v>108</v>
      </c>
      <c r="L7" s="440" t="s">
        <v>12</v>
      </c>
      <c r="M7" s="440" t="s">
        <v>108</v>
      </c>
      <c r="N7" s="440" t="s">
        <v>12</v>
      </c>
      <c r="O7" s="440" t="s">
        <v>108</v>
      </c>
      <c r="P7" s="440" t="s">
        <v>12</v>
      </c>
      <c r="Q7" s="578"/>
      <c r="R7" s="578"/>
      <c r="S7" s="578"/>
      <c r="T7" s="578"/>
      <c r="U7" s="575"/>
    </row>
    <row r="8" spans="1:21" s="261" customFormat="1" ht="15.75">
      <c r="A8" s="441"/>
      <c r="B8" s="442"/>
      <c r="C8" s="443"/>
      <c r="D8" s="443"/>
      <c r="E8" s="444"/>
      <c r="F8" s="443"/>
      <c r="G8" s="445"/>
      <c r="H8" s="445"/>
      <c r="I8" s="445"/>
      <c r="J8" s="445"/>
      <c r="K8" s="445"/>
      <c r="L8" s="445"/>
      <c r="M8" s="445"/>
      <c r="N8" s="445"/>
      <c r="O8" s="445"/>
      <c r="P8" s="445"/>
      <c r="Q8" s="446"/>
      <c r="R8" s="446"/>
      <c r="S8" s="446"/>
      <c r="T8" s="446"/>
      <c r="U8" s="447"/>
    </row>
    <row r="9" spans="1:21" ht="15.75">
      <c r="A9" s="601" t="s">
        <v>1411</v>
      </c>
      <c r="B9" s="598" t="s">
        <v>1412</v>
      </c>
      <c r="C9" s="278"/>
      <c r="D9" s="278"/>
      <c r="E9" s="278"/>
      <c r="F9" s="278"/>
      <c r="G9" s="364"/>
      <c r="H9" s="365"/>
      <c r="I9" s="278"/>
      <c r="J9" s="365"/>
      <c r="K9" s="278"/>
      <c r="L9" s="365"/>
      <c r="M9" s="278"/>
      <c r="N9" s="365"/>
      <c r="O9" s="400">
        <f t="shared" ref="O9:P9" si="0">G9+I9+K9+M9</f>
        <v>0</v>
      </c>
      <c r="P9" s="401">
        <f t="shared" si="0"/>
        <v>0</v>
      </c>
      <c r="Q9" s="278"/>
      <c r="R9" s="278"/>
      <c r="S9" s="278"/>
      <c r="T9" s="278"/>
      <c r="U9" s="278"/>
    </row>
    <row r="10" spans="1:21" ht="15.75">
      <c r="A10" s="601"/>
      <c r="B10" s="599"/>
      <c r="C10" s="278"/>
      <c r="D10" s="278"/>
      <c r="E10" s="278"/>
      <c r="F10" s="278"/>
      <c r="G10" s="364"/>
      <c r="H10" s="365"/>
      <c r="I10" s="278"/>
      <c r="J10" s="365"/>
      <c r="K10" s="278"/>
      <c r="L10" s="365"/>
      <c r="M10" s="278"/>
      <c r="N10" s="365"/>
      <c r="O10" s="400">
        <f t="shared" ref="O10:O38" si="1">G10+I10+K10+M10</f>
        <v>0</v>
      </c>
      <c r="P10" s="401">
        <f t="shared" ref="P10:P38" si="2">H10+J10+L10+N10</f>
        <v>0</v>
      </c>
      <c r="Q10" s="278"/>
      <c r="R10" s="278"/>
      <c r="S10" s="278"/>
      <c r="T10" s="278"/>
      <c r="U10" s="278"/>
    </row>
    <row r="11" spans="1:21" s="367" customFormat="1" ht="15.75">
      <c r="A11" s="601"/>
      <c r="B11" s="599"/>
      <c r="C11" s="278"/>
      <c r="D11" s="278"/>
      <c r="E11" s="278"/>
      <c r="F11" s="278"/>
      <c r="G11" s="364"/>
      <c r="H11" s="365"/>
      <c r="I11" s="278"/>
      <c r="J11" s="365"/>
      <c r="K11" s="278"/>
      <c r="L11" s="365"/>
      <c r="M11" s="278"/>
      <c r="N11" s="365"/>
      <c r="O11" s="400">
        <f t="shared" si="1"/>
        <v>0</v>
      </c>
      <c r="P11" s="401">
        <f t="shared" si="2"/>
        <v>0</v>
      </c>
      <c r="Q11" s="278"/>
      <c r="R11" s="278"/>
      <c r="S11" s="278"/>
      <c r="T11" s="278"/>
      <c r="U11" s="278"/>
    </row>
    <row r="12" spans="1:21" ht="15.75">
      <c r="A12" s="601"/>
      <c r="B12" s="599"/>
      <c r="C12" s="278"/>
      <c r="D12" s="278"/>
      <c r="E12" s="278"/>
      <c r="F12" s="278"/>
      <c r="G12" s="364"/>
      <c r="H12" s="365"/>
      <c r="I12" s="278"/>
      <c r="J12" s="365"/>
      <c r="K12" s="278"/>
      <c r="L12" s="365"/>
      <c r="M12" s="278"/>
      <c r="N12" s="365"/>
      <c r="O12" s="400">
        <f t="shared" si="1"/>
        <v>0</v>
      </c>
      <c r="P12" s="401">
        <f t="shared" si="2"/>
        <v>0</v>
      </c>
      <c r="Q12" s="278"/>
      <c r="R12" s="278"/>
      <c r="S12" s="278"/>
      <c r="T12" s="278"/>
      <c r="U12" s="278"/>
    </row>
    <row r="13" spans="1:21" ht="15.75">
      <c r="A13" s="601"/>
      <c r="B13" s="599"/>
      <c r="C13" s="278"/>
      <c r="D13" s="278"/>
      <c r="E13" s="278"/>
      <c r="F13" s="278"/>
      <c r="G13" s="364"/>
      <c r="H13" s="365"/>
      <c r="I13" s="278"/>
      <c r="J13" s="365"/>
      <c r="K13" s="278"/>
      <c r="L13" s="365"/>
      <c r="M13" s="278"/>
      <c r="N13" s="365"/>
      <c r="O13" s="400">
        <f t="shared" si="1"/>
        <v>0</v>
      </c>
      <c r="P13" s="401">
        <f t="shared" si="2"/>
        <v>0</v>
      </c>
      <c r="Q13" s="278"/>
      <c r="R13" s="278"/>
      <c r="S13" s="278"/>
      <c r="T13" s="278"/>
      <c r="U13" s="278"/>
    </row>
    <row r="14" spans="1:21" ht="15.75">
      <c r="A14" s="601"/>
      <c r="B14" s="600"/>
      <c r="C14" s="278"/>
      <c r="D14" s="278"/>
      <c r="E14" s="278"/>
      <c r="F14" s="278"/>
      <c r="G14" s="364"/>
      <c r="H14" s="365"/>
      <c r="I14" s="278"/>
      <c r="J14" s="365"/>
      <c r="K14" s="278"/>
      <c r="L14" s="365"/>
      <c r="M14" s="278"/>
      <c r="N14" s="365"/>
      <c r="O14" s="400">
        <f t="shared" si="1"/>
        <v>0</v>
      </c>
      <c r="P14" s="401">
        <f t="shared" si="2"/>
        <v>0</v>
      </c>
      <c r="Q14" s="278"/>
      <c r="R14" s="278"/>
      <c r="S14" s="278"/>
      <c r="T14" s="278"/>
      <c r="U14" s="278"/>
    </row>
    <row r="15" spans="1:21" ht="15.75">
      <c r="A15" s="601"/>
      <c r="B15" s="598" t="s">
        <v>1413</v>
      </c>
      <c r="C15" s="278"/>
      <c r="D15" s="278"/>
      <c r="E15" s="278"/>
      <c r="F15" s="278"/>
      <c r="G15" s="364"/>
      <c r="H15" s="365"/>
      <c r="I15" s="278"/>
      <c r="J15" s="365"/>
      <c r="K15" s="278"/>
      <c r="L15" s="365"/>
      <c r="M15" s="278"/>
      <c r="N15" s="365"/>
      <c r="O15" s="400">
        <f t="shared" si="1"/>
        <v>0</v>
      </c>
      <c r="P15" s="401">
        <f t="shared" si="2"/>
        <v>0</v>
      </c>
      <c r="Q15" s="278"/>
      <c r="R15" s="278"/>
      <c r="S15" s="278"/>
      <c r="T15" s="278"/>
      <c r="U15" s="278"/>
    </row>
    <row r="16" spans="1:21" s="367" customFormat="1" ht="15.75">
      <c r="A16" s="601"/>
      <c r="B16" s="599"/>
      <c r="C16" s="278"/>
      <c r="D16" s="278"/>
      <c r="E16" s="278"/>
      <c r="F16" s="278"/>
      <c r="G16" s="364"/>
      <c r="H16" s="365"/>
      <c r="I16" s="278"/>
      <c r="J16" s="365"/>
      <c r="K16" s="278"/>
      <c r="L16" s="365"/>
      <c r="M16" s="278"/>
      <c r="N16" s="365"/>
      <c r="O16" s="400">
        <f t="shared" si="1"/>
        <v>0</v>
      </c>
      <c r="P16" s="401">
        <f t="shared" si="2"/>
        <v>0</v>
      </c>
      <c r="Q16" s="278"/>
      <c r="R16" s="278"/>
      <c r="S16" s="278"/>
      <c r="T16" s="278"/>
      <c r="U16" s="278"/>
    </row>
    <row r="17" spans="1:21" s="367" customFormat="1" ht="15.75">
      <c r="A17" s="601"/>
      <c r="B17" s="599"/>
      <c r="C17" s="278"/>
      <c r="D17" s="278"/>
      <c r="E17" s="278"/>
      <c r="F17" s="278"/>
      <c r="G17" s="364"/>
      <c r="H17" s="365"/>
      <c r="I17" s="278"/>
      <c r="J17" s="365"/>
      <c r="K17" s="278"/>
      <c r="L17" s="365"/>
      <c r="M17" s="278"/>
      <c r="N17" s="365"/>
      <c r="O17" s="400">
        <f t="shared" si="1"/>
        <v>0</v>
      </c>
      <c r="P17" s="401">
        <f t="shared" si="2"/>
        <v>0</v>
      </c>
      <c r="Q17" s="278"/>
      <c r="R17" s="278"/>
      <c r="S17" s="278"/>
      <c r="T17" s="278"/>
      <c r="U17" s="278"/>
    </row>
    <row r="18" spans="1:21" s="367" customFormat="1" ht="15.75">
      <c r="A18" s="601"/>
      <c r="B18" s="599"/>
      <c r="C18" s="278"/>
      <c r="D18" s="278"/>
      <c r="E18" s="278"/>
      <c r="F18" s="278"/>
      <c r="G18" s="364"/>
      <c r="H18" s="365"/>
      <c r="I18" s="278"/>
      <c r="J18" s="365"/>
      <c r="K18" s="278"/>
      <c r="L18" s="365"/>
      <c r="M18" s="278"/>
      <c r="N18" s="365"/>
      <c r="O18" s="400">
        <f t="shared" si="1"/>
        <v>0</v>
      </c>
      <c r="P18" s="401">
        <f t="shared" si="2"/>
        <v>0</v>
      </c>
      <c r="Q18" s="278"/>
      <c r="R18" s="278"/>
      <c r="S18" s="278"/>
      <c r="T18" s="278"/>
      <c r="U18" s="278"/>
    </row>
    <row r="19" spans="1:21" ht="15.75">
      <c r="A19" s="601"/>
      <c r="B19" s="599"/>
      <c r="C19" s="278"/>
      <c r="D19" s="278"/>
      <c r="E19" s="278"/>
      <c r="F19" s="278"/>
      <c r="G19" s="364"/>
      <c r="H19" s="365"/>
      <c r="I19" s="278"/>
      <c r="J19" s="365"/>
      <c r="K19" s="278"/>
      <c r="L19" s="365"/>
      <c r="M19" s="278"/>
      <c r="N19" s="365"/>
      <c r="O19" s="400">
        <f t="shared" si="1"/>
        <v>0</v>
      </c>
      <c r="P19" s="401">
        <f t="shared" si="2"/>
        <v>0</v>
      </c>
      <c r="Q19" s="278"/>
      <c r="R19" s="278"/>
      <c r="S19" s="278"/>
      <c r="T19" s="278"/>
      <c r="U19" s="278"/>
    </row>
    <row r="20" spans="1:21" ht="15.75">
      <c r="A20" s="601"/>
      <c r="B20" s="600"/>
      <c r="C20" s="278"/>
      <c r="D20" s="278"/>
      <c r="E20" s="278"/>
      <c r="F20" s="278"/>
      <c r="G20" s="364"/>
      <c r="H20" s="365"/>
      <c r="I20" s="278"/>
      <c r="J20" s="365"/>
      <c r="K20" s="278"/>
      <c r="L20" s="365"/>
      <c r="M20" s="278"/>
      <c r="N20" s="365"/>
      <c r="O20" s="400">
        <f t="shared" si="1"/>
        <v>0</v>
      </c>
      <c r="P20" s="401">
        <f t="shared" si="2"/>
        <v>0</v>
      </c>
      <c r="Q20" s="278"/>
      <c r="R20" s="278"/>
      <c r="S20" s="278"/>
      <c r="T20" s="278"/>
      <c r="U20" s="278"/>
    </row>
    <row r="21" spans="1:21" s="367" customFormat="1" ht="15.75">
      <c r="A21" s="601"/>
      <c r="B21" s="598" t="s">
        <v>1414</v>
      </c>
      <c r="C21" s="278"/>
      <c r="D21" s="278"/>
      <c r="E21" s="278"/>
      <c r="F21" s="278"/>
      <c r="G21" s="364"/>
      <c r="H21" s="365"/>
      <c r="I21" s="278"/>
      <c r="J21" s="365"/>
      <c r="K21" s="278"/>
      <c r="L21" s="365"/>
      <c r="M21" s="278"/>
      <c r="N21" s="365"/>
      <c r="O21" s="400">
        <f t="shared" si="1"/>
        <v>0</v>
      </c>
      <c r="P21" s="401">
        <f t="shared" si="2"/>
        <v>0</v>
      </c>
      <c r="Q21" s="278"/>
      <c r="R21" s="278"/>
      <c r="S21" s="278"/>
      <c r="T21" s="278"/>
      <c r="U21" s="278"/>
    </row>
    <row r="22" spans="1:21" s="367" customFormat="1" ht="15.75">
      <c r="A22" s="601"/>
      <c r="B22" s="599"/>
      <c r="C22" s="278"/>
      <c r="D22" s="278"/>
      <c r="E22" s="278"/>
      <c r="F22" s="278"/>
      <c r="G22" s="364"/>
      <c r="H22" s="365"/>
      <c r="I22" s="278"/>
      <c r="J22" s="365"/>
      <c r="K22" s="278"/>
      <c r="L22" s="365"/>
      <c r="M22" s="278"/>
      <c r="N22" s="365"/>
      <c r="O22" s="400">
        <f t="shared" si="1"/>
        <v>0</v>
      </c>
      <c r="P22" s="401">
        <f t="shared" si="2"/>
        <v>0</v>
      </c>
      <c r="Q22" s="278"/>
      <c r="R22" s="278"/>
      <c r="S22" s="278"/>
      <c r="T22" s="278"/>
      <c r="U22" s="278"/>
    </row>
    <row r="23" spans="1:21" s="367" customFormat="1" ht="15.75">
      <c r="A23" s="601"/>
      <c r="B23" s="599"/>
      <c r="C23" s="278"/>
      <c r="D23" s="278"/>
      <c r="E23" s="278"/>
      <c r="F23" s="278"/>
      <c r="G23" s="364"/>
      <c r="H23" s="365"/>
      <c r="I23" s="278"/>
      <c r="J23" s="365"/>
      <c r="K23" s="278"/>
      <c r="L23" s="365"/>
      <c r="M23" s="278"/>
      <c r="N23" s="365"/>
      <c r="O23" s="400">
        <f t="shared" si="1"/>
        <v>0</v>
      </c>
      <c r="P23" s="401">
        <f t="shared" si="2"/>
        <v>0</v>
      </c>
      <c r="Q23" s="278"/>
      <c r="R23" s="278"/>
      <c r="S23" s="278"/>
      <c r="T23" s="278"/>
      <c r="U23" s="278"/>
    </row>
    <row r="24" spans="1:21" s="367" customFormat="1" ht="15.75">
      <c r="A24" s="601"/>
      <c r="B24" s="599"/>
      <c r="C24" s="278"/>
      <c r="D24" s="278"/>
      <c r="E24" s="278"/>
      <c r="F24" s="278"/>
      <c r="G24" s="364"/>
      <c r="H24" s="365"/>
      <c r="I24" s="278"/>
      <c r="J24" s="365"/>
      <c r="K24" s="278"/>
      <c r="L24" s="365"/>
      <c r="M24" s="278"/>
      <c r="N24" s="365"/>
      <c r="O24" s="400">
        <f t="shared" si="1"/>
        <v>0</v>
      </c>
      <c r="P24" s="401">
        <f t="shared" si="2"/>
        <v>0</v>
      </c>
      <c r="Q24" s="278"/>
      <c r="R24" s="278"/>
      <c r="S24" s="278"/>
      <c r="T24" s="278"/>
      <c r="U24" s="278"/>
    </row>
    <row r="25" spans="1:21" s="367" customFormat="1" ht="15.75">
      <c r="A25" s="601"/>
      <c r="B25" s="599"/>
      <c r="C25" s="278"/>
      <c r="D25" s="278"/>
      <c r="E25" s="278"/>
      <c r="F25" s="278"/>
      <c r="G25" s="364"/>
      <c r="H25" s="365"/>
      <c r="I25" s="278"/>
      <c r="J25" s="365"/>
      <c r="K25" s="278"/>
      <c r="L25" s="365"/>
      <c r="M25" s="278"/>
      <c r="N25" s="365"/>
      <c r="O25" s="400">
        <f t="shared" si="1"/>
        <v>0</v>
      </c>
      <c r="P25" s="401">
        <f t="shared" si="2"/>
        <v>0</v>
      </c>
      <c r="Q25" s="278"/>
      <c r="R25" s="278"/>
      <c r="S25" s="278"/>
      <c r="T25" s="278"/>
      <c r="U25" s="278"/>
    </row>
    <row r="26" spans="1:21" ht="15.75">
      <c r="A26" s="601"/>
      <c r="B26" s="600"/>
      <c r="C26" s="278"/>
      <c r="D26" s="278"/>
      <c r="E26" s="278"/>
      <c r="F26" s="278"/>
      <c r="G26" s="278"/>
      <c r="H26" s="365"/>
      <c r="I26" s="278"/>
      <c r="J26" s="365"/>
      <c r="K26" s="278"/>
      <c r="L26" s="365"/>
      <c r="M26" s="278"/>
      <c r="N26" s="365"/>
      <c r="O26" s="400">
        <f t="shared" si="1"/>
        <v>0</v>
      </c>
      <c r="P26" s="401">
        <f t="shared" si="2"/>
        <v>0</v>
      </c>
      <c r="Q26" s="278"/>
      <c r="R26" s="278"/>
      <c r="S26" s="278"/>
      <c r="T26" s="278"/>
      <c r="U26" s="278"/>
    </row>
    <row r="27" spans="1:21" ht="15.75">
      <c r="A27" s="598" t="s">
        <v>1415</v>
      </c>
      <c r="B27" s="598" t="s">
        <v>1417</v>
      </c>
      <c r="C27" s="278"/>
      <c r="D27" s="278"/>
      <c r="E27" s="278"/>
      <c r="F27" s="278"/>
      <c r="G27" s="364"/>
      <c r="H27" s="365"/>
      <c r="I27" s="278"/>
      <c r="J27" s="365"/>
      <c r="K27" s="278"/>
      <c r="L27" s="365"/>
      <c r="M27" s="278"/>
      <c r="N27" s="365"/>
      <c r="O27" s="400">
        <f t="shared" si="1"/>
        <v>0</v>
      </c>
      <c r="P27" s="401">
        <f t="shared" si="2"/>
        <v>0</v>
      </c>
      <c r="Q27" s="278"/>
      <c r="R27" s="278"/>
      <c r="S27" s="278"/>
      <c r="T27" s="278"/>
      <c r="U27" s="278"/>
    </row>
    <row r="28" spans="1:21" s="367" customFormat="1" ht="15.75">
      <c r="A28" s="599"/>
      <c r="B28" s="599"/>
      <c r="C28" s="278"/>
      <c r="D28" s="278"/>
      <c r="E28" s="278"/>
      <c r="F28" s="278"/>
      <c r="G28" s="364"/>
      <c r="H28" s="365"/>
      <c r="I28" s="278"/>
      <c r="J28" s="365"/>
      <c r="K28" s="278"/>
      <c r="L28" s="365"/>
      <c r="M28" s="278"/>
      <c r="N28" s="365"/>
      <c r="O28" s="400">
        <f t="shared" si="1"/>
        <v>0</v>
      </c>
      <c r="P28" s="401">
        <f t="shared" si="2"/>
        <v>0</v>
      </c>
      <c r="Q28" s="278"/>
      <c r="R28" s="278"/>
      <c r="S28" s="278"/>
      <c r="T28" s="278"/>
      <c r="U28" s="278"/>
    </row>
    <row r="29" spans="1:21" s="367" customFormat="1" ht="15.75">
      <c r="A29" s="599"/>
      <c r="B29" s="599"/>
      <c r="C29" s="278"/>
      <c r="D29" s="278"/>
      <c r="E29" s="278"/>
      <c r="F29" s="278"/>
      <c r="G29" s="364"/>
      <c r="H29" s="365"/>
      <c r="I29" s="278"/>
      <c r="J29" s="365"/>
      <c r="K29" s="278"/>
      <c r="L29" s="365"/>
      <c r="M29" s="278"/>
      <c r="N29" s="365"/>
      <c r="O29" s="400">
        <f t="shared" si="1"/>
        <v>0</v>
      </c>
      <c r="P29" s="401">
        <f t="shared" si="2"/>
        <v>0</v>
      </c>
      <c r="Q29" s="278"/>
      <c r="R29" s="278"/>
      <c r="S29" s="278"/>
      <c r="T29" s="278"/>
      <c r="U29" s="278"/>
    </row>
    <row r="30" spans="1:21" s="367" customFormat="1" ht="15.75">
      <c r="A30" s="599"/>
      <c r="B30" s="599"/>
      <c r="C30" s="278"/>
      <c r="D30" s="278"/>
      <c r="E30" s="278"/>
      <c r="F30" s="278"/>
      <c r="G30" s="364"/>
      <c r="H30" s="365"/>
      <c r="I30" s="278"/>
      <c r="J30" s="365"/>
      <c r="K30" s="278"/>
      <c r="L30" s="365"/>
      <c r="M30" s="278"/>
      <c r="N30" s="365"/>
      <c r="O30" s="400">
        <f t="shared" si="1"/>
        <v>0</v>
      </c>
      <c r="P30" s="401">
        <f t="shared" si="2"/>
        <v>0</v>
      </c>
      <c r="Q30" s="278"/>
      <c r="R30" s="278"/>
      <c r="S30" s="278"/>
      <c r="T30" s="278"/>
      <c r="U30" s="278"/>
    </row>
    <row r="31" spans="1:21" s="367" customFormat="1" ht="15.75">
      <c r="A31" s="599"/>
      <c r="B31" s="599"/>
      <c r="C31" s="278"/>
      <c r="D31" s="278"/>
      <c r="E31" s="278"/>
      <c r="F31" s="278"/>
      <c r="G31" s="364"/>
      <c r="H31" s="365"/>
      <c r="I31" s="278"/>
      <c r="J31" s="365"/>
      <c r="K31" s="278"/>
      <c r="L31" s="365"/>
      <c r="M31" s="278"/>
      <c r="N31" s="365"/>
      <c r="O31" s="400">
        <f t="shared" si="1"/>
        <v>0</v>
      </c>
      <c r="P31" s="401">
        <f t="shared" si="2"/>
        <v>0</v>
      </c>
      <c r="Q31" s="278"/>
      <c r="R31" s="278"/>
      <c r="S31" s="278"/>
      <c r="T31" s="278"/>
      <c r="U31" s="278"/>
    </row>
    <row r="32" spans="1:21" s="367" customFormat="1" ht="15.75">
      <c r="A32" s="599"/>
      <c r="B32" s="600"/>
      <c r="C32" s="278"/>
      <c r="D32" s="278"/>
      <c r="E32" s="278"/>
      <c r="F32" s="278"/>
      <c r="G32" s="364"/>
      <c r="H32" s="365"/>
      <c r="I32" s="278"/>
      <c r="J32" s="365"/>
      <c r="K32" s="278"/>
      <c r="L32" s="365"/>
      <c r="M32" s="278"/>
      <c r="N32" s="365"/>
      <c r="O32" s="400">
        <f t="shared" si="1"/>
        <v>0</v>
      </c>
      <c r="P32" s="401">
        <f t="shared" si="2"/>
        <v>0</v>
      </c>
      <c r="Q32" s="278"/>
      <c r="R32" s="278"/>
      <c r="S32" s="278"/>
      <c r="T32" s="278"/>
      <c r="U32" s="278"/>
    </row>
    <row r="33" spans="1:21" ht="15.75">
      <c r="A33" s="599"/>
      <c r="B33" s="598" t="s">
        <v>1418</v>
      </c>
      <c r="C33" s="278"/>
      <c r="D33" s="278"/>
      <c r="E33" s="278"/>
      <c r="F33" s="278"/>
      <c r="G33" s="278"/>
      <c r="H33" s="365"/>
      <c r="I33" s="278"/>
      <c r="J33" s="365"/>
      <c r="K33" s="278"/>
      <c r="L33" s="365"/>
      <c r="M33" s="278"/>
      <c r="N33" s="365"/>
      <c r="O33" s="400">
        <f t="shared" si="1"/>
        <v>0</v>
      </c>
      <c r="P33" s="401">
        <f t="shared" si="2"/>
        <v>0</v>
      </c>
      <c r="Q33" s="278"/>
      <c r="R33" s="278"/>
      <c r="S33" s="278"/>
      <c r="T33" s="278"/>
      <c r="U33" s="278"/>
    </row>
    <row r="34" spans="1:21" s="367" customFormat="1" ht="15.75">
      <c r="A34" s="599"/>
      <c r="B34" s="599"/>
      <c r="C34" s="278"/>
      <c r="D34" s="278"/>
      <c r="E34" s="278"/>
      <c r="F34" s="278"/>
      <c r="G34" s="278"/>
      <c r="H34" s="365"/>
      <c r="I34" s="278"/>
      <c r="J34" s="365"/>
      <c r="K34" s="278"/>
      <c r="L34" s="365"/>
      <c r="M34" s="278"/>
      <c r="N34" s="365"/>
      <c r="O34" s="400">
        <f t="shared" si="1"/>
        <v>0</v>
      </c>
      <c r="P34" s="401">
        <f t="shared" si="2"/>
        <v>0</v>
      </c>
      <c r="Q34" s="278"/>
      <c r="R34" s="278"/>
      <c r="S34" s="278"/>
      <c r="T34" s="278"/>
      <c r="U34" s="278"/>
    </row>
    <row r="35" spans="1:21" s="367" customFormat="1" ht="15.75">
      <c r="A35" s="599"/>
      <c r="B35" s="599"/>
      <c r="C35" s="278"/>
      <c r="D35" s="278"/>
      <c r="E35" s="278"/>
      <c r="F35" s="278"/>
      <c r="G35" s="278"/>
      <c r="H35" s="365"/>
      <c r="I35" s="278"/>
      <c r="J35" s="365"/>
      <c r="K35" s="278"/>
      <c r="L35" s="365"/>
      <c r="M35" s="278"/>
      <c r="N35" s="365"/>
      <c r="O35" s="400">
        <f t="shared" si="1"/>
        <v>0</v>
      </c>
      <c r="P35" s="401">
        <f t="shared" si="2"/>
        <v>0</v>
      </c>
      <c r="Q35" s="278"/>
      <c r="R35" s="278"/>
      <c r="S35" s="278"/>
      <c r="T35" s="278"/>
      <c r="U35" s="278"/>
    </row>
    <row r="36" spans="1:21" s="367" customFormat="1" ht="15.75">
      <c r="A36" s="599"/>
      <c r="B36" s="599"/>
      <c r="C36" s="278"/>
      <c r="D36" s="278"/>
      <c r="E36" s="278"/>
      <c r="F36" s="278"/>
      <c r="G36" s="278"/>
      <c r="H36" s="365"/>
      <c r="I36" s="278"/>
      <c r="J36" s="365"/>
      <c r="K36" s="278"/>
      <c r="L36" s="365"/>
      <c r="M36" s="278"/>
      <c r="N36" s="365"/>
      <c r="O36" s="400">
        <f t="shared" si="1"/>
        <v>0</v>
      </c>
      <c r="P36" s="401">
        <f t="shared" si="2"/>
        <v>0</v>
      </c>
      <c r="Q36" s="278"/>
      <c r="R36" s="278"/>
      <c r="S36" s="278"/>
      <c r="T36" s="278"/>
      <c r="U36" s="278"/>
    </row>
    <row r="37" spans="1:21" ht="15.75">
      <c r="A37" s="599"/>
      <c r="B37" s="599"/>
      <c r="C37" s="278"/>
      <c r="D37" s="278"/>
      <c r="E37" s="278"/>
      <c r="F37" s="278"/>
      <c r="G37" s="278"/>
      <c r="H37" s="365"/>
      <c r="I37" s="278"/>
      <c r="J37" s="365"/>
      <c r="K37" s="278"/>
      <c r="L37" s="365"/>
      <c r="M37" s="278"/>
      <c r="N37" s="365"/>
      <c r="O37" s="400">
        <f t="shared" si="1"/>
        <v>0</v>
      </c>
      <c r="P37" s="401">
        <f t="shared" si="2"/>
        <v>0</v>
      </c>
      <c r="Q37" s="278"/>
      <c r="R37" s="278"/>
      <c r="S37" s="278"/>
      <c r="T37" s="278"/>
      <c r="U37" s="278"/>
    </row>
    <row r="38" spans="1:21" ht="15.75">
      <c r="A38" s="600"/>
      <c r="B38" s="600"/>
      <c r="C38" s="278"/>
      <c r="D38" s="278"/>
      <c r="E38" s="278"/>
      <c r="F38" s="278"/>
      <c r="G38" s="278"/>
      <c r="H38" s="365"/>
      <c r="I38" s="278"/>
      <c r="J38" s="365"/>
      <c r="K38" s="278"/>
      <c r="L38" s="365"/>
      <c r="M38" s="278"/>
      <c r="N38" s="365"/>
      <c r="O38" s="400">
        <f t="shared" si="1"/>
        <v>0</v>
      </c>
      <c r="P38" s="401">
        <f t="shared" si="2"/>
        <v>0</v>
      </c>
      <c r="Q38" s="278"/>
      <c r="R38" s="278"/>
      <c r="S38" s="278"/>
      <c r="T38" s="278"/>
      <c r="U38" s="361"/>
    </row>
    <row r="39" spans="1:21" ht="15.75">
      <c r="A39" s="299"/>
      <c r="B39" s="300"/>
      <c r="C39" s="299" t="s">
        <v>1409</v>
      </c>
      <c r="D39" s="300"/>
      <c r="E39" s="300"/>
      <c r="F39" s="301"/>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9"/>
    </row>
    <row r="59" s="261" customFormat="1" ht="12"/>
    <row r="60" s="261" customFormat="1" ht="12"/>
    <row r="73" s="261" customFormat="1" ht="12"/>
    <row r="74" s="261"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29" sqref="D29"/>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G1" s="285" t="s">
        <v>1419</v>
      </c>
      <c r="I1" s="285"/>
      <c r="J1" s="285"/>
      <c r="K1" s="285"/>
      <c r="L1" s="285"/>
      <c r="M1" s="285"/>
      <c r="N1" s="285"/>
      <c r="O1" s="285"/>
      <c r="P1" s="285"/>
      <c r="Q1" s="285"/>
      <c r="R1" s="285"/>
      <c r="S1" s="285"/>
      <c r="T1" s="285"/>
      <c r="U1" s="285"/>
    </row>
    <row r="2" spans="1:21" s="367" customFormat="1" ht="18.75">
      <c r="A2" s="367" t="s">
        <v>1347</v>
      </c>
      <c r="B2" s="285"/>
      <c r="C2" s="285"/>
      <c r="D2" s="285"/>
      <c r="E2" s="285"/>
      <c r="G2" s="285"/>
      <c r="H2" s="234"/>
      <c r="I2" s="285"/>
      <c r="J2" s="285"/>
      <c r="K2" s="285"/>
      <c r="L2" s="285"/>
      <c r="M2" s="285"/>
      <c r="N2" s="285"/>
      <c r="O2" s="285"/>
      <c r="P2" s="285"/>
      <c r="Q2" s="285"/>
      <c r="R2" s="285"/>
      <c r="S2" s="285"/>
      <c r="T2" s="285"/>
      <c r="U2" s="285"/>
    </row>
    <row r="3" spans="1:21">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601" t="s">
        <v>1420</v>
      </c>
      <c r="B8" s="598" t="s">
        <v>1421</v>
      </c>
      <c r="C8" s="327"/>
      <c r="D8" s="327"/>
      <c r="E8" s="327"/>
      <c r="F8" s="327"/>
      <c r="G8" s="357"/>
      <c r="H8" s="358"/>
      <c r="I8" s="357"/>
      <c r="J8" s="358"/>
      <c r="K8" s="357"/>
      <c r="L8" s="358"/>
      <c r="M8" s="357"/>
      <c r="N8" s="358"/>
      <c r="O8" s="400">
        <f t="shared" ref="O8:P8" si="0">G8+I8+K8+M8</f>
        <v>0</v>
      </c>
      <c r="P8" s="401">
        <f t="shared" si="0"/>
        <v>0</v>
      </c>
      <c r="Q8" s="327"/>
      <c r="R8" s="327"/>
      <c r="S8" s="327"/>
      <c r="T8" s="327"/>
      <c r="U8" s="327"/>
    </row>
    <row r="9" spans="1:21" ht="15.75">
      <c r="A9" s="601"/>
      <c r="B9" s="599"/>
      <c r="C9" s="327"/>
      <c r="D9" s="327"/>
      <c r="E9" s="327"/>
      <c r="F9" s="327"/>
      <c r="G9" s="357"/>
      <c r="H9" s="358"/>
      <c r="I9" s="357"/>
      <c r="J9" s="358"/>
      <c r="K9" s="357"/>
      <c r="L9" s="358"/>
      <c r="M9" s="357"/>
      <c r="N9" s="358"/>
      <c r="O9" s="400">
        <f t="shared" ref="O9:O20" si="1">G9+I9+K9+M9</f>
        <v>0</v>
      </c>
      <c r="P9" s="401">
        <f t="shared" ref="P9:P20" si="2">H9+J9+L9+N9</f>
        <v>0</v>
      </c>
      <c r="Q9" s="327"/>
      <c r="R9" s="327"/>
      <c r="S9" s="327"/>
      <c r="T9" s="327"/>
      <c r="U9" s="327"/>
    </row>
    <row r="10" spans="1:21" s="367" customFormat="1" ht="15.75">
      <c r="A10" s="601"/>
      <c r="B10" s="599"/>
      <c r="C10" s="327"/>
      <c r="D10" s="327"/>
      <c r="E10" s="327"/>
      <c r="F10" s="327"/>
      <c r="G10" s="357"/>
      <c r="H10" s="358"/>
      <c r="I10" s="357"/>
      <c r="J10" s="358"/>
      <c r="K10" s="357"/>
      <c r="L10" s="358"/>
      <c r="M10" s="357"/>
      <c r="N10" s="358"/>
      <c r="O10" s="400">
        <f t="shared" ref="O10:O15" si="3">G10+I10+K10+M10</f>
        <v>0</v>
      </c>
      <c r="P10" s="401">
        <f t="shared" ref="P10:P15" si="4">H10+J10+L10+N10</f>
        <v>0</v>
      </c>
      <c r="Q10" s="327"/>
      <c r="R10" s="327"/>
      <c r="S10" s="327"/>
      <c r="T10" s="327"/>
      <c r="U10" s="327"/>
    </row>
    <row r="11" spans="1:21" s="367" customFormat="1" ht="15.75">
      <c r="A11" s="601"/>
      <c r="B11" s="599"/>
      <c r="C11" s="327"/>
      <c r="D11" s="327"/>
      <c r="E11" s="327"/>
      <c r="F11" s="327"/>
      <c r="G11" s="357"/>
      <c r="H11" s="358"/>
      <c r="I11" s="357"/>
      <c r="J11" s="358"/>
      <c r="K11" s="357"/>
      <c r="L11" s="358"/>
      <c r="M11" s="357"/>
      <c r="N11" s="358"/>
      <c r="O11" s="400">
        <f t="shared" si="3"/>
        <v>0</v>
      </c>
      <c r="P11" s="401">
        <f t="shared" si="4"/>
        <v>0</v>
      </c>
      <c r="Q11" s="327"/>
      <c r="R11" s="327"/>
      <c r="S11" s="327"/>
      <c r="T11" s="327"/>
      <c r="U11" s="327"/>
    </row>
    <row r="12" spans="1:21" s="367" customFormat="1" ht="15.75">
      <c r="A12" s="601"/>
      <c r="B12" s="599"/>
      <c r="C12" s="327"/>
      <c r="D12" s="327"/>
      <c r="E12" s="327"/>
      <c r="F12" s="327"/>
      <c r="G12" s="357"/>
      <c r="H12" s="358"/>
      <c r="I12" s="357"/>
      <c r="J12" s="358"/>
      <c r="K12" s="357"/>
      <c r="L12" s="358"/>
      <c r="M12" s="357"/>
      <c r="N12" s="358"/>
      <c r="O12" s="400">
        <f t="shared" si="3"/>
        <v>0</v>
      </c>
      <c r="P12" s="401">
        <f t="shared" si="4"/>
        <v>0</v>
      </c>
      <c r="Q12" s="327"/>
      <c r="R12" s="327"/>
      <c r="S12" s="327"/>
      <c r="T12" s="327"/>
      <c r="U12" s="327"/>
    </row>
    <row r="13" spans="1:21" s="367" customFormat="1" ht="15.75">
      <c r="A13" s="601"/>
      <c r="B13" s="599"/>
      <c r="C13" s="327"/>
      <c r="D13" s="327"/>
      <c r="E13" s="327"/>
      <c r="F13" s="327"/>
      <c r="G13" s="357"/>
      <c r="H13" s="358"/>
      <c r="I13" s="357"/>
      <c r="J13" s="358"/>
      <c r="K13" s="357"/>
      <c r="L13" s="358"/>
      <c r="M13" s="357"/>
      <c r="N13" s="358"/>
      <c r="O13" s="400">
        <f t="shared" ref="O13:O14" si="5">G13+I13+K13+M13</f>
        <v>0</v>
      </c>
      <c r="P13" s="401">
        <f t="shared" ref="P13:P14" si="6">H13+J13+L13+N13</f>
        <v>0</v>
      </c>
      <c r="Q13" s="327"/>
      <c r="R13" s="327"/>
      <c r="S13" s="327"/>
      <c r="T13" s="327"/>
      <c r="U13" s="327"/>
    </row>
    <row r="14" spans="1:21" s="367" customFormat="1" ht="15.75">
      <c r="A14" s="601"/>
      <c r="B14" s="599"/>
      <c r="C14" s="327"/>
      <c r="D14" s="327"/>
      <c r="E14" s="327"/>
      <c r="F14" s="327"/>
      <c r="G14" s="357"/>
      <c r="H14" s="358"/>
      <c r="I14" s="357"/>
      <c r="J14" s="358"/>
      <c r="K14" s="357"/>
      <c r="L14" s="358"/>
      <c r="M14" s="357"/>
      <c r="N14" s="358"/>
      <c r="O14" s="400">
        <f t="shared" si="5"/>
        <v>0</v>
      </c>
      <c r="P14" s="401">
        <f t="shared" si="6"/>
        <v>0</v>
      </c>
      <c r="Q14" s="327"/>
      <c r="R14" s="327"/>
      <c r="S14" s="327"/>
      <c r="T14" s="327"/>
      <c r="U14" s="327"/>
    </row>
    <row r="15" spans="1:21" ht="15.75">
      <c r="A15" s="601"/>
      <c r="B15" s="599"/>
      <c r="C15" s="327"/>
      <c r="D15" s="327"/>
      <c r="E15" s="327"/>
      <c r="F15" s="327"/>
      <c r="G15" s="357"/>
      <c r="H15" s="358"/>
      <c r="I15" s="357"/>
      <c r="J15" s="358"/>
      <c r="K15" s="357"/>
      <c r="L15" s="358"/>
      <c r="M15" s="357"/>
      <c r="N15" s="358"/>
      <c r="O15" s="400">
        <f t="shared" si="3"/>
        <v>0</v>
      </c>
      <c r="P15" s="401">
        <f t="shared" si="4"/>
        <v>0</v>
      </c>
      <c r="Q15" s="327"/>
      <c r="R15" s="327"/>
      <c r="S15" s="327"/>
      <c r="T15" s="327"/>
      <c r="U15" s="327"/>
    </row>
    <row r="16" spans="1:21" ht="15.75">
      <c r="A16" s="601"/>
      <c r="B16" s="599"/>
      <c r="C16" s="327"/>
      <c r="D16" s="327"/>
      <c r="E16" s="327"/>
      <c r="F16" s="327"/>
      <c r="G16" s="357"/>
      <c r="H16" s="358"/>
      <c r="I16" s="357"/>
      <c r="J16" s="358"/>
      <c r="K16" s="357"/>
      <c r="L16" s="358"/>
      <c r="M16" s="357"/>
      <c r="N16" s="358"/>
      <c r="O16" s="400">
        <f t="shared" si="1"/>
        <v>0</v>
      </c>
      <c r="P16" s="401">
        <f t="shared" si="2"/>
        <v>0</v>
      </c>
      <c r="Q16" s="327"/>
      <c r="R16" s="327"/>
      <c r="S16" s="327"/>
      <c r="T16" s="327"/>
      <c r="U16" s="327"/>
    </row>
    <row r="17" spans="1:21" ht="15.75">
      <c r="A17" s="601"/>
      <c r="B17" s="599"/>
      <c r="C17" s="327"/>
      <c r="D17" s="327"/>
      <c r="E17" s="327"/>
      <c r="F17" s="327"/>
      <c r="G17" s="357"/>
      <c r="H17" s="358"/>
      <c r="I17" s="357"/>
      <c r="J17" s="358"/>
      <c r="K17" s="357"/>
      <c r="L17" s="358"/>
      <c r="M17" s="357"/>
      <c r="N17" s="358"/>
      <c r="O17" s="400">
        <f t="shared" si="1"/>
        <v>0</v>
      </c>
      <c r="P17" s="401">
        <f t="shared" si="2"/>
        <v>0</v>
      </c>
      <c r="Q17" s="327"/>
      <c r="R17" s="327"/>
      <c r="S17" s="327"/>
      <c r="T17" s="327"/>
      <c r="U17" s="327"/>
    </row>
    <row r="18" spans="1:21" ht="15.75">
      <c r="A18" s="601"/>
      <c r="B18" s="599"/>
      <c r="C18" s="327"/>
      <c r="D18" s="327"/>
      <c r="E18" s="327"/>
      <c r="F18" s="327"/>
      <c r="G18" s="357"/>
      <c r="H18" s="358"/>
      <c r="I18" s="357"/>
      <c r="J18" s="358"/>
      <c r="K18" s="357"/>
      <c r="L18" s="358"/>
      <c r="M18" s="357"/>
      <c r="N18" s="358"/>
      <c r="O18" s="400">
        <f t="shared" si="1"/>
        <v>0</v>
      </c>
      <c r="P18" s="401">
        <f t="shared" si="2"/>
        <v>0</v>
      </c>
      <c r="Q18" s="327"/>
      <c r="R18" s="327"/>
      <c r="S18" s="327"/>
      <c r="T18" s="327"/>
      <c r="U18" s="327"/>
    </row>
    <row r="19" spans="1:21" ht="15.75">
      <c r="A19" s="601"/>
      <c r="B19" s="599"/>
      <c r="C19" s="327"/>
      <c r="D19" s="327"/>
      <c r="E19" s="327"/>
      <c r="F19" s="327"/>
      <c r="G19" s="357"/>
      <c r="H19" s="358"/>
      <c r="I19" s="357"/>
      <c r="J19" s="358"/>
      <c r="K19" s="357"/>
      <c r="L19" s="358"/>
      <c r="M19" s="357"/>
      <c r="N19" s="358"/>
      <c r="O19" s="400">
        <f t="shared" si="1"/>
        <v>0</v>
      </c>
      <c r="P19" s="401">
        <f t="shared" si="2"/>
        <v>0</v>
      </c>
      <c r="Q19" s="327"/>
      <c r="R19" s="327"/>
      <c r="S19" s="327"/>
      <c r="T19" s="327"/>
      <c r="U19" s="327"/>
    </row>
    <row r="20" spans="1:21" ht="15.75">
      <c r="A20" s="601"/>
      <c r="B20" s="600"/>
      <c r="C20" s="327"/>
      <c r="D20" s="327"/>
      <c r="E20" s="327"/>
      <c r="F20" s="327"/>
      <c r="G20" s="357"/>
      <c r="H20" s="358"/>
      <c r="I20" s="357"/>
      <c r="J20" s="358"/>
      <c r="K20" s="357"/>
      <c r="L20" s="358"/>
      <c r="M20" s="357"/>
      <c r="N20" s="358"/>
      <c r="O20" s="400">
        <f t="shared" si="1"/>
        <v>0</v>
      </c>
      <c r="P20" s="401">
        <f t="shared" si="2"/>
        <v>0</v>
      </c>
      <c r="Q20" s="327"/>
      <c r="R20" s="327"/>
      <c r="S20" s="327"/>
      <c r="T20" s="327"/>
      <c r="U20" s="327"/>
    </row>
    <row r="21" spans="1:21" ht="15.6" customHeight="1">
      <c r="A21" s="293"/>
      <c r="B21" s="294"/>
      <c r="C21" s="293" t="s">
        <v>1519</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22" sqref="B22"/>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2" t="s">
        <v>1353</v>
      </c>
      <c r="J1" s="242"/>
      <c r="K1" s="242"/>
      <c r="L1" s="242"/>
      <c r="M1" s="242"/>
      <c r="N1" s="242"/>
      <c r="O1" s="242"/>
      <c r="P1" s="242"/>
      <c r="Q1" s="242"/>
      <c r="R1" s="242"/>
      <c r="S1" s="242"/>
      <c r="T1" s="242"/>
      <c r="U1" s="242"/>
    </row>
    <row r="2" spans="1:21" ht="18" customHeight="1">
      <c r="B2" s="244"/>
      <c r="C2" s="244"/>
      <c r="D2" s="244"/>
      <c r="E2" s="244"/>
      <c r="F2" s="244"/>
      <c r="G2" s="292"/>
      <c r="J2" s="244"/>
      <c r="K2" s="244"/>
      <c r="L2" s="244"/>
      <c r="M2" s="244"/>
      <c r="N2" s="244"/>
      <c r="O2" s="244"/>
      <c r="P2" s="244"/>
      <c r="Q2" s="244"/>
      <c r="R2" s="244"/>
      <c r="S2" s="244"/>
      <c r="T2" s="244"/>
      <c r="U2" s="244"/>
    </row>
    <row r="3" spans="1:21" ht="18" customHeight="1">
      <c r="A3" s="317" t="s">
        <v>1346</v>
      </c>
      <c r="B3" s="244"/>
      <c r="C3" s="244"/>
      <c r="D3" s="244"/>
      <c r="E3" s="244"/>
      <c r="F3" s="244"/>
      <c r="G3" s="292"/>
      <c r="J3" s="244"/>
      <c r="K3" s="244"/>
      <c r="L3" s="244"/>
      <c r="M3" s="244"/>
      <c r="N3" s="244"/>
      <c r="O3" s="244"/>
      <c r="P3" s="244"/>
      <c r="Q3" s="244"/>
      <c r="R3" s="244"/>
      <c r="S3" s="244"/>
      <c r="T3" s="244"/>
      <c r="U3" s="244"/>
    </row>
    <row r="4" spans="1:21" ht="33" customHeight="1">
      <c r="A4" s="621" t="s">
        <v>1352</v>
      </c>
      <c r="B4" s="621"/>
      <c r="C4" s="621"/>
      <c r="D4" s="621"/>
      <c r="E4" s="621"/>
      <c r="F4" s="621"/>
      <c r="G4" s="621"/>
      <c r="H4" s="621"/>
      <c r="I4" s="621"/>
      <c r="J4" s="621"/>
      <c r="K4" s="621"/>
      <c r="L4" s="621"/>
      <c r="M4" s="621"/>
      <c r="N4" s="621"/>
      <c r="O4" s="621"/>
      <c r="P4" s="621"/>
      <c r="Q4" s="621"/>
      <c r="R4" s="621"/>
      <c r="S4" s="621"/>
      <c r="T4" s="621"/>
      <c r="U4" s="621"/>
    </row>
    <row r="5" spans="1:21" ht="14.45" customHeight="1">
      <c r="A5" s="577" t="s">
        <v>97</v>
      </c>
      <c r="B5" s="576" t="s">
        <v>111</v>
      </c>
      <c r="C5" s="579" t="s">
        <v>86</v>
      </c>
      <c r="D5" s="579" t="s">
        <v>87</v>
      </c>
      <c r="E5" s="579" t="s">
        <v>392</v>
      </c>
      <c r="F5" s="579" t="s">
        <v>88</v>
      </c>
      <c r="G5" s="582" t="s">
        <v>100</v>
      </c>
      <c r="H5" s="588"/>
      <c r="I5" s="588"/>
      <c r="J5" s="588"/>
      <c r="K5" s="588"/>
      <c r="L5" s="588"/>
      <c r="M5" s="588"/>
      <c r="N5" s="583"/>
      <c r="O5" s="584" t="s">
        <v>101</v>
      </c>
      <c r="P5" s="585"/>
      <c r="Q5" s="576" t="s">
        <v>102</v>
      </c>
      <c r="R5" s="576" t="s">
        <v>103</v>
      </c>
      <c r="S5" s="576" t="s">
        <v>110</v>
      </c>
      <c r="T5" s="576" t="s">
        <v>109</v>
      </c>
      <c r="U5" s="573" t="s">
        <v>89</v>
      </c>
    </row>
    <row r="6" spans="1:21" ht="14.45" customHeight="1">
      <c r="A6" s="577"/>
      <c r="B6" s="577"/>
      <c r="C6" s="580"/>
      <c r="D6" s="580"/>
      <c r="E6" s="580"/>
      <c r="F6" s="580"/>
      <c r="G6" s="582" t="s">
        <v>104</v>
      </c>
      <c r="H6" s="583"/>
      <c r="I6" s="582" t="s">
        <v>105</v>
      </c>
      <c r="J6" s="583"/>
      <c r="K6" s="582" t="s">
        <v>106</v>
      </c>
      <c r="L6" s="583"/>
      <c r="M6" s="582" t="s">
        <v>107</v>
      </c>
      <c r="N6" s="583"/>
      <c r="O6" s="586"/>
      <c r="P6" s="587"/>
      <c r="Q6" s="577"/>
      <c r="R6" s="577"/>
      <c r="S6" s="577"/>
      <c r="T6" s="577"/>
      <c r="U6" s="574"/>
    </row>
    <row r="7" spans="1:21" ht="25.5">
      <c r="A7" s="578"/>
      <c r="B7" s="578"/>
      <c r="C7" s="581"/>
      <c r="D7" s="581"/>
      <c r="E7" s="581"/>
      <c r="F7" s="581"/>
      <c r="G7" s="440" t="s">
        <v>108</v>
      </c>
      <c r="H7" s="440" t="s">
        <v>12</v>
      </c>
      <c r="I7" s="440" t="s">
        <v>108</v>
      </c>
      <c r="J7" s="440" t="s">
        <v>12</v>
      </c>
      <c r="K7" s="440" t="s">
        <v>108</v>
      </c>
      <c r="L7" s="440" t="s">
        <v>12</v>
      </c>
      <c r="M7" s="440" t="s">
        <v>108</v>
      </c>
      <c r="N7" s="440" t="s">
        <v>12</v>
      </c>
      <c r="O7" s="440" t="s">
        <v>108</v>
      </c>
      <c r="P7" s="440" t="s">
        <v>12</v>
      </c>
      <c r="Q7" s="578"/>
      <c r="R7" s="578"/>
      <c r="S7" s="578"/>
      <c r="T7" s="578"/>
      <c r="U7" s="575"/>
    </row>
    <row r="8" spans="1:21" ht="15.6" customHeight="1">
      <c r="A8" s="441"/>
      <c r="B8" s="442"/>
      <c r="C8" s="443"/>
      <c r="D8" s="443"/>
      <c r="E8" s="444"/>
      <c r="F8" s="443"/>
      <c r="G8" s="445"/>
      <c r="H8" s="445"/>
      <c r="I8" s="445"/>
      <c r="J8" s="445"/>
      <c r="K8" s="445"/>
      <c r="L8" s="445"/>
      <c r="M8" s="445"/>
      <c r="N8" s="445"/>
      <c r="O8" s="445"/>
      <c r="P8" s="445"/>
      <c r="Q8" s="446"/>
      <c r="R8" s="446"/>
      <c r="S8" s="446"/>
      <c r="T8" s="446"/>
      <c r="U8" s="447"/>
    </row>
    <row r="9" spans="1:21" ht="15.75">
      <c r="A9" s="622" t="s">
        <v>1423</v>
      </c>
      <c r="B9" s="589" t="s">
        <v>1424</v>
      </c>
      <c r="C9" s="327"/>
      <c r="D9" s="327"/>
      <c r="E9" s="327"/>
      <c r="F9" s="327"/>
      <c r="G9" s="353"/>
      <c r="H9" s="356"/>
      <c r="I9" s="353"/>
      <c r="J9" s="356"/>
      <c r="K9" s="353"/>
      <c r="L9" s="356"/>
      <c r="M9" s="353"/>
      <c r="N9" s="356"/>
      <c r="O9" s="403">
        <f t="shared" ref="O9:P20" si="0">G9+I9+K9+M9</f>
        <v>0</v>
      </c>
      <c r="P9" s="401">
        <f t="shared" si="0"/>
        <v>0</v>
      </c>
      <c r="Q9" s="327"/>
      <c r="R9" s="327"/>
      <c r="S9" s="327"/>
      <c r="T9" s="327"/>
      <c r="U9" s="327"/>
    </row>
    <row r="10" spans="1:21" ht="15.75">
      <c r="A10" s="623"/>
      <c r="B10" s="590"/>
      <c r="C10" s="327"/>
      <c r="D10" s="327"/>
      <c r="E10" s="327"/>
      <c r="F10" s="327"/>
      <c r="G10" s="353"/>
      <c r="H10" s="356"/>
      <c r="I10" s="353"/>
      <c r="J10" s="356"/>
      <c r="K10" s="353"/>
      <c r="L10" s="356"/>
      <c r="M10" s="353"/>
      <c r="N10" s="356"/>
      <c r="O10" s="403">
        <f t="shared" si="0"/>
        <v>0</v>
      </c>
      <c r="P10" s="401">
        <f t="shared" si="0"/>
        <v>0</v>
      </c>
      <c r="Q10" s="327"/>
      <c r="R10" s="327"/>
      <c r="S10" s="327"/>
      <c r="T10" s="327"/>
      <c r="U10" s="327"/>
    </row>
    <row r="11" spans="1:21" ht="15.75">
      <c r="A11" s="623"/>
      <c r="B11" s="590"/>
      <c r="C11" s="327"/>
      <c r="D11" s="327"/>
      <c r="E11" s="327"/>
      <c r="F11" s="327"/>
      <c r="G11" s="353"/>
      <c r="H11" s="356"/>
      <c r="I11" s="353"/>
      <c r="J11" s="356"/>
      <c r="K11" s="353"/>
      <c r="L11" s="356"/>
      <c r="M11" s="353"/>
      <c r="N11" s="356"/>
      <c r="O11" s="403">
        <f t="shared" si="0"/>
        <v>0</v>
      </c>
      <c r="P11" s="401">
        <f t="shared" si="0"/>
        <v>0</v>
      </c>
      <c r="Q11" s="327"/>
      <c r="R11" s="327"/>
      <c r="S11" s="327"/>
      <c r="T11" s="327"/>
      <c r="U11" s="327"/>
    </row>
    <row r="12" spans="1:21" ht="15.75">
      <c r="A12" s="623"/>
      <c r="B12" s="590"/>
      <c r="C12" s="327"/>
      <c r="D12" s="327"/>
      <c r="E12" s="327"/>
      <c r="F12" s="327"/>
      <c r="G12" s="353"/>
      <c r="H12" s="356"/>
      <c r="I12" s="353"/>
      <c r="J12" s="356"/>
      <c r="K12" s="353"/>
      <c r="L12" s="356"/>
      <c r="M12" s="353"/>
      <c r="N12" s="356"/>
      <c r="O12" s="403">
        <f t="shared" si="0"/>
        <v>0</v>
      </c>
      <c r="P12" s="401">
        <f t="shared" si="0"/>
        <v>0</v>
      </c>
      <c r="Q12" s="327"/>
      <c r="R12" s="327"/>
      <c r="S12" s="327"/>
      <c r="T12" s="327"/>
      <c r="U12" s="72"/>
    </row>
    <row r="13" spans="1:21" ht="15.75">
      <c r="A13" s="623"/>
      <c r="B13" s="590"/>
      <c r="C13" s="327"/>
      <c r="D13" s="327"/>
      <c r="E13" s="327"/>
      <c r="F13" s="278"/>
      <c r="G13" s="359"/>
      <c r="H13" s="356"/>
      <c r="I13" s="359"/>
      <c r="J13" s="356"/>
      <c r="K13" s="359"/>
      <c r="L13" s="356"/>
      <c r="M13" s="359"/>
      <c r="N13" s="356"/>
      <c r="O13" s="403">
        <f t="shared" si="0"/>
        <v>0</v>
      </c>
      <c r="P13" s="401">
        <f t="shared" si="0"/>
        <v>0</v>
      </c>
      <c r="Q13" s="327"/>
      <c r="R13" s="327"/>
      <c r="S13" s="327"/>
      <c r="T13" s="327"/>
      <c r="U13" s="278"/>
    </row>
    <row r="14" spans="1:21" ht="15.75">
      <c r="A14" s="623"/>
      <c r="B14" s="590"/>
      <c r="C14" s="327"/>
      <c r="D14" s="327"/>
      <c r="E14" s="327"/>
      <c r="F14" s="327"/>
      <c r="G14" s="353"/>
      <c r="H14" s="356"/>
      <c r="I14" s="353"/>
      <c r="J14" s="356"/>
      <c r="K14" s="353"/>
      <c r="L14" s="356"/>
      <c r="M14" s="353"/>
      <c r="N14" s="356"/>
      <c r="O14" s="403">
        <f t="shared" si="0"/>
        <v>0</v>
      </c>
      <c r="P14" s="401">
        <f t="shared" si="0"/>
        <v>0</v>
      </c>
      <c r="Q14" s="327"/>
      <c r="R14" s="327"/>
      <c r="S14" s="327"/>
      <c r="T14" s="327"/>
      <c r="U14" s="327"/>
    </row>
    <row r="15" spans="1:21" ht="15.75">
      <c r="A15" s="623"/>
      <c r="B15" s="590"/>
      <c r="C15" s="327"/>
      <c r="D15" s="327"/>
      <c r="E15" s="327"/>
      <c r="F15" s="73"/>
      <c r="G15" s="353"/>
      <c r="H15" s="356"/>
      <c r="I15" s="353"/>
      <c r="J15" s="356"/>
      <c r="K15" s="353"/>
      <c r="L15" s="356"/>
      <c r="M15" s="353"/>
      <c r="N15" s="356"/>
      <c r="O15" s="403">
        <f t="shared" si="0"/>
        <v>0</v>
      </c>
      <c r="P15" s="401">
        <f t="shared" si="0"/>
        <v>0</v>
      </c>
      <c r="Q15" s="327"/>
      <c r="R15" s="327"/>
      <c r="S15" s="327"/>
      <c r="T15" s="327"/>
      <c r="U15" s="327"/>
    </row>
    <row r="16" spans="1:21" ht="15.75">
      <c r="A16" s="623"/>
      <c r="B16" s="590"/>
      <c r="C16" s="327"/>
      <c r="D16" s="327"/>
      <c r="E16" s="327"/>
      <c r="F16" s="327"/>
      <c r="G16" s="353"/>
      <c r="H16" s="356"/>
      <c r="I16" s="353"/>
      <c r="J16" s="356"/>
      <c r="K16" s="353"/>
      <c r="L16" s="356"/>
      <c r="M16" s="353"/>
      <c r="N16" s="356"/>
      <c r="O16" s="403">
        <f t="shared" si="0"/>
        <v>0</v>
      </c>
      <c r="P16" s="401">
        <f t="shared" si="0"/>
        <v>0</v>
      </c>
      <c r="Q16" s="327"/>
      <c r="R16" s="327"/>
      <c r="S16" s="327"/>
      <c r="T16" s="327"/>
      <c r="U16" s="327"/>
    </row>
    <row r="17" spans="1:21" ht="15.75">
      <c r="A17" s="623"/>
      <c r="B17" s="590"/>
      <c r="C17" s="327"/>
      <c r="D17" s="327"/>
      <c r="E17" s="327"/>
      <c r="F17" s="327"/>
      <c r="G17" s="359"/>
      <c r="H17" s="356"/>
      <c r="I17" s="359"/>
      <c r="J17" s="356"/>
      <c r="K17" s="359"/>
      <c r="L17" s="356"/>
      <c r="M17" s="359"/>
      <c r="N17" s="356"/>
      <c r="O17" s="403">
        <f t="shared" si="0"/>
        <v>0</v>
      </c>
      <c r="P17" s="401">
        <f t="shared" si="0"/>
        <v>0</v>
      </c>
      <c r="Q17" s="353"/>
      <c r="R17" s="353"/>
      <c r="S17" s="353"/>
      <c r="T17" s="353"/>
      <c r="U17" s="327"/>
    </row>
    <row r="18" spans="1:21" ht="15.75">
      <c r="A18" s="623"/>
      <c r="B18" s="590"/>
      <c r="C18" s="327"/>
      <c r="D18" s="327"/>
      <c r="E18" s="327"/>
      <c r="F18" s="327"/>
      <c r="G18" s="353"/>
      <c r="H18" s="356"/>
      <c r="I18" s="353"/>
      <c r="J18" s="356"/>
      <c r="K18" s="353"/>
      <c r="L18" s="356"/>
      <c r="M18" s="353"/>
      <c r="N18" s="356"/>
      <c r="O18" s="404">
        <f t="shared" si="0"/>
        <v>0</v>
      </c>
      <c r="P18" s="405">
        <f t="shared" si="0"/>
        <v>0</v>
      </c>
      <c r="Q18" s="327"/>
      <c r="R18" s="327"/>
      <c r="S18" s="327"/>
      <c r="T18" s="327"/>
      <c r="U18" s="327"/>
    </row>
    <row r="19" spans="1:21" ht="15.75">
      <c r="A19" s="623"/>
      <c r="B19" s="590"/>
      <c r="C19" s="327"/>
      <c r="D19" s="327"/>
      <c r="E19" s="327"/>
      <c r="F19" s="327"/>
      <c r="G19" s="353"/>
      <c r="H19" s="356"/>
      <c r="I19" s="353"/>
      <c r="J19" s="356"/>
      <c r="K19" s="353"/>
      <c r="L19" s="356"/>
      <c r="M19" s="353"/>
      <c r="N19" s="356"/>
      <c r="O19" s="404">
        <f t="shared" si="0"/>
        <v>0</v>
      </c>
      <c r="P19" s="405">
        <f t="shared" si="0"/>
        <v>0</v>
      </c>
      <c r="Q19" s="327"/>
      <c r="R19" s="327"/>
      <c r="S19" s="327"/>
      <c r="T19" s="327"/>
      <c r="U19" s="368"/>
    </row>
    <row r="20" spans="1:21" ht="15.75">
      <c r="A20" s="624"/>
      <c r="B20" s="591"/>
      <c r="C20" s="327"/>
      <c r="D20" s="327"/>
      <c r="E20" s="327"/>
      <c r="F20" s="327"/>
      <c r="G20" s="353"/>
      <c r="H20" s="356"/>
      <c r="I20" s="353"/>
      <c r="J20" s="356"/>
      <c r="K20" s="353"/>
      <c r="L20" s="356"/>
      <c r="M20" s="353"/>
      <c r="N20" s="356"/>
      <c r="O20" s="403">
        <f t="shared" si="0"/>
        <v>0</v>
      </c>
      <c r="P20" s="401">
        <f t="shared" si="0"/>
        <v>0</v>
      </c>
      <c r="Q20" s="353"/>
      <c r="R20" s="353"/>
      <c r="S20" s="353"/>
      <c r="T20" s="353"/>
      <c r="U20" s="327"/>
    </row>
    <row r="21" spans="1:21" ht="15.6" customHeight="1">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R7" sqref="R7"/>
      <selection pane="bottomLeft" sqref="A1:U1"/>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29" t="s">
        <v>1344</v>
      </c>
      <c r="B1" s="629"/>
      <c r="C1" s="629"/>
      <c r="D1" s="629"/>
      <c r="E1" s="629"/>
      <c r="F1" s="629"/>
      <c r="G1" s="629"/>
      <c r="H1" s="629"/>
      <c r="I1" s="629"/>
      <c r="J1" s="629"/>
      <c r="K1" s="629"/>
      <c r="L1" s="629"/>
      <c r="M1" s="629"/>
      <c r="N1" s="629"/>
      <c r="O1" s="629"/>
      <c r="P1" s="629"/>
      <c r="Q1" s="629"/>
      <c r="R1" s="629"/>
      <c r="S1" s="629"/>
      <c r="T1" s="629"/>
      <c r="U1" s="629"/>
    </row>
    <row r="2" spans="1:21">
      <c r="A2" s="630" t="s">
        <v>1425</v>
      </c>
      <c r="B2" s="630"/>
      <c r="C2" s="630"/>
      <c r="D2" s="630"/>
      <c r="E2" s="630"/>
      <c r="F2" s="630"/>
      <c r="G2" s="630"/>
      <c r="H2" s="630"/>
      <c r="I2" s="630"/>
      <c r="J2" s="630"/>
      <c r="K2" s="630"/>
      <c r="L2" s="630"/>
      <c r="M2" s="630"/>
      <c r="N2" s="630"/>
      <c r="O2" s="630"/>
      <c r="P2" s="630"/>
      <c r="Q2" s="630"/>
      <c r="R2" s="630"/>
      <c r="S2" s="630"/>
      <c r="T2" s="630"/>
      <c r="U2" s="630"/>
    </row>
    <row r="3" spans="1:21" ht="13.5" customHeight="1">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c r="A4" s="577" t="s">
        <v>97</v>
      </c>
      <c r="B4" s="576" t="s">
        <v>111</v>
      </c>
      <c r="C4" s="579" t="s">
        <v>86</v>
      </c>
      <c r="D4" s="579" t="s">
        <v>87</v>
      </c>
      <c r="E4" s="579" t="s">
        <v>392</v>
      </c>
      <c r="F4" s="579" t="s">
        <v>88</v>
      </c>
      <c r="G4" s="582" t="s">
        <v>100</v>
      </c>
      <c r="H4" s="588"/>
      <c r="I4" s="588"/>
      <c r="J4" s="588"/>
      <c r="K4" s="588"/>
      <c r="L4" s="588"/>
      <c r="M4" s="588"/>
      <c r="N4" s="583"/>
      <c r="O4" s="584" t="s">
        <v>101</v>
      </c>
      <c r="P4" s="585"/>
      <c r="Q4" s="576" t="s">
        <v>102</v>
      </c>
      <c r="R4" s="576" t="s">
        <v>103</v>
      </c>
      <c r="S4" s="576" t="s">
        <v>110</v>
      </c>
      <c r="T4" s="576" t="s">
        <v>109</v>
      </c>
      <c r="U4" s="573" t="s">
        <v>89</v>
      </c>
    </row>
    <row r="5" spans="1:21" ht="15" customHeight="1">
      <c r="A5" s="577"/>
      <c r="B5" s="577"/>
      <c r="C5" s="580"/>
      <c r="D5" s="580"/>
      <c r="E5" s="580"/>
      <c r="F5" s="580"/>
      <c r="G5" s="582" t="s">
        <v>104</v>
      </c>
      <c r="H5" s="583"/>
      <c r="I5" s="582" t="s">
        <v>105</v>
      </c>
      <c r="J5" s="583"/>
      <c r="K5" s="582" t="s">
        <v>106</v>
      </c>
      <c r="L5" s="583"/>
      <c r="M5" s="582" t="s">
        <v>107</v>
      </c>
      <c r="N5" s="583"/>
      <c r="O5" s="586"/>
      <c r="P5" s="587"/>
      <c r="Q5" s="577"/>
      <c r="R5" s="577"/>
      <c r="S5" s="577"/>
      <c r="T5" s="577"/>
      <c r="U5" s="574"/>
    </row>
    <row r="6" spans="1:21" ht="25.5">
      <c r="A6" s="578"/>
      <c r="B6" s="578"/>
      <c r="C6" s="581"/>
      <c r="D6" s="581"/>
      <c r="E6" s="581"/>
      <c r="F6" s="581"/>
      <c r="G6" s="440" t="s">
        <v>108</v>
      </c>
      <c r="H6" s="440" t="s">
        <v>12</v>
      </c>
      <c r="I6" s="440" t="s">
        <v>108</v>
      </c>
      <c r="J6" s="440" t="s">
        <v>12</v>
      </c>
      <c r="K6" s="440" t="s">
        <v>108</v>
      </c>
      <c r="L6" s="440" t="s">
        <v>12</v>
      </c>
      <c r="M6" s="440" t="s">
        <v>108</v>
      </c>
      <c r="N6" s="440" t="s">
        <v>12</v>
      </c>
      <c r="O6" s="440" t="s">
        <v>108</v>
      </c>
      <c r="P6" s="440" t="s">
        <v>12</v>
      </c>
      <c r="Q6" s="578"/>
      <c r="R6" s="578"/>
      <c r="S6" s="578"/>
      <c r="T6" s="578"/>
      <c r="U6" s="575"/>
    </row>
    <row r="7" spans="1:21" ht="15.75">
      <c r="A7" s="441"/>
      <c r="B7" s="442"/>
      <c r="C7" s="443"/>
      <c r="D7" s="443"/>
      <c r="E7" s="444"/>
      <c r="F7" s="443"/>
      <c r="G7" s="445"/>
      <c r="H7" s="445"/>
      <c r="I7" s="445"/>
      <c r="J7" s="445"/>
      <c r="K7" s="445"/>
      <c r="L7" s="445"/>
      <c r="M7" s="445"/>
      <c r="N7" s="445"/>
      <c r="O7" s="445"/>
      <c r="P7" s="445"/>
      <c r="Q7" s="446"/>
      <c r="R7" s="446"/>
      <c r="S7" s="446"/>
      <c r="T7" s="446"/>
      <c r="U7" s="447"/>
    </row>
    <row r="8" spans="1:21" ht="15.75">
      <c r="A8" s="592" t="s">
        <v>1520</v>
      </c>
      <c r="B8" s="631" t="s">
        <v>1521</v>
      </c>
      <c r="C8" s="278"/>
      <c r="D8" s="278"/>
      <c r="E8" s="310"/>
      <c r="F8" s="278"/>
      <c r="G8" s="364"/>
      <c r="H8" s="365"/>
      <c r="I8" s="278"/>
      <c r="J8" s="365"/>
      <c r="K8" s="278"/>
      <c r="L8" s="365"/>
      <c r="M8" s="278"/>
      <c r="N8" s="365"/>
      <c r="O8" s="400">
        <f t="shared" ref="O8:P8" si="0">G8+I8+K8+M8</f>
        <v>0</v>
      </c>
      <c r="P8" s="401">
        <f t="shared" si="0"/>
        <v>0</v>
      </c>
      <c r="Q8" s="278"/>
      <c r="R8" s="278"/>
      <c r="S8" s="278"/>
      <c r="T8" s="278"/>
      <c r="U8" s="278"/>
    </row>
    <row r="9" spans="1:21" s="367" customFormat="1" ht="15.75">
      <c r="A9" s="593"/>
      <c r="B9" s="631"/>
      <c r="C9" s="278"/>
      <c r="D9" s="278"/>
      <c r="E9" s="310"/>
      <c r="F9" s="278"/>
      <c r="G9" s="364"/>
      <c r="H9" s="365"/>
      <c r="I9" s="278"/>
      <c r="J9" s="365"/>
      <c r="K9" s="278"/>
      <c r="L9" s="365"/>
      <c r="M9" s="278"/>
      <c r="N9" s="365"/>
      <c r="O9" s="400">
        <f t="shared" ref="O9:O35" si="1">G9+I9+K9+M9</f>
        <v>0</v>
      </c>
      <c r="P9" s="401">
        <f t="shared" ref="P9:P35" si="2">H9+J9+L9+N9</f>
        <v>0</v>
      </c>
      <c r="Q9" s="278"/>
      <c r="R9" s="278"/>
      <c r="S9" s="278"/>
      <c r="T9" s="278"/>
      <c r="U9" s="278"/>
    </row>
    <row r="10" spans="1:21" s="367" customFormat="1" ht="15.75">
      <c r="A10" s="593"/>
      <c r="B10" s="631"/>
      <c r="C10" s="278"/>
      <c r="D10" s="278"/>
      <c r="E10" s="310"/>
      <c r="F10" s="278"/>
      <c r="G10" s="364"/>
      <c r="H10" s="365"/>
      <c r="I10" s="278"/>
      <c r="J10" s="365"/>
      <c r="K10" s="278"/>
      <c r="L10" s="365"/>
      <c r="M10" s="278"/>
      <c r="N10" s="365"/>
      <c r="O10" s="400">
        <f t="shared" si="1"/>
        <v>0</v>
      </c>
      <c r="P10" s="401">
        <f t="shared" si="2"/>
        <v>0</v>
      </c>
      <c r="Q10" s="278"/>
      <c r="R10" s="278"/>
      <c r="S10" s="278"/>
      <c r="T10" s="278"/>
      <c r="U10" s="278"/>
    </row>
    <row r="11" spans="1:21" s="464" customFormat="1" ht="15.75">
      <c r="A11" s="593"/>
      <c r="B11" s="631"/>
      <c r="C11" s="278"/>
      <c r="D11" s="278"/>
      <c r="E11" s="310"/>
      <c r="F11" s="278"/>
      <c r="G11" s="364"/>
      <c r="H11" s="365"/>
      <c r="I11" s="278"/>
      <c r="J11" s="365"/>
      <c r="K11" s="278"/>
      <c r="L11" s="365"/>
      <c r="M11" s="278"/>
      <c r="N11" s="365"/>
      <c r="O11" s="400"/>
      <c r="P11" s="401"/>
      <c r="Q11" s="278"/>
      <c r="R11" s="278"/>
      <c r="S11" s="278"/>
      <c r="T11" s="278"/>
      <c r="U11" s="278"/>
    </row>
    <row r="12" spans="1:21" s="367" customFormat="1" ht="15.75">
      <c r="A12" s="593"/>
      <c r="B12" s="631"/>
      <c r="C12" s="278"/>
      <c r="D12" s="278"/>
      <c r="E12" s="310"/>
      <c r="F12" s="278"/>
      <c r="G12" s="364"/>
      <c r="H12" s="365"/>
      <c r="I12" s="278"/>
      <c r="J12" s="365"/>
      <c r="K12" s="278"/>
      <c r="L12" s="365"/>
      <c r="M12" s="278"/>
      <c r="N12" s="365"/>
      <c r="O12" s="400">
        <f t="shared" si="1"/>
        <v>0</v>
      </c>
      <c r="P12" s="401">
        <f t="shared" si="2"/>
        <v>0</v>
      </c>
      <c r="Q12" s="278"/>
      <c r="R12" s="278"/>
      <c r="S12" s="278"/>
      <c r="T12" s="278"/>
      <c r="U12" s="278"/>
    </row>
    <row r="13" spans="1:21" s="464" customFormat="1" ht="15.75">
      <c r="A13" s="593"/>
      <c r="B13" s="631"/>
      <c r="C13" s="278"/>
      <c r="D13" s="278"/>
      <c r="E13" s="310"/>
      <c r="F13" s="278"/>
      <c r="G13" s="364"/>
      <c r="H13" s="365"/>
      <c r="I13" s="278"/>
      <c r="J13" s="365"/>
      <c r="K13" s="278"/>
      <c r="L13" s="365"/>
      <c r="M13" s="278"/>
      <c r="N13" s="365"/>
      <c r="O13" s="400"/>
      <c r="P13" s="401"/>
      <c r="Q13" s="278"/>
      <c r="R13" s="278"/>
      <c r="S13" s="278"/>
      <c r="T13" s="278"/>
      <c r="U13" s="278"/>
    </row>
    <row r="14" spans="1:21" s="464" customFormat="1" ht="15.75">
      <c r="A14" s="593"/>
      <c r="B14" s="631"/>
      <c r="C14" s="278"/>
      <c r="D14" s="278"/>
      <c r="E14" s="310"/>
      <c r="F14" s="278"/>
      <c r="G14" s="364"/>
      <c r="H14" s="365"/>
      <c r="I14" s="278"/>
      <c r="J14" s="365"/>
      <c r="K14" s="278"/>
      <c r="L14" s="365"/>
      <c r="M14" s="278"/>
      <c r="N14" s="365"/>
      <c r="O14" s="400"/>
      <c r="P14" s="401"/>
      <c r="Q14" s="278"/>
      <c r="R14" s="278"/>
      <c r="S14" s="278"/>
      <c r="T14" s="278"/>
      <c r="U14" s="278"/>
    </row>
    <row r="15" spans="1:21" s="367" customFormat="1" ht="15.75">
      <c r="A15" s="593"/>
      <c r="B15" s="631"/>
      <c r="C15" s="278"/>
      <c r="D15" s="278"/>
      <c r="E15" s="310"/>
      <c r="F15" s="278"/>
      <c r="G15" s="364"/>
      <c r="H15" s="365"/>
      <c r="I15" s="278"/>
      <c r="J15" s="365"/>
      <c r="K15" s="278"/>
      <c r="L15" s="365"/>
      <c r="M15" s="278"/>
      <c r="N15" s="365"/>
      <c r="O15" s="400">
        <f t="shared" si="1"/>
        <v>0</v>
      </c>
      <c r="P15" s="401">
        <f t="shared" si="2"/>
        <v>0</v>
      </c>
      <c r="Q15" s="278"/>
      <c r="R15" s="278"/>
      <c r="S15" s="278"/>
      <c r="T15" s="278"/>
      <c r="U15" s="278"/>
    </row>
    <row r="16" spans="1:21" s="464" customFormat="1" ht="15.75">
      <c r="A16" s="593"/>
      <c r="B16" s="631"/>
      <c r="C16" s="278"/>
      <c r="D16" s="278"/>
      <c r="E16" s="310"/>
      <c r="F16" s="278"/>
      <c r="G16" s="364"/>
      <c r="H16" s="365"/>
      <c r="I16" s="278"/>
      <c r="J16" s="365"/>
      <c r="K16" s="278"/>
      <c r="L16" s="365"/>
      <c r="M16" s="278"/>
      <c r="N16" s="365"/>
      <c r="O16" s="400"/>
      <c r="P16" s="401"/>
      <c r="Q16" s="278"/>
      <c r="R16" s="278"/>
      <c r="S16" s="278"/>
      <c r="T16" s="278"/>
      <c r="U16" s="278"/>
    </row>
    <row r="17" spans="1:21" s="367" customFormat="1" ht="15.75">
      <c r="A17" s="593"/>
      <c r="B17" s="631"/>
      <c r="C17" s="278"/>
      <c r="D17" s="278"/>
      <c r="E17" s="310"/>
      <c r="F17" s="278"/>
      <c r="G17" s="364"/>
      <c r="H17" s="365"/>
      <c r="I17" s="278"/>
      <c r="J17" s="365"/>
      <c r="K17" s="278"/>
      <c r="L17" s="365"/>
      <c r="M17" s="278"/>
      <c r="N17" s="365"/>
      <c r="O17" s="400">
        <f t="shared" si="1"/>
        <v>0</v>
      </c>
      <c r="P17" s="401">
        <f t="shared" si="2"/>
        <v>0</v>
      </c>
      <c r="Q17" s="278"/>
      <c r="R17" s="278"/>
      <c r="S17" s="278"/>
      <c r="T17" s="278"/>
      <c r="U17" s="278"/>
    </row>
    <row r="18" spans="1:21" ht="15.75">
      <c r="A18" s="593"/>
      <c r="B18" s="631"/>
      <c r="C18" s="278"/>
      <c r="D18" s="278"/>
      <c r="E18" s="310"/>
      <c r="F18" s="278"/>
      <c r="G18" s="364"/>
      <c r="H18" s="365"/>
      <c r="I18" s="278"/>
      <c r="J18" s="365"/>
      <c r="K18" s="278"/>
      <c r="L18" s="365"/>
      <c r="M18" s="278"/>
      <c r="N18" s="365"/>
      <c r="O18" s="400">
        <f t="shared" si="1"/>
        <v>0</v>
      </c>
      <c r="P18" s="401">
        <f t="shared" si="2"/>
        <v>0</v>
      </c>
      <c r="Q18" s="278"/>
      <c r="R18" s="278"/>
      <c r="S18" s="278"/>
      <c r="T18" s="278"/>
      <c r="U18" s="278"/>
    </row>
    <row r="19" spans="1:21" ht="15.75">
      <c r="A19" s="593"/>
      <c r="B19" s="625" t="s">
        <v>1522</v>
      </c>
      <c r="C19" s="278"/>
      <c r="D19" s="278"/>
      <c r="E19" s="278"/>
      <c r="F19" s="278"/>
      <c r="G19" s="278"/>
      <c r="H19" s="365"/>
      <c r="I19" s="278"/>
      <c r="J19" s="365"/>
      <c r="K19" s="278"/>
      <c r="L19" s="365"/>
      <c r="M19" s="278"/>
      <c r="N19" s="365"/>
      <c r="O19" s="400">
        <f t="shared" si="1"/>
        <v>0</v>
      </c>
      <c r="P19" s="401">
        <f t="shared" si="2"/>
        <v>0</v>
      </c>
      <c r="Q19" s="278"/>
      <c r="R19" s="278"/>
      <c r="S19" s="278"/>
      <c r="T19" s="278"/>
      <c r="U19" s="278"/>
    </row>
    <row r="20" spans="1:21" ht="15.75">
      <c r="A20" s="593"/>
      <c r="B20" s="625"/>
      <c r="C20" s="278"/>
      <c r="D20" s="278"/>
      <c r="E20" s="278"/>
      <c r="F20" s="278"/>
      <c r="G20" s="364"/>
      <c r="H20" s="365"/>
      <c r="I20" s="278"/>
      <c r="J20" s="365"/>
      <c r="K20" s="278"/>
      <c r="L20" s="365"/>
      <c r="M20" s="278"/>
      <c r="N20" s="365"/>
      <c r="O20" s="400">
        <f t="shared" si="1"/>
        <v>0</v>
      </c>
      <c r="P20" s="401">
        <f t="shared" si="2"/>
        <v>0</v>
      </c>
      <c r="Q20" s="278"/>
      <c r="R20" s="278"/>
      <c r="S20" s="278"/>
      <c r="T20" s="278"/>
      <c r="U20" s="278"/>
    </row>
    <row r="21" spans="1:21" s="367" customFormat="1" ht="15.75">
      <c r="A21" s="593"/>
      <c r="B21" s="625"/>
      <c r="C21" s="278"/>
      <c r="D21" s="278"/>
      <c r="E21" s="278"/>
      <c r="F21" s="278"/>
      <c r="G21" s="364"/>
      <c r="H21" s="365"/>
      <c r="I21" s="278"/>
      <c r="J21" s="365"/>
      <c r="K21" s="278"/>
      <c r="L21" s="365"/>
      <c r="M21" s="278"/>
      <c r="N21" s="365"/>
      <c r="O21" s="400">
        <f t="shared" si="1"/>
        <v>0</v>
      </c>
      <c r="P21" s="401">
        <f t="shared" si="2"/>
        <v>0</v>
      </c>
      <c r="Q21" s="278"/>
      <c r="R21" s="278"/>
      <c r="S21" s="278"/>
      <c r="T21" s="278"/>
      <c r="U21" s="278"/>
    </row>
    <row r="22" spans="1:21" s="367" customFormat="1" ht="15.75">
      <c r="A22" s="593"/>
      <c r="B22" s="625"/>
      <c r="C22" s="278"/>
      <c r="D22" s="278"/>
      <c r="E22" s="278"/>
      <c r="F22" s="278"/>
      <c r="G22" s="364"/>
      <c r="H22" s="365"/>
      <c r="I22" s="278"/>
      <c r="J22" s="365"/>
      <c r="K22" s="278"/>
      <c r="L22" s="365"/>
      <c r="M22" s="278"/>
      <c r="N22" s="365"/>
      <c r="O22" s="400">
        <f t="shared" si="1"/>
        <v>0</v>
      </c>
      <c r="P22" s="401">
        <f t="shared" si="2"/>
        <v>0</v>
      </c>
      <c r="Q22" s="278"/>
      <c r="R22" s="278"/>
      <c r="S22" s="278"/>
      <c r="T22" s="278"/>
      <c r="U22" s="278"/>
    </row>
    <row r="23" spans="1:21" s="367" customFormat="1" ht="15.75">
      <c r="A23" s="593"/>
      <c r="B23" s="625"/>
      <c r="C23" s="278"/>
      <c r="D23" s="278"/>
      <c r="E23" s="278"/>
      <c r="F23" s="278"/>
      <c r="G23" s="364"/>
      <c r="H23" s="365"/>
      <c r="I23" s="278"/>
      <c r="J23" s="365"/>
      <c r="K23" s="278"/>
      <c r="L23" s="365"/>
      <c r="M23" s="278"/>
      <c r="N23" s="365"/>
      <c r="O23" s="400">
        <f t="shared" si="1"/>
        <v>0</v>
      </c>
      <c r="P23" s="401">
        <f t="shared" si="2"/>
        <v>0</v>
      </c>
      <c r="Q23" s="278"/>
      <c r="R23" s="278"/>
      <c r="S23" s="278"/>
      <c r="T23" s="278"/>
      <c r="U23" s="278"/>
    </row>
    <row r="24" spans="1:21" s="367" customFormat="1" ht="15.75">
      <c r="A24" s="593"/>
      <c r="B24" s="625"/>
      <c r="C24" s="278"/>
      <c r="D24" s="278"/>
      <c r="E24" s="278"/>
      <c r="F24" s="278"/>
      <c r="G24" s="364"/>
      <c r="H24" s="365"/>
      <c r="I24" s="278"/>
      <c r="J24" s="365"/>
      <c r="K24" s="278"/>
      <c r="L24" s="365"/>
      <c r="M24" s="278"/>
      <c r="N24" s="365"/>
      <c r="O24" s="400">
        <f t="shared" si="1"/>
        <v>0</v>
      </c>
      <c r="P24" s="401">
        <f t="shared" si="2"/>
        <v>0</v>
      </c>
      <c r="Q24" s="278"/>
      <c r="R24" s="278"/>
      <c r="S24" s="278"/>
      <c r="T24" s="278"/>
      <c r="U24" s="278"/>
    </row>
    <row r="25" spans="1:21" s="367" customFormat="1" ht="15.75">
      <c r="A25" s="593"/>
      <c r="B25" s="625"/>
      <c r="C25" s="278"/>
      <c r="D25" s="278"/>
      <c r="E25" s="278"/>
      <c r="F25" s="278"/>
      <c r="G25" s="364"/>
      <c r="H25" s="365"/>
      <c r="I25" s="278"/>
      <c r="J25" s="365"/>
      <c r="K25" s="278"/>
      <c r="L25" s="365"/>
      <c r="M25" s="278"/>
      <c r="N25" s="365"/>
      <c r="O25" s="400">
        <f t="shared" si="1"/>
        <v>0</v>
      </c>
      <c r="P25" s="401">
        <f t="shared" si="2"/>
        <v>0</v>
      </c>
      <c r="Q25" s="278"/>
      <c r="R25" s="278"/>
      <c r="S25" s="278"/>
      <c r="T25" s="278"/>
      <c r="U25" s="278"/>
    </row>
    <row r="26" spans="1:21" ht="15.75">
      <c r="A26" s="593"/>
      <c r="B26" s="625"/>
      <c r="C26" s="278"/>
      <c r="D26" s="278"/>
      <c r="E26" s="278"/>
      <c r="F26" s="278"/>
      <c r="G26" s="278"/>
      <c r="H26" s="365"/>
      <c r="I26" s="278"/>
      <c r="J26" s="365"/>
      <c r="K26" s="278"/>
      <c r="L26" s="365"/>
      <c r="M26" s="278"/>
      <c r="N26" s="365"/>
      <c r="O26" s="400">
        <f t="shared" si="1"/>
        <v>0</v>
      </c>
      <c r="P26" s="401">
        <f t="shared" si="2"/>
        <v>0</v>
      </c>
      <c r="Q26" s="278"/>
      <c r="R26" s="278"/>
      <c r="S26" s="278"/>
      <c r="T26" s="278"/>
      <c r="U26" s="361"/>
    </row>
    <row r="27" spans="1:21" ht="15.75">
      <c r="A27" s="593"/>
      <c r="B27" s="625"/>
      <c r="C27" s="278"/>
      <c r="D27" s="278"/>
      <c r="E27" s="278"/>
      <c r="F27" s="278"/>
      <c r="G27" s="278"/>
      <c r="H27" s="365"/>
      <c r="I27" s="278"/>
      <c r="J27" s="365"/>
      <c r="K27" s="278"/>
      <c r="L27" s="365"/>
      <c r="M27" s="278"/>
      <c r="N27" s="365"/>
      <c r="O27" s="400">
        <f t="shared" si="1"/>
        <v>0</v>
      </c>
      <c r="P27" s="401">
        <f t="shared" si="2"/>
        <v>0</v>
      </c>
      <c r="Q27" s="278"/>
      <c r="R27" s="278"/>
      <c r="S27" s="278"/>
      <c r="T27" s="278"/>
      <c r="U27" s="361"/>
    </row>
    <row r="28" spans="1:21" ht="15.75">
      <c r="A28" s="593"/>
      <c r="B28" s="625"/>
      <c r="C28" s="278"/>
      <c r="D28" s="278"/>
      <c r="E28" s="278"/>
      <c r="F28" s="278"/>
      <c r="G28" s="278"/>
      <c r="H28" s="365"/>
      <c r="I28" s="278"/>
      <c r="J28" s="365"/>
      <c r="K28" s="278"/>
      <c r="L28" s="365"/>
      <c r="M28" s="278"/>
      <c r="N28" s="365"/>
      <c r="O28" s="400">
        <f t="shared" si="1"/>
        <v>0</v>
      </c>
      <c r="P28" s="401">
        <f t="shared" si="2"/>
        <v>0</v>
      </c>
      <c r="Q28" s="278"/>
      <c r="R28" s="278"/>
      <c r="S28" s="278"/>
      <c r="T28" s="278"/>
      <c r="U28" s="361"/>
    </row>
    <row r="29" spans="1:21" ht="15.75">
      <c r="A29" s="593"/>
      <c r="B29" s="625"/>
      <c r="C29" s="278"/>
      <c r="D29" s="278"/>
      <c r="E29" s="278"/>
      <c r="F29" s="278"/>
      <c r="G29" s="278"/>
      <c r="H29" s="365"/>
      <c r="I29" s="278"/>
      <c r="J29" s="365"/>
      <c r="K29" s="278"/>
      <c r="L29" s="365"/>
      <c r="M29" s="278"/>
      <c r="N29" s="365"/>
      <c r="O29" s="400">
        <f t="shared" si="1"/>
        <v>0</v>
      </c>
      <c r="P29" s="401">
        <f t="shared" si="2"/>
        <v>0</v>
      </c>
      <c r="Q29" s="278"/>
      <c r="R29" s="278"/>
      <c r="S29" s="278"/>
      <c r="T29" s="278"/>
      <c r="U29" s="361"/>
    </row>
    <row r="30" spans="1:21" ht="15.75">
      <c r="A30" s="593"/>
      <c r="B30" s="625" t="s">
        <v>1523</v>
      </c>
      <c r="C30" s="278"/>
      <c r="D30" s="278"/>
      <c r="E30" s="278"/>
      <c r="F30" s="278"/>
      <c r="G30" s="278"/>
      <c r="H30" s="365"/>
      <c r="I30" s="278"/>
      <c r="J30" s="365"/>
      <c r="K30" s="278"/>
      <c r="L30" s="365"/>
      <c r="M30" s="278"/>
      <c r="N30" s="365"/>
      <c r="O30" s="400">
        <f t="shared" si="1"/>
        <v>0</v>
      </c>
      <c r="P30" s="401">
        <f t="shared" si="2"/>
        <v>0</v>
      </c>
      <c r="Q30" s="278"/>
      <c r="R30" s="278"/>
      <c r="S30" s="278"/>
      <c r="T30" s="278"/>
      <c r="U30" s="361"/>
    </row>
    <row r="31" spans="1:21" ht="15.75">
      <c r="A31" s="593"/>
      <c r="B31" s="625"/>
      <c r="C31" s="369"/>
      <c r="D31" s="313"/>
      <c r="E31" s="313"/>
      <c r="F31" s="313"/>
      <c r="G31" s="278"/>
      <c r="H31" s="365"/>
      <c r="I31" s="278"/>
      <c r="J31" s="365"/>
      <c r="K31" s="278"/>
      <c r="L31" s="365"/>
      <c r="M31" s="278"/>
      <c r="N31" s="365"/>
      <c r="O31" s="400">
        <f t="shared" si="1"/>
        <v>0</v>
      </c>
      <c r="P31" s="401">
        <f t="shared" si="2"/>
        <v>0</v>
      </c>
      <c r="Q31" s="278"/>
      <c r="R31" s="278"/>
      <c r="S31" s="278"/>
      <c r="T31" s="278"/>
      <c r="U31" s="361"/>
    </row>
    <row r="32" spans="1:21" s="367" customFormat="1" ht="15.75">
      <c r="A32" s="593"/>
      <c r="B32" s="625"/>
      <c r="C32" s="369"/>
      <c r="D32" s="313"/>
      <c r="E32" s="313"/>
      <c r="F32" s="313"/>
      <c r="G32" s="278"/>
      <c r="H32" s="365"/>
      <c r="I32" s="278"/>
      <c r="J32" s="365"/>
      <c r="K32" s="278"/>
      <c r="L32" s="365"/>
      <c r="M32" s="278"/>
      <c r="N32" s="365"/>
      <c r="O32" s="400">
        <f t="shared" si="1"/>
        <v>0</v>
      </c>
      <c r="P32" s="401">
        <f t="shared" si="2"/>
        <v>0</v>
      </c>
      <c r="Q32" s="278"/>
      <c r="R32" s="278"/>
      <c r="S32" s="278"/>
      <c r="T32" s="278"/>
      <c r="U32" s="361"/>
    </row>
    <row r="33" spans="1:21" s="367" customFormat="1" ht="15.75">
      <c r="A33" s="593"/>
      <c r="B33" s="625"/>
      <c r="C33" s="369"/>
      <c r="D33" s="313"/>
      <c r="E33" s="313"/>
      <c r="F33" s="313"/>
      <c r="G33" s="278"/>
      <c r="H33" s="365"/>
      <c r="I33" s="278"/>
      <c r="J33" s="365"/>
      <c r="K33" s="278"/>
      <c r="L33" s="365"/>
      <c r="M33" s="278"/>
      <c r="N33" s="365"/>
      <c r="O33" s="400">
        <f t="shared" si="1"/>
        <v>0</v>
      </c>
      <c r="P33" s="401">
        <f t="shared" si="2"/>
        <v>0</v>
      </c>
      <c r="Q33" s="278"/>
      <c r="R33" s="278"/>
      <c r="S33" s="278"/>
      <c r="T33" s="278"/>
      <c r="U33" s="361"/>
    </row>
    <row r="34" spans="1:21" ht="15.75">
      <c r="A34" s="593"/>
      <c r="B34" s="625"/>
      <c r="C34" s="369"/>
      <c r="D34" s="313"/>
      <c r="E34" s="309"/>
      <c r="F34" s="313"/>
      <c r="G34" s="278"/>
      <c r="H34" s="365"/>
      <c r="I34" s="278"/>
      <c r="J34" s="365"/>
      <c r="K34" s="278"/>
      <c r="L34" s="365"/>
      <c r="M34" s="278"/>
      <c r="N34" s="365"/>
      <c r="O34" s="400">
        <f t="shared" si="1"/>
        <v>0</v>
      </c>
      <c r="P34" s="401">
        <f t="shared" si="2"/>
        <v>0</v>
      </c>
      <c r="Q34" s="278"/>
      <c r="R34" s="278"/>
      <c r="S34" s="278"/>
      <c r="T34" s="278"/>
      <c r="U34" s="361"/>
    </row>
    <row r="35" spans="1:21" s="367" customFormat="1" ht="15.75">
      <c r="A35" s="593"/>
      <c r="B35" s="625"/>
      <c r="C35" s="369"/>
      <c r="D35" s="313"/>
      <c r="E35" s="309"/>
      <c r="F35" s="313"/>
      <c r="G35" s="278"/>
      <c r="H35" s="365"/>
      <c r="I35" s="278"/>
      <c r="J35" s="365"/>
      <c r="K35" s="278"/>
      <c r="L35" s="365"/>
      <c r="M35" s="278"/>
      <c r="N35" s="365"/>
      <c r="O35" s="400">
        <f t="shared" si="1"/>
        <v>0</v>
      </c>
      <c r="P35" s="401">
        <f t="shared" si="2"/>
        <v>0</v>
      </c>
      <c r="Q35" s="278"/>
      <c r="R35" s="278"/>
      <c r="S35" s="278"/>
      <c r="T35" s="278"/>
      <c r="U35" s="361"/>
    </row>
    <row r="36" spans="1:21" ht="15.75">
      <c r="A36" s="626" t="s">
        <v>1345</v>
      </c>
      <c r="B36" s="627"/>
      <c r="C36" s="627"/>
      <c r="D36" s="627"/>
      <c r="E36" s="627"/>
      <c r="F36" s="628"/>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D28" sqref="D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632" t="s">
        <v>1355</v>
      </c>
      <c r="F1" s="632"/>
      <c r="G1" s="632"/>
      <c r="H1" s="632"/>
      <c r="I1" s="632"/>
      <c r="J1" s="632"/>
      <c r="K1" s="632"/>
      <c r="L1" s="632"/>
      <c r="M1" s="291"/>
      <c r="N1" s="291"/>
      <c r="O1" s="291"/>
      <c r="P1" s="291"/>
      <c r="Q1" s="291"/>
      <c r="R1" s="291"/>
      <c r="S1" s="291"/>
      <c r="T1" s="291"/>
      <c r="U1" s="291"/>
      <c r="V1" s="291"/>
      <c r="W1" s="291"/>
      <c r="X1" s="291"/>
      <c r="Y1" s="291"/>
      <c r="Z1" s="291"/>
      <c r="AA1" s="291"/>
    </row>
    <row r="2" spans="1:27" ht="18.75">
      <c r="A2" s="319" t="s">
        <v>1354</v>
      </c>
      <c r="G2" s="291"/>
      <c r="I2" s="291"/>
      <c r="J2" s="291"/>
      <c r="K2" s="291"/>
      <c r="L2" s="291"/>
      <c r="M2" s="291"/>
      <c r="N2" s="291"/>
      <c r="O2" s="291"/>
      <c r="P2" s="291"/>
      <c r="Q2" s="291"/>
      <c r="R2" s="291"/>
      <c r="S2" s="291"/>
      <c r="T2" s="291"/>
      <c r="U2" s="291"/>
      <c r="V2" s="291"/>
      <c r="W2" s="291"/>
      <c r="X2" s="291"/>
      <c r="Y2" s="291"/>
      <c r="Z2" s="291"/>
      <c r="AA2" s="291"/>
    </row>
    <row r="3" spans="1:27" s="367" customFormat="1" ht="18.7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c r="A5" s="621" t="s">
        <v>1429</v>
      </c>
      <c r="B5" s="633"/>
      <c r="C5" s="633"/>
      <c r="D5" s="633"/>
      <c r="E5" s="633"/>
      <c r="F5" s="633"/>
      <c r="G5" s="633"/>
      <c r="H5" s="633"/>
      <c r="I5" s="633"/>
      <c r="J5" s="633"/>
      <c r="K5" s="633"/>
      <c r="L5" s="633"/>
      <c r="M5" s="633"/>
      <c r="N5" s="633"/>
      <c r="O5" s="633"/>
      <c r="P5" s="633"/>
      <c r="Q5" s="633"/>
      <c r="R5" s="633"/>
      <c r="S5" s="633"/>
      <c r="T5" s="633"/>
      <c r="U5" s="633"/>
    </row>
    <row r="6" spans="1:27" ht="15" customHeight="1">
      <c r="A6" s="577" t="s">
        <v>97</v>
      </c>
      <c r="B6" s="576" t="s">
        <v>111</v>
      </c>
      <c r="C6" s="579" t="s">
        <v>86</v>
      </c>
      <c r="D6" s="579" t="s">
        <v>87</v>
      </c>
      <c r="E6" s="579" t="s">
        <v>392</v>
      </c>
      <c r="F6" s="579" t="s">
        <v>88</v>
      </c>
      <c r="G6" s="582" t="s">
        <v>100</v>
      </c>
      <c r="H6" s="588"/>
      <c r="I6" s="588"/>
      <c r="J6" s="588"/>
      <c r="K6" s="588"/>
      <c r="L6" s="588"/>
      <c r="M6" s="588"/>
      <c r="N6" s="583"/>
      <c r="O6" s="584" t="s">
        <v>101</v>
      </c>
      <c r="P6" s="585"/>
      <c r="Q6" s="576" t="s">
        <v>102</v>
      </c>
      <c r="R6" s="576" t="s">
        <v>103</v>
      </c>
      <c r="S6" s="576" t="s">
        <v>110</v>
      </c>
      <c r="T6" s="576" t="s">
        <v>109</v>
      </c>
      <c r="U6" s="573" t="s">
        <v>89</v>
      </c>
    </row>
    <row r="7" spans="1:27" ht="15" customHeight="1">
      <c r="A7" s="577"/>
      <c r="B7" s="577"/>
      <c r="C7" s="580"/>
      <c r="D7" s="580"/>
      <c r="E7" s="580"/>
      <c r="F7" s="580"/>
      <c r="G7" s="582" t="s">
        <v>104</v>
      </c>
      <c r="H7" s="583"/>
      <c r="I7" s="582" t="s">
        <v>105</v>
      </c>
      <c r="J7" s="583"/>
      <c r="K7" s="582" t="s">
        <v>106</v>
      </c>
      <c r="L7" s="583"/>
      <c r="M7" s="582" t="s">
        <v>107</v>
      </c>
      <c r="N7" s="583"/>
      <c r="O7" s="586"/>
      <c r="P7" s="587"/>
      <c r="Q7" s="577"/>
      <c r="R7" s="577"/>
      <c r="S7" s="577"/>
      <c r="T7" s="577"/>
      <c r="U7" s="574"/>
    </row>
    <row r="8" spans="1:27" ht="25.5">
      <c r="A8" s="578"/>
      <c r="B8" s="578"/>
      <c r="C8" s="581"/>
      <c r="D8" s="581"/>
      <c r="E8" s="581"/>
      <c r="F8" s="581"/>
      <c r="G8" s="440" t="s">
        <v>108</v>
      </c>
      <c r="H8" s="440" t="s">
        <v>12</v>
      </c>
      <c r="I8" s="440" t="s">
        <v>108</v>
      </c>
      <c r="J8" s="440" t="s">
        <v>12</v>
      </c>
      <c r="K8" s="440" t="s">
        <v>108</v>
      </c>
      <c r="L8" s="440" t="s">
        <v>12</v>
      </c>
      <c r="M8" s="440" t="s">
        <v>108</v>
      </c>
      <c r="N8" s="440" t="s">
        <v>12</v>
      </c>
      <c r="O8" s="440" t="s">
        <v>108</v>
      </c>
      <c r="P8" s="440" t="s">
        <v>12</v>
      </c>
      <c r="Q8" s="578"/>
      <c r="R8" s="578"/>
      <c r="S8" s="578"/>
      <c r="T8" s="578"/>
      <c r="U8" s="575"/>
    </row>
    <row r="9" spans="1:27" s="367" customFormat="1" ht="15.75">
      <c r="A9" s="441"/>
      <c r="B9" s="442"/>
      <c r="C9" s="443"/>
      <c r="D9" s="443"/>
      <c r="E9" s="444"/>
      <c r="F9" s="443"/>
      <c r="G9" s="445"/>
      <c r="H9" s="445"/>
      <c r="I9" s="445"/>
      <c r="J9" s="445"/>
      <c r="K9" s="445"/>
      <c r="L9" s="445"/>
      <c r="M9" s="445"/>
      <c r="N9" s="445"/>
      <c r="O9" s="445"/>
      <c r="P9" s="445"/>
      <c r="Q9" s="446"/>
      <c r="R9" s="446"/>
      <c r="S9" s="446"/>
      <c r="T9" s="446"/>
      <c r="U9" s="447"/>
    </row>
    <row r="10" spans="1:27" ht="15.75">
      <c r="A10" s="634" t="s">
        <v>1431</v>
      </c>
      <c r="B10" s="634" t="s">
        <v>1430</v>
      </c>
      <c r="C10" s="327"/>
      <c r="D10" s="327"/>
      <c r="E10" s="327"/>
      <c r="F10" s="327"/>
      <c r="G10" s="357"/>
      <c r="H10" s="358"/>
      <c r="I10" s="357"/>
      <c r="J10" s="358"/>
      <c r="K10" s="357"/>
      <c r="L10" s="358"/>
      <c r="M10" s="357"/>
      <c r="N10" s="358"/>
      <c r="O10" s="403">
        <f t="shared" ref="O10:P10" si="0">G10+I10+K10+M10</f>
        <v>0</v>
      </c>
      <c r="P10" s="401">
        <f t="shared" si="0"/>
        <v>0</v>
      </c>
      <c r="Q10" s="327"/>
      <c r="R10" s="327"/>
      <c r="S10" s="327"/>
      <c r="T10" s="327"/>
      <c r="U10" s="327"/>
    </row>
    <row r="11" spans="1:27" s="367" customFormat="1" ht="15.75">
      <c r="A11" s="634"/>
      <c r="B11" s="634"/>
      <c r="C11" s="327"/>
      <c r="D11" s="327"/>
      <c r="E11" s="327"/>
      <c r="F11" s="327"/>
      <c r="G11" s="357"/>
      <c r="H11" s="358"/>
      <c r="I11" s="357"/>
      <c r="J11" s="358"/>
      <c r="K11" s="357"/>
      <c r="L11" s="358"/>
      <c r="M11" s="357"/>
      <c r="N11" s="358"/>
      <c r="O11" s="403">
        <f t="shared" ref="O11:O28" si="1">G11+I11+K11+M11</f>
        <v>0</v>
      </c>
      <c r="P11" s="401">
        <f t="shared" ref="P11:P28" si="2">H11+J11+L11+N11</f>
        <v>0</v>
      </c>
      <c r="Q11" s="327"/>
      <c r="R11" s="327"/>
      <c r="S11" s="327"/>
      <c r="T11" s="327"/>
      <c r="U11" s="327"/>
    </row>
    <row r="12" spans="1:27" s="367" customFormat="1" ht="15.75">
      <c r="A12" s="634"/>
      <c r="B12" s="634"/>
      <c r="C12" s="327"/>
      <c r="D12" s="327"/>
      <c r="E12" s="327"/>
      <c r="F12" s="327"/>
      <c r="G12" s="357"/>
      <c r="H12" s="358"/>
      <c r="I12" s="357"/>
      <c r="J12" s="358"/>
      <c r="K12" s="357"/>
      <c r="L12" s="358"/>
      <c r="M12" s="357"/>
      <c r="N12" s="358"/>
      <c r="O12" s="403">
        <f t="shared" si="1"/>
        <v>0</v>
      </c>
      <c r="P12" s="401">
        <f t="shared" si="2"/>
        <v>0</v>
      </c>
      <c r="Q12" s="327"/>
      <c r="R12" s="327"/>
      <c r="S12" s="327"/>
      <c r="T12" s="327"/>
      <c r="U12" s="327"/>
    </row>
    <row r="13" spans="1:27" s="367" customFormat="1" ht="15.75">
      <c r="A13" s="634"/>
      <c r="B13" s="634"/>
      <c r="C13" s="327"/>
      <c r="D13" s="327"/>
      <c r="E13" s="327"/>
      <c r="F13" s="327"/>
      <c r="G13" s="357"/>
      <c r="H13" s="358"/>
      <c r="I13" s="357"/>
      <c r="J13" s="358"/>
      <c r="K13" s="357"/>
      <c r="L13" s="358"/>
      <c r="M13" s="357"/>
      <c r="N13" s="358"/>
      <c r="O13" s="403">
        <f t="shared" si="1"/>
        <v>0</v>
      </c>
      <c r="P13" s="401">
        <f t="shared" si="2"/>
        <v>0</v>
      </c>
      <c r="Q13" s="327"/>
      <c r="R13" s="327"/>
      <c r="S13" s="327"/>
      <c r="T13" s="327"/>
      <c r="U13" s="327"/>
    </row>
    <row r="14" spans="1:27" s="367" customFormat="1" ht="15.75">
      <c r="A14" s="634"/>
      <c r="B14" s="634"/>
      <c r="C14" s="327"/>
      <c r="D14" s="327"/>
      <c r="E14" s="327"/>
      <c r="F14" s="327"/>
      <c r="G14" s="357"/>
      <c r="H14" s="358"/>
      <c r="I14" s="357"/>
      <c r="J14" s="358"/>
      <c r="K14" s="357"/>
      <c r="L14" s="358"/>
      <c r="M14" s="357"/>
      <c r="N14" s="358"/>
      <c r="O14" s="403">
        <f t="shared" si="1"/>
        <v>0</v>
      </c>
      <c r="P14" s="401">
        <f t="shared" si="2"/>
        <v>0</v>
      </c>
      <c r="Q14" s="327"/>
      <c r="R14" s="327"/>
      <c r="S14" s="327"/>
      <c r="T14" s="327"/>
      <c r="U14" s="327"/>
    </row>
    <row r="15" spans="1:27" s="367" customFormat="1" ht="15.75">
      <c r="A15" s="634"/>
      <c r="B15" s="634"/>
      <c r="C15" s="327"/>
      <c r="D15" s="327"/>
      <c r="E15" s="327"/>
      <c r="F15" s="327"/>
      <c r="G15" s="357"/>
      <c r="H15" s="358"/>
      <c r="I15" s="357"/>
      <c r="J15" s="358"/>
      <c r="K15" s="357"/>
      <c r="L15" s="358"/>
      <c r="M15" s="357"/>
      <c r="N15" s="358"/>
      <c r="O15" s="403">
        <f t="shared" si="1"/>
        <v>0</v>
      </c>
      <c r="P15" s="401">
        <f t="shared" si="2"/>
        <v>0</v>
      </c>
      <c r="Q15" s="327"/>
      <c r="R15" s="327"/>
      <c r="S15" s="327"/>
      <c r="T15" s="327"/>
      <c r="U15" s="327"/>
    </row>
    <row r="16" spans="1:27" ht="15.75">
      <c r="A16" s="634"/>
      <c r="B16" s="634"/>
      <c r="C16" s="327"/>
      <c r="D16" s="327"/>
      <c r="E16" s="327"/>
      <c r="F16" s="327"/>
      <c r="G16" s="357"/>
      <c r="H16" s="358"/>
      <c r="I16" s="357"/>
      <c r="J16" s="358"/>
      <c r="K16" s="357"/>
      <c r="L16" s="358"/>
      <c r="M16" s="357"/>
      <c r="N16" s="358"/>
      <c r="O16" s="403">
        <f t="shared" si="1"/>
        <v>0</v>
      </c>
      <c r="P16" s="401">
        <f t="shared" si="2"/>
        <v>0</v>
      </c>
      <c r="Q16" s="327"/>
      <c r="R16" s="327"/>
      <c r="S16" s="327"/>
      <c r="T16" s="327"/>
      <c r="U16" s="327"/>
    </row>
    <row r="17" spans="1:21" s="367" customFormat="1" ht="15.75">
      <c r="A17" s="589" t="s">
        <v>1433</v>
      </c>
      <c r="B17" s="589" t="s">
        <v>117</v>
      </c>
      <c r="C17" s="327"/>
      <c r="D17" s="327"/>
      <c r="E17" s="327"/>
      <c r="F17" s="327"/>
      <c r="G17" s="357"/>
      <c r="H17" s="358"/>
      <c r="I17" s="357"/>
      <c r="J17" s="358"/>
      <c r="K17" s="357"/>
      <c r="L17" s="358"/>
      <c r="M17" s="357"/>
      <c r="N17" s="358"/>
      <c r="O17" s="403">
        <f t="shared" si="1"/>
        <v>0</v>
      </c>
      <c r="P17" s="401">
        <f t="shared" si="2"/>
        <v>0</v>
      </c>
      <c r="Q17" s="327"/>
      <c r="R17" s="327"/>
      <c r="S17" s="327"/>
      <c r="T17" s="327"/>
      <c r="U17" s="327"/>
    </row>
    <row r="18" spans="1:21" s="367" customFormat="1" ht="15.75">
      <c r="A18" s="590"/>
      <c r="B18" s="590"/>
      <c r="C18" s="327"/>
      <c r="D18" s="327"/>
      <c r="E18" s="327"/>
      <c r="F18" s="327"/>
      <c r="G18" s="357"/>
      <c r="H18" s="358"/>
      <c r="I18" s="357"/>
      <c r="J18" s="358"/>
      <c r="K18" s="357"/>
      <c r="L18" s="358"/>
      <c r="M18" s="357"/>
      <c r="N18" s="358"/>
      <c r="O18" s="403">
        <f t="shared" si="1"/>
        <v>0</v>
      </c>
      <c r="P18" s="401">
        <f t="shared" si="2"/>
        <v>0</v>
      </c>
      <c r="Q18" s="327"/>
      <c r="R18" s="327"/>
      <c r="S18" s="327"/>
      <c r="T18" s="327"/>
      <c r="U18" s="327"/>
    </row>
    <row r="19" spans="1:21" s="367" customFormat="1" ht="15.75">
      <c r="A19" s="590"/>
      <c r="B19" s="590"/>
      <c r="C19" s="327"/>
      <c r="D19" s="327"/>
      <c r="E19" s="327"/>
      <c r="F19" s="327"/>
      <c r="G19" s="357"/>
      <c r="H19" s="358"/>
      <c r="I19" s="357"/>
      <c r="J19" s="358"/>
      <c r="K19" s="357"/>
      <c r="L19" s="358"/>
      <c r="M19" s="357"/>
      <c r="N19" s="358"/>
      <c r="O19" s="403">
        <f t="shared" si="1"/>
        <v>0</v>
      </c>
      <c r="P19" s="401">
        <f t="shared" si="2"/>
        <v>0</v>
      </c>
      <c r="Q19" s="327"/>
      <c r="R19" s="327"/>
      <c r="S19" s="327"/>
      <c r="T19" s="327"/>
      <c r="U19" s="327"/>
    </row>
    <row r="20" spans="1:21" s="367" customFormat="1" ht="15.75">
      <c r="A20" s="590"/>
      <c r="B20" s="590"/>
      <c r="C20" s="327"/>
      <c r="D20" s="327"/>
      <c r="E20" s="327"/>
      <c r="F20" s="327"/>
      <c r="G20" s="357"/>
      <c r="H20" s="358"/>
      <c r="I20" s="357"/>
      <c r="J20" s="358"/>
      <c r="K20" s="357"/>
      <c r="L20" s="358"/>
      <c r="M20" s="357"/>
      <c r="N20" s="358"/>
      <c r="O20" s="403">
        <f t="shared" si="1"/>
        <v>0</v>
      </c>
      <c r="P20" s="401">
        <f t="shared" si="2"/>
        <v>0</v>
      </c>
      <c r="Q20" s="327"/>
      <c r="R20" s="327"/>
      <c r="S20" s="327"/>
      <c r="T20" s="327"/>
      <c r="U20" s="327"/>
    </row>
    <row r="21" spans="1:21" s="367" customFormat="1" ht="15.75">
      <c r="A21" s="590"/>
      <c r="B21" s="590"/>
      <c r="C21" s="327"/>
      <c r="D21" s="327"/>
      <c r="E21" s="327"/>
      <c r="F21" s="327"/>
      <c r="G21" s="357"/>
      <c r="H21" s="358"/>
      <c r="I21" s="357"/>
      <c r="J21" s="358"/>
      <c r="K21" s="357"/>
      <c r="L21" s="358"/>
      <c r="M21" s="357"/>
      <c r="N21" s="358"/>
      <c r="O21" s="403">
        <f t="shared" si="1"/>
        <v>0</v>
      </c>
      <c r="P21" s="401">
        <f t="shared" si="2"/>
        <v>0</v>
      </c>
      <c r="Q21" s="327"/>
      <c r="R21" s="327"/>
      <c r="S21" s="327"/>
      <c r="T21" s="327"/>
      <c r="U21" s="327"/>
    </row>
    <row r="22" spans="1:21" s="367" customFormat="1" ht="15.75">
      <c r="A22" s="591"/>
      <c r="B22" s="591"/>
      <c r="C22" s="327"/>
      <c r="D22" s="327"/>
      <c r="E22" s="327"/>
      <c r="F22" s="327"/>
      <c r="G22" s="357"/>
      <c r="H22" s="358"/>
      <c r="I22" s="357"/>
      <c r="J22" s="358"/>
      <c r="K22" s="357"/>
      <c r="L22" s="358"/>
      <c r="M22" s="357"/>
      <c r="N22" s="358"/>
      <c r="O22" s="403">
        <f t="shared" si="1"/>
        <v>0</v>
      </c>
      <c r="P22" s="401">
        <f t="shared" si="2"/>
        <v>0</v>
      </c>
      <c r="Q22" s="327"/>
      <c r="R22" s="327"/>
      <c r="S22" s="327"/>
      <c r="T22" s="327"/>
      <c r="U22" s="327"/>
    </row>
    <row r="23" spans="1:21" s="367" customFormat="1" ht="15.75">
      <c r="A23" s="634" t="s">
        <v>1434</v>
      </c>
      <c r="B23" s="589"/>
      <c r="C23" s="327"/>
      <c r="D23" s="327"/>
      <c r="E23" s="327"/>
      <c r="F23" s="327"/>
      <c r="G23" s="357"/>
      <c r="H23" s="358"/>
      <c r="I23" s="357"/>
      <c r="J23" s="358"/>
      <c r="K23" s="357"/>
      <c r="L23" s="358"/>
      <c r="M23" s="357"/>
      <c r="N23" s="358"/>
      <c r="O23" s="403">
        <f t="shared" si="1"/>
        <v>0</v>
      </c>
      <c r="P23" s="401">
        <f t="shared" si="2"/>
        <v>0</v>
      </c>
      <c r="Q23" s="327"/>
      <c r="R23" s="327"/>
      <c r="S23" s="327"/>
      <c r="T23" s="327"/>
      <c r="U23" s="327"/>
    </row>
    <row r="24" spans="1:21" s="367" customFormat="1" ht="15.75">
      <c r="A24" s="634"/>
      <c r="B24" s="590"/>
      <c r="C24" s="327"/>
      <c r="D24" s="327"/>
      <c r="E24" s="327"/>
      <c r="F24" s="327"/>
      <c r="G24" s="357"/>
      <c r="H24" s="358"/>
      <c r="I24" s="357"/>
      <c r="J24" s="358"/>
      <c r="K24" s="357"/>
      <c r="L24" s="358"/>
      <c r="M24" s="357"/>
      <c r="N24" s="358"/>
      <c r="O24" s="403">
        <f t="shared" si="1"/>
        <v>0</v>
      </c>
      <c r="P24" s="401">
        <f t="shared" si="2"/>
        <v>0</v>
      </c>
      <c r="Q24" s="327"/>
      <c r="R24" s="327"/>
      <c r="S24" s="327"/>
      <c r="T24" s="327"/>
      <c r="U24" s="327"/>
    </row>
    <row r="25" spans="1:21" s="367" customFormat="1" ht="15.75">
      <c r="A25" s="634"/>
      <c r="B25" s="590"/>
      <c r="C25" s="327"/>
      <c r="D25" s="327"/>
      <c r="E25" s="327"/>
      <c r="F25" s="327"/>
      <c r="G25" s="357"/>
      <c r="H25" s="358"/>
      <c r="I25" s="357"/>
      <c r="J25" s="358"/>
      <c r="K25" s="357"/>
      <c r="L25" s="358"/>
      <c r="M25" s="357"/>
      <c r="N25" s="358"/>
      <c r="O25" s="403">
        <f t="shared" si="1"/>
        <v>0</v>
      </c>
      <c r="P25" s="401">
        <f t="shared" si="2"/>
        <v>0</v>
      </c>
      <c r="Q25" s="327"/>
      <c r="R25" s="327"/>
      <c r="S25" s="327"/>
      <c r="T25" s="327"/>
      <c r="U25" s="327"/>
    </row>
    <row r="26" spans="1:21" s="367" customFormat="1" ht="15.75">
      <c r="A26" s="634"/>
      <c r="B26" s="590"/>
      <c r="C26" s="327"/>
      <c r="D26" s="327"/>
      <c r="E26" s="327"/>
      <c r="F26" s="327"/>
      <c r="G26" s="357"/>
      <c r="H26" s="358"/>
      <c r="I26" s="357"/>
      <c r="J26" s="358"/>
      <c r="K26" s="357"/>
      <c r="L26" s="358"/>
      <c r="M26" s="357"/>
      <c r="N26" s="358"/>
      <c r="O26" s="403">
        <f t="shared" si="1"/>
        <v>0</v>
      </c>
      <c r="P26" s="401">
        <f t="shared" si="2"/>
        <v>0</v>
      </c>
      <c r="Q26" s="327"/>
      <c r="R26" s="327"/>
      <c r="S26" s="327"/>
      <c r="T26" s="327"/>
      <c r="U26" s="327"/>
    </row>
    <row r="27" spans="1:21" s="367" customFormat="1" ht="15.75">
      <c r="A27" s="634"/>
      <c r="B27" s="590"/>
      <c r="C27" s="327"/>
      <c r="D27" s="327"/>
      <c r="E27" s="327"/>
      <c r="F27" s="327"/>
      <c r="G27" s="357"/>
      <c r="H27" s="358"/>
      <c r="I27" s="357"/>
      <c r="J27" s="358"/>
      <c r="K27" s="357"/>
      <c r="L27" s="358"/>
      <c r="M27" s="357"/>
      <c r="N27" s="358"/>
      <c r="O27" s="403">
        <f t="shared" si="1"/>
        <v>0</v>
      </c>
      <c r="P27" s="401">
        <f t="shared" si="2"/>
        <v>0</v>
      </c>
      <c r="Q27" s="327"/>
      <c r="R27" s="327"/>
      <c r="S27" s="327"/>
      <c r="T27" s="327"/>
      <c r="U27" s="327"/>
    </row>
    <row r="28" spans="1:21" ht="15.75">
      <c r="A28" s="634"/>
      <c r="B28" s="591"/>
      <c r="C28" s="327"/>
      <c r="D28" s="327"/>
      <c r="E28" s="327"/>
      <c r="F28" s="327"/>
      <c r="G28" s="327"/>
      <c r="H28" s="358"/>
      <c r="I28" s="327"/>
      <c r="J28" s="358"/>
      <c r="K28" s="327"/>
      <c r="L28" s="358"/>
      <c r="M28" s="327"/>
      <c r="N28" s="358"/>
      <c r="O28" s="403">
        <f t="shared" si="1"/>
        <v>0</v>
      </c>
      <c r="P28" s="401">
        <f t="shared" si="2"/>
        <v>0</v>
      </c>
      <c r="Q28" s="327"/>
      <c r="R28" s="71"/>
      <c r="S28" s="327"/>
      <c r="T28" s="327"/>
      <c r="U28" s="327"/>
    </row>
    <row r="29" spans="1:21" ht="15.7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topLeftCell="C1" zoomScale="80" zoomScaleNormal="80" workbookViewId="0">
      <pane ySplit="8" topLeftCell="A9" activePane="bottomLeft" state="frozen"/>
      <selection activeCell="K7" sqref="K7"/>
      <selection pane="bottomLeft" activeCell="E1" sqref="E1:L1"/>
    </sheetView>
  </sheetViews>
  <sheetFormatPr baseColWidth="10" defaultRowHeight="1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c r="A1" s="409"/>
      <c r="B1" s="409"/>
      <c r="C1" s="409"/>
      <c r="D1" s="409"/>
      <c r="E1" s="635" t="s">
        <v>1479</v>
      </c>
      <c r="F1" s="635"/>
      <c r="G1" s="635"/>
      <c r="H1" s="635"/>
      <c r="I1" s="635"/>
      <c r="J1" s="635"/>
      <c r="K1" s="635"/>
      <c r="L1" s="635"/>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c r="A2" s="408" t="s">
        <v>1354</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c r="A3" s="408" t="s">
        <v>1485</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c r="A4" s="408" t="s">
        <v>1496</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customHeight="1">
      <c r="A5" s="412" t="s">
        <v>1486</v>
      </c>
      <c r="B5" s="413"/>
      <c r="C5" s="413"/>
      <c r="D5" s="413"/>
      <c r="E5" s="413"/>
      <c r="F5" s="413"/>
      <c r="G5" s="413"/>
      <c r="H5" s="413"/>
      <c r="I5" s="413"/>
      <c r="J5" s="413"/>
      <c r="K5" s="413"/>
      <c r="L5" s="413"/>
      <c r="M5" s="413"/>
      <c r="N5" s="413"/>
      <c r="O5" s="413"/>
      <c r="P5" s="413"/>
      <c r="Q5" s="413"/>
      <c r="R5" s="413"/>
      <c r="S5" s="413"/>
      <c r="T5" s="413"/>
      <c r="U5" s="413"/>
    </row>
    <row r="6" spans="1:42" ht="15" customHeight="1">
      <c r="A6" s="577" t="s">
        <v>97</v>
      </c>
      <c r="B6" s="576" t="s">
        <v>111</v>
      </c>
      <c r="C6" s="579" t="s">
        <v>86</v>
      </c>
      <c r="D6" s="579" t="s">
        <v>87</v>
      </c>
      <c r="E6" s="579" t="s">
        <v>392</v>
      </c>
      <c r="F6" s="579" t="s">
        <v>88</v>
      </c>
      <c r="G6" s="582" t="s">
        <v>100</v>
      </c>
      <c r="H6" s="588"/>
      <c r="I6" s="588"/>
      <c r="J6" s="588"/>
      <c r="K6" s="588"/>
      <c r="L6" s="588"/>
      <c r="M6" s="588"/>
      <c r="N6" s="583"/>
      <c r="O6" s="584" t="s">
        <v>101</v>
      </c>
      <c r="P6" s="585"/>
      <c r="Q6" s="576" t="s">
        <v>102</v>
      </c>
      <c r="R6" s="576" t="s">
        <v>103</v>
      </c>
      <c r="S6" s="576" t="s">
        <v>110</v>
      </c>
      <c r="T6" s="576" t="s">
        <v>109</v>
      </c>
      <c r="U6" s="573" t="s">
        <v>89</v>
      </c>
    </row>
    <row r="7" spans="1:42" ht="15" customHeight="1">
      <c r="A7" s="577"/>
      <c r="B7" s="577"/>
      <c r="C7" s="580"/>
      <c r="D7" s="580"/>
      <c r="E7" s="580"/>
      <c r="F7" s="580"/>
      <c r="G7" s="582" t="s">
        <v>104</v>
      </c>
      <c r="H7" s="583"/>
      <c r="I7" s="582" t="s">
        <v>105</v>
      </c>
      <c r="J7" s="583"/>
      <c r="K7" s="582" t="s">
        <v>106</v>
      </c>
      <c r="L7" s="583"/>
      <c r="M7" s="582" t="s">
        <v>107</v>
      </c>
      <c r="N7" s="583"/>
      <c r="O7" s="586"/>
      <c r="P7" s="587"/>
      <c r="Q7" s="577"/>
      <c r="R7" s="577"/>
      <c r="S7" s="577"/>
      <c r="T7" s="577"/>
      <c r="U7" s="574"/>
    </row>
    <row r="8" spans="1:42" ht="25.5">
      <c r="A8" s="578"/>
      <c r="B8" s="578"/>
      <c r="C8" s="581"/>
      <c r="D8" s="581"/>
      <c r="E8" s="581"/>
      <c r="F8" s="581"/>
      <c r="G8" s="440" t="s">
        <v>108</v>
      </c>
      <c r="H8" s="440" t="s">
        <v>12</v>
      </c>
      <c r="I8" s="440" t="s">
        <v>108</v>
      </c>
      <c r="J8" s="440" t="s">
        <v>12</v>
      </c>
      <c r="K8" s="440" t="s">
        <v>108</v>
      </c>
      <c r="L8" s="440" t="s">
        <v>12</v>
      </c>
      <c r="M8" s="440" t="s">
        <v>108</v>
      </c>
      <c r="N8" s="440" t="s">
        <v>12</v>
      </c>
      <c r="O8" s="440" t="s">
        <v>108</v>
      </c>
      <c r="P8" s="440" t="s">
        <v>12</v>
      </c>
      <c r="Q8" s="578"/>
      <c r="R8" s="578"/>
      <c r="S8" s="578"/>
      <c r="T8" s="578"/>
      <c r="U8" s="575"/>
    </row>
    <row r="9" spans="1:42" ht="15.75">
      <c r="A9" s="441"/>
      <c r="B9" s="442"/>
      <c r="C9" s="443"/>
      <c r="D9" s="443"/>
      <c r="E9" s="444"/>
      <c r="F9" s="443"/>
      <c r="G9" s="445"/>
      <c r="H9" s="445"/>
      <c r="I9" s="445"/>
      <c r="J9" s="445"/>
      <c r="K9" s="445"/>
      <c r="L9" s="445"/>
      <c r="M9" s="445"/>
      <c r="N9" s="445"/>
      <c r="O9" s="445"/>
      <c r="P9" s="445"/>
      <c r="Q9" s="446"/>
      <c r="R9" s="446"/>
      <c r="S9" s="446"/>
      <c r="T9" s="446"/>
      <c r="U9" s="447"/>
    </row>
    <row r="10" spans="1:42" ht="15.75" customHeight="1">
      <c r="A10" s="589" t="s">
        <v>1487</v>
      </c>
      <c r="B10" s="589" t="s">
        <v>1488</v>
      </c>
      <c r="C10" s="327"/>
      <c r="D10" s="327"/>
      <c r="E10" s="327"/>
      <c r="F10" s="327"/>
      <c r="G10" s="357"/>
      <c r="H10" s="358"/>
      <c r="I10" s="357"/>
      <c r="J10" s="358"/>
      <c r="K10" s="357"/>
      <c r="L10" s="358"/>
      <c r="M10" s="357"/>
      <c r="N10" s="358"/>
      <c r="O10" s="403">
        <f t="shared" ref="O10:P62" si="0">G10+I10+K10+M10</f>
        <v>0</v>
      </c>
      <c r="P10" s="401">
        <f t="shared" si="0"/>
        <v>0</v>
      </c>
      <c r="Q10" s="327"/>
      <c r="R10" s="327"/>
      <c r="S10" s="327"/>
      <c r="T10" s="327"/>
      <c r="U10" s="327"/>
    </row>
    <row r="11" spans="1:42" ht="15.75">
      <c r="A11" s="590"/>
      <c r="B11" s="590"/>
      <c r="C11" s="327"/>
      <c r="D11" s="327"/>
      <c r="E11" s="327"/>
      <c r="F11" s="327"/>
      <c r="G11" s="357"/>
      <c r="H11" s="358"/>
      <c r="I11" s="357"/>
      <c r="J11" s="358"/>
      <c r="K11" s="357"/>
      <c r="L11" s="358"/>
      <c r="M11" s="357"/>
      <c r="N11" s="358"/>
      <c r="O11" s="403">
        <f t="shared" si="0"/>
        <v>0</v>
      </c>
      <c r="P11" s="401">
        <f t="shared" si="0"/>
        <v>0</v>
      </c>
      <c r="Q11" s="327"/>
      <c r="R11" s="327"/>
      <c r="S11" s="327"/>
      <c r="T11" s="327"/>
      <c r="U11" s="327"/>
    </row>
    <row r="12" spans="1:42" ht="15.75">
      <c r="A12" s="590"/>
      <c r="B12" s="590"/>
      <c r="C12" s="327"/>
      <c r="D12" s="327"/>
      <c r="E12" s="327"/>
      <c r="F12" s="327"/>
      <c r="G12" s="357"/>
      <c r="H12" s="358"/>
      <c r="I12" s="357"/>
      <c r="J12" s="358"/>
      <c r="K12" s="357"/>
      <c r="L12" s="358"/>
      <c r="M12" s="357"/>
      <c r="N12" s="358"/>
      <c r="O12" s="403">
        <f t="shared" si="0"/>
        <v>0</v>
      </c>
      <c r="P12" s="401">
        <f t="shared" si="0"/>
        <v>0</v>
      </c>
      <c r="Q12" s="327"/>
      <c r="R12" s="327"/>
      <c r="S12" s="327"/>
      <c r="T12" s="327"/>
      <c r="U12" s="327"/>
    </row>
    <row r="13" spans="1:42" ht="15.75">
      <c r="A13" s="590"/>
      <c r="B13" s="590"/>
      <c r="C13" s="327"/>
      <c r="D13" s="327"/>
      <c r="E13" s="327"/>
      <c r="F13" s="327"/>
      <c r="G13" s="357"/>
      <c r="H13" s="358"/>
      <c r="I13" s="357"/>
      <c r="J13" s="358"/>
      <c r="K13" s="357"/>
      <c r="L13" s="358"/>
      <c r="M13" s="357"/>
      <c r="N13" s="358"/>
      <c r="O13" s="403">
        <f t="shared" ref="O13:O25" si="1">G13+I13+K13+M13</f>
        <v>0</v>
      </c>
      <c r="P13" s="401">
        <f t="shared" ref="P13:P25" si="2">H13+J13+L13+N13</f>
        <v>0</v>
      </c>
      <c r="Q13" s="327"/>
      <c r="R13" s="327"/>
      <c r="S13" s="327"/>
      <c r="T13" s="327"/>
      <c r="U13" s="327"/>
    </row>
    <row r="14" spans="1:42" ht="15.75">
      <c r="A14" s="590"/>
      <c r="B14" s="590"/>
      <c r="C14" s="327"/>
      <c r="D14" s="327"/>
      <c r="E14" s="327"/>
      <c r="F14" s="327"/>
      <c r="G14" s="357"/>
      <c r="H14" s="358"/>
      <c r="I14" s="357"/>
      <c r="J14" s="358"/>
      <c r="K14" s="357"/>
      <c r="L14" s="358"/>
      <c r="M14" s="357"/>
      <c r="N14" s="358"/>
      <c r="O14" s="403">
        <f t="shared" si="1"/>
        <v>0</v>
      </c>
      <c r="P14" s="401">
        <f t="shared" si="2"/>
        <v>0</v>
      </c>
      <c r="Q14" s="327"/>
      <c r="R14" s="327"/>
      <c r="S14" s="327"/>
      <c r="T14" s="327"/>
      <c r="U14" s="327"/>
    </row>
    <row r="15" spans="1:42" ht="15.75">
      <c r="A15" s="590"/>
      <c r="B15" s="590"/>
      <c r="C15" s="327"/>
      <c r="D15" s="327"/>
      <c r="E15" s="327"/>
      <c r="F15" s="327"/>
      <c r="G15" s="357"/>
      <c r="H15" s="358"/>
      <c r="I15" s="357"/>
      <c r="J15" s="358"/>
      <c r="K15" s="357"/>
      <c r="L15" s="358"/>
      <c r="M15" s="357"/>
      <c r="N15" s="358"/>
      <c r="O15" s="403">
        <f t="shared" si="1"/>
        <v>0</v>
      </c>
      <c r="P15" s="401">
        <f t="shared" si="2"/>
        <v>0</v>
      </c>
      <c r="Q15" s="327"/>
      <c r="R15" s="327"/>
      <c r="S15" s="327"/>
      <c r="T15" s="327"/>
      <c r="U15" s="327"/>
    </row>
    <row r="16" spans="1:42" ht="15.75">
      <c r="A16" s="590"/>
      <c r="B16" s="590"/>
      <c r="C16" s="327"/>
      <c r="D16" s="327"/>
      <c r="E16" s="327"/>
      <c r="F16" s="327"/>
      <c r="G16" s="357"/>
      <c r="H16" s="358"/>
      <c r="I16" s="357"/>
      <c r="J16" s="358"/>
      <c r="K16" s="357"/>
      <c r="L16" s="358"/>
      <c r="M16" s="357"/>
      <c r="N16" s="358"/>
      <c r="O16" s="403">
        <f t="shared" si="1"/>
        <v>0</v>
      </c>
      <c r="P16" s="401">
        <f t="shared" si="2"/>
        <v>0</v>
      </c>
      <c r="Q16" s="327"/>
      <c r="R16" s="327"/>
      <c r="S16" s="327"/>
      <c r="T16" s="327"/>
      <c r="U16" s="327"/>
    </row>
    <row r="17" spans="1:21" ht="15.75">
      <c r="A17" s="590"/>
      <c r="B17" s="591"/>
      <c r="C17" s="327"/>
      <c r="D17" s="327"/>
      <c r="E17" s="327"/>
      <c r="F17" s="327"/>
      <c r="G17" s="357"/>
      <c r="H17" s="358"/>
      <c r="I17" s="357"/>
      <c r="J17" s="358"/>
      <c r="K17" s="357"/>
      <c r="L17" s="358"/>
      <c r="M17" s="357"/>
      <c r="N17" s="358"/>
      <c r="O17" s="403">
        <f t="shared" si="1"/>
        <v>0</v>
      </c>
      <c r="P17" s="401">
        <f t="shared" si="2"/>
        <v>0</v>
      </c>
      <c r="Q17" s="327"/>
      <c r="R17" s="327"/>
      <c r="S17" s="327"/>
      <c r="T17" s="327"/>
      <c r="U17" s="327"/>
    </row>
    <row r="18" spans="1:21" ht="15.75">
      <c r="A18" s="590"/>
      <c r="B18" s="589" t="s">
        <v>1489</v>
      </c>
      <c r="C18" s="327"/>
      <c r="D18" s="327"/>
      <c r="E18" s="327"/>
      <c r="F18" s="327"/>
      <c r="G18" s="357"/>
      <c r="H18" s="358"/>
      <c r="I18" s="357"/>
      <c r="J18" s="358"/>
      <c r="K18" s="357"/>
      <c r="L18" s="358"/>
      <c r="M18" s="357"/>
      <c r="N18" s="358"/>
      <c r="O18" s="403">
        <f t="shared" si="1"/>
        <v>0</v>
      </c>
      <c r="P18" s="401">
        <f t="shared" si="2"/>
        <v>0</v>
      </c>
      <c r="Q18" s="327"/>
      <c r="R18" s="327"/>
      <c r="S18" s="327"/>
      <c r="T18" s="327"/>
      <c r="U18" s="327"/>
    </row>
    <row r="19" spans="1:21" ht="15.75">
      <c r="A19" s="590"/>
      <c r="B19" s="590"/>
      <c r="C19" s="327"/>
      <c r="D19" s="327"/>
      <c r="E19" s="327"/>
      <c r="F19" s="327"/>
      <c r="G19" s="357"/>
      <c r="H19" s="358"/>
      <c r="I19" s="357"/>
      <c r="J19" s="358"/>
      <c r="K19" s="357"/>
      <c r="L19" s="358"/>
      <c r="M19" s="357"/>
      <c r="N19" s="358"/>
      <c r="O19" s="403"/>
      <c r="P19" s="401"/>
      <c r="Q19" s="327"/>
      <c r="R19" s="327"/>
      <c r="S19" s="327"/>
      <c r="T19" s="327"/>
      <c r="U19" s="327"/>
    </row>
    <row r="20" spans="1:21" ht="15.75">
      <c r="A20" s="590"/>
      <c r="B20" s="590"/>
      <c r="C20" s="327"/>
      <c r="D20" s="327"/>
      <c r="E20" s="327"/>
      <c r="F20" s="327"/>
      <c r="G20" s="357"/>
      <c r="H20" s="358"/>
      <c r="I20" s="357"/>
      <c r="J20" s="358"/>
      <c r="K20" s="357"/>
      <c r="L20" s="358"/>
      <c r="M20" s="357"/>
      <c r="N20" s="358"/>
      <c r="O20" s="403"/>
      <c r="P20" s="401"/>
      <c r="Q20" s="327"/>
      <c r="R20" s="327"/>
      <c r="S20" s="327"/>
      <c r="T20" s="327"/>
      <c r="U20" s="327"/>
    </row>
    <row r="21" spans="1:21" ht="15.75">
      <c r="A21" s="590"/>
      <c r="B21" s="590"/>
      <c r="C21" s="327"/>
      <c r="D21" s="327"/>
      <c r="E21" s="327"/>
      <c r="F21" s="327"/>
      <c r="G21" s="357"/>
      <c r="H21" s="358"/>
      <c r="I21" s="357"/>
      <c r="J21" s="358"/>
      <c r="K21" s="357"/>
      <c r="L21" s="358"/>
      <c r="M21" s="357"/>
      <c r="N21" s="358"/>
      <c r="O21" s="403"/>
      <c r="P21" s="401"/>
      <c r="Q21" s="327"/>
      <c r="R21" s="327"/>
      <c r="S21" s="327"/>
      <c r="T21" s="327"/>
      <c r="U21" s="327"/>
    </row>
    <row r="22" spans="1:21" ht="15.75">
      <c r="A22" s="590"/>
      <c r="B22" s="590"/>
      <c r="C22" s="327"/>
      <c r="D22" s="327"/>
      <c r="E22" s="327"/>
      <c r="F22" s="327"/>
      <c r="G22" s="357"/>
      <c r="H22" s="358"/>
      <c r="I22" s="357"/>
      <c r="J22" s="358"/>
      <c r="K22" s="357"/>
      <c r="L22" s="358"/>
      <c r="M22" s="357"/>
      <c r="N22" s="358"/>
      <c r="O22" s="403"/>
      <c r="P22" s="401"/>
      <c r="Q22" s="327"/>
      <c r="R22" s="327"/>
      <c r="S22" s="327"/>
      <c r="T22" s="327"/>
      <c r="U22" s="327"/>
    </row>
    <row r="23" spans="1:21" ht="15.75">
      <c r="A23" s="590"/>
      <c r="B23" s="590"/>
      <c r="C23" s="327"/>
      <c r="D23" s="327"/>
      <c r="E23" s="327"/>
      <c r="F23" s="327"/>
      <c r="G23" s="357"/>
      <c r="H23" s="358"/>
      <c r="I23" s="357"/>
      <c r="J23" s="358"/>
      <c r="K23" s="357"/>
      <c r="L23" s="358"/>
      <c r="M23" s="357"/>
      <c r="N23" s="358"/>
      <c r="O23" s="403">
        <f t="shared" si="1"/>
        <v>0</v>
      </c>
      <c r="P23" s="401">
        <f t="shared" si="2"/>
        <v>0</v>
      </c>
      <c r="Q23" s="327"/>
      <c r="R23" s="327"/>
      <c r="S23" s="327"/>
      <c r="T23" s="327"/>
      <c r="U23" s="327"/>
    </row>
    <row r="24" spans="1:21" ht="15.75">
      <c r="A24" s="590"/>
      <c r="B24" s="591"/>
      <c r="C24" s="327"/>
      <c r="D24" s="327"/>
      <c r="E24" s="327"/>
      <c r="F24" s="327"/>
      <c r="G24" s="357"/>
      <c r="H24" s="358"/>
      <c r="I24" s="357"/>
      <c r="J24" s="358"/>
      <c r="K24" s="357"/>
      <c r="L24" s="358"/>
      <c r="M24" s="357"/>
      <c r="N24" s="358"/>
      <c r="O24" s="403">
        <f t="shared" si="1"/>
        <v>0</v>
      </c>
      <c r="P24" s="401">
        <f t="shared" si="2"/>
        <v>0</v>
      </c>
      <c r="Q24" s="327"/>
      <c r="R24" s="327"/>
      <c r="S24" s="327"/>
      <c r="T24" s="327"/>
      <c r="U24" s="327"/>
    </row>
    <row r="25" spans="1:21" ht="15.75">
      <c r="A25" s="590"/>
      <c r="B25" s="589" t="s">
        <v>1490</v>
      </c>
      <c r="C25" s="327"/>
      <c r="D25" s="327"/>
      <c r="E25" s="327"/>
      <c r="F25" s="327"/>
      <c r="G25" s="357"/>
      <c r="H25" s="358"/>
      <c r="I25" s="357"/>
      <c r="J25" s="358"/>
      <c r="K25" s="357"/>
      <c r="L25" s="358"/>
      <c r="M25" s="357"/>
      <c r="N25" s="358"/>
      <c r="O25" s="403">
        <f t="shared" si="1"/>
        <v>0</v>
      </c>
      <c r="P25" s="401">
        <f t="shared" si="2"/>
        <v>0</v>
      </c>
      <c r="Q25" s="327"/>
      <c r="R25" s="327"/>
      <c r="S25" s="327"/>
      <c r="T25" s="327"/>
      <c r="U25" s="327"/>
    </row>
    <row r="26" spans="1:21" ht="15.75">
      <c r="A26" s="590"/>
      <c r="B26" s="590"/>
      <c r="C26" s="327"/>
      <c r="D26" s="327"/>
      <c r="E26" s="327"/>
      <c r="F26" s="327"/>
      <c r="G26" s="357"/>
      <c r="H26" s="358"/>
      <c r="I26" s="357"/>
      <c r="J26" s="358"/>
      <c r="K26" s="357"/>
      <c r="L26" s="358"/>
      <c r="M26" s="357"/>
      <c r="N26" s="358"/>
      <c r="O26" s="403">
        <f t="shared" si="0"/>
        <v>0</v>
      </c>
      <c r="P26" s="401">
        <f t="shared" si="0"/>
        <v>0</v>
      </c>
      <c r="Q26" s="327"/>
      <c r="R26" s="327"/>
      <c r="S26" s="327"/>
      <c r="T26" s="327"/>
      <c r="U26" s="327"/>
    </row>
    <row r="27" spans="1:21" ht="15.75">
      <c r="A27" s="590"/>
      <c r="B27" s="590"/>
      <c r="C27" s="327"/>
      <c r="D27" s="327"/>
      <c r="E27" s="327"/>
      <c r="F27" s="327"/>
      <c r="G27" s="357"/>
      <c r="H27" s="358"/>
      <c r="I27" s="357"/>
      <c r="J27" s="358"/>
      <c r="K27" s="357"/>
      <c r="L27" s="358"/>
      <c r="M27" s="357"/>
      <c r="N27" s="358"/>
      <c r="O27" s="403">
        <f t="shared" si="0"/>
        <v>0</v>
      </c>
      <c r="P27" s="401">
        <f t="shared" si="0"/>
        <v>0</v>
      </c>
      <c r="Q27" s="327"/>
      <c r="R27" s="327"/>
      <c r="S27" s="327"/>
      <c r="T27" s="327"/>
      <c r="U27" s="327"/>
    </row>
    <row r="28" spans="1:21" ht="15.75">
      <c r="A28" s="590"/>
      <c r="B28" s="591"/>
      <c r="C28" s="327"/>
      <c r="D28" s="327"/>
      <c r="E28" s="327"/>
      <c r="F28" s="327"/>
      <c r="G28" s="357"/>
      <c r="H28" s="358"/>
      <c r="I28" s="357"/>
      <c r="J28" s="358"/>
      <c r="K28" s="357"/>
      <c r="L28" s="358"/>
      <c r="M28" s="357"/>
      <c r="N28" s="358"/>
      <c r="O28" s="403">
        <f t="shared" si="0"/>
        <v>0</v>
      </c>
      <c r="P28" s="401">
        <f t="shared" si="0"/>
        <v>0</v>
      </c>
      <c r="Q28" s="327"/>
      <c r="R28" s="327"/>
      <c r="S28" s="327"/>
      <c r="T28" s="327"/>
      <c r="U28" s="327"/>
    </row>
    <row r="29" spans="1:21" ht="15.75">
      <c r="A29" s="590"/>
      <c r="B29" s="589" t="s">
        <v>1491</v>
      </c>
      <c r="C29" s="327"/>
      <c r="D29" s="327"/>
      <c r="E29" s="327"/>
      <c r="F29" s="327"/>
      <c r="G29" s="357"/>
      <c r="H29" s="358"/>
      <c r="I29" s="357"/>
      <c r="J29" s="358"/>
      <c r="K29" s="357"/>
      <c r="L29" s="358"/>
      <c r="M29" s="357"/>
      <c r="N29" s="358"/>
      <c r="O29" s="403">
        <f t="shared" si="0"/>
        <v>0</v>
      </c>
      <c r="P29" s="401">
        <f t="shared" si="0"/>
        <v>0</v>
      </c>
      <c r="Q29" s="327"/>
      <c r="R29" s="327"/>
      <c r="S29" s="327"/>
      <c r="T29" s="327"/>
      <c r="U29" s="327"/>
    </row>
    <row r="30" spans="1:21" ht="15.75">
      <c r="A30" s="590"/>
      <c r="B30" s="590"/>
      <c r="C30" s="327"/>
      <c r="D30" s="327"/>
      <c r="E30" s="327"/>
      <c r="F30" s="327"/>
      <c r="G30" s="357"/>
      <c r="H30" s="358"/>
      <c r="I30" s="357"/>
      <c r="J30" s="358"/>
      <c r="K30" s="357"/>
      <c r="L30" s="358"/>
      <c r="M30" s="357"/>
      <c r="N30" s="358"/>
      <c r="O30" s="403">
        <f t="shared" si="0"/>
        <v>0</v>
      </c>
      <c r="P30" s="401">
        <f t="shared" si="0"/>
        <v>0</v>
      </c>
      <c r="Q30" s="327"/>
      <c r="R30" s="327"/>
      <c r="S30" s="327"/>
      <c r="T30" s="327"/>
      <c r="U30" s="327"/>
    </row>
    <row r="31" spans="1:21" ht="15.75">
      <c r="A31" s="590"/>
      <c r="B31" s="590"/>
      <c r="C31" s="327"/>
      <c r="D31" s="327"/>
      <c r="E31" s="327"/>
      <c r="F31" s="327"/>
      <c r="G31" s="357"/>
      <c r="H31" s="358"/>
      <c r="I31" s="357"/>
      <c r="J31" s="358"/>
      <c r="K31" s="357"/>
      <c r="L31" s="358"/>
      <c r="M31" s="357"/>
      <c r="N31" s="358"/>
      <c r="O31" s="403"/>
      <c r="P31" s="401"/>
      <c r="Q31" s="327"/>
      <c r="R31" s="327"/>
      <c r="S31" s="327"/>
      <c r="T31" s="327"/>
      <c r="U31" s="327"/>
    </row>
    <row r="32" spans="1:21" ht="15.75">
      <c r="A32" s="590"/>
      <c r="B32" s="590"/>
      <c r="C32" s="327"/>
      <c r="D32" s="327"/>
      <c r="E32" s="327"/>
      <c r="F32" s="327"/>
      <c r="G32" s="357"/>
      <c r="H32" s="358"/>
      <c r="I32" s="357"/>
      <c r="J32" s="358"/>
      <c r="K32" s="357"/>
      <c r="L32" s="358"/>
      <c r="M32" s="357"/>
      <c r="N32" s="358"/>
      <c r="O32" s="403"/>
      <c r="P32" s="401"/>
      <c r="Q32" s="327"/>
      <c r="R32" s="327"/>
      <c r="S32" s="327"/>
      <c r="T32" s="327"/>
      <c r="U32" s="327"/>
    </row>
    <row r="33" spans="1:21" ht="15.75">
      <c r="A33" s="590"/>
      <c r="B33" s="590"/>
      <c r="C33" s="327"/>
      <c r="D33" s="327"/>
      <c r="E33" s="327"/>
      <c r="F33" s="327"/>
      <c r="G33" s="357"/>
      <c r="H33" s="358"/>
      <c r="I33" s="357"/>
      <c r="J33" s="358"/>
      <c r="K33" s="357"/>
      <c r="L33" s="358"/>
      <c r="M33" s="357"/>
      <c r="N33" s="358"/>
      <c r="O33" s="403"/>
      <c r="P33" s="401"/>
      <c r="Q33" s="327"/>
      <c r="R33" s="327"/>
      <c r="S33" s="327"/>
      <c r="T33" s="327"/>
      <c r="U33" s="327"/>
    </row>
    <row r="34" spans="1:21" ht="15.75">
      <c r="A34" s="590"/>
      <c r="B34" s="590"/>
      <c r="C34" s="327"/>
      <c r="D34" s="327"/>
      <c r="E34" s="327"/>
      <c r="F34" s="327"/>
      <c r="G34" s="357"/>
      <c r="H34" s="358"/>
      <c r="I34" s="357"/>
      <c r="J34" s="358"/>
      <c r="K34" s="357"/>
      <c r="L34" s="358"/>
      <c r="M34" s="357"/>
      <c r="N34" s="358"/>
      <c r="O34" s="403"/>
      <c r="P34" s="401"/>
      <c r="Q34" s="327"/>
      <c r="R34" s="327"/>
      <c r="S34" s="327"/>
      <c r="T34" s="327"/>
      <c r="U34" s="327"/>
    </row>
    <row r="35" spans="1:21" ht="15.75">
      <c r="A35" s="590"/>
      <c r="B35" s="590"/>
      <c r="C35" s="327"/>
      <c r="D35" s="327"/>
      <c r="E35" s="327"/>
      <c r="F35" s="327"/>
      <c r="G35" s="357"/>
      <c r="H35" s="358"/>
      <c r="I35" s="357"/>
      <c r="J35" s="358"/>
      <c r="K35" s="357"/>
      <c r="L35" s="358"/>
      <c r="M35" s="357"/>
      <c r="N35" s="358"/>
      <c r="O35" s="403">
        <f t="shared" si="0"/>
        <v>0</v>
      </c>
      <c r="P35" s="401">
        <f t="shared" si="0"/>
        <v>0</v>
      </c>
      <c r="Q35" s="327"/>
      <c r="R35" s="327"/>
      <c r="S35" s="327"/>
      <c r="T35" s="327"/>
      <c r="U35" s="327"/>
    </row>
    <row r="36" spans="1:21" ht="15.75">
      <c r="A36" s="590"/>
      <c r="B36" s="590"/>
      <c r="C36" s="327"/>
      <c r="D36" s="327"/>
      <c r="E36" s="327"/>
      <c r="F36" s="327"/>
      <c r="G36" s="357"/>
      <c r="H36" s="358"/>
      <c r="I36" s="357"/>
      <c r="J36" s="358"/>
      <c r="K36" s="357"/>
      <c r="L36" s="358"/>
      <c r="M36" s="357"/>
      <c r="N36" s="358"/>
      <c r="O36" s="403"/>
      <c r="P36" s="401"/>
      <c r="Q36" s="327"/>
      <c r="R36" s="327"/>
      <c r="S36" s="327"/>
      <c r="T36" s="327"/>
      <c r="U36" s="327"/>
    </row>
    <row r="37" spans="1:21" ht="15.75">
      <c r="A37" s="590"/>
      <c r="B37" s="590"/>
      <c r="C37" s="327"/>
      <c r="D37" s="327"/>
      <c r="E37" s="327"/>
      <c r="F37" s="327"/>
      <c r="G37" s="357"/>
      <c r="H37" s="358"/>
      <c r="I37" s="357"/>
      <c r="J37" s="358"/>
      <c r="K37" s="357"/>
      <c r="L37" s="358"/>
      <c r="M37" s="357"/>
      <c r="N37" s="358"/>
      <c r="O37" s="403"/>
      <c r="P37" s="401"/>
      <c r="Q37" s="327"/>
      <c r="R37" s="327"/>
      <c r="S37" s="327"/>
      <c r="T37" s="327"/>
      <c r="U37" s="327"/>
    </row>
    <row r="38" spans="1:21" ht="15.75">
      <c r="A38" s="590"/>
      <c r="B38" s="590"/>
      <c r="C38" s="327"/>
      <c r="D38" s="327"/>
      <c r="E38" s="327"/>
      <c r="F38" s="327"/>
      <c r="G38" s="357"/>
      <c r="H38" s="358"/>
      <c r="I38" s="357"/>
      <c r="J38" s="358"/>
      <c r="K38" s="357"/>
      <c r="L38" s="358"/>
      <c r="M38" s="357"/>
      <c r="N38" s="358"/>
      <c r="O38" s="403"/>
      <c r="P38" s="401"/>
      <c r="Q38" s="327"/>
      <c r="R38" s="327"/>
      <c r="S38" s="327"/>
      <c r="T38" s="327"/>
      <c r="U38" s="327"/>
    </row>
    <row r="39" spans="1:21" ht="15.75">
      <c r="A39" s="590"/>
      <c r="B39" s="590"/>
      <c r="C39" s="327"/>
      <c r="D39" s="327"/>
      <c r="E39" s="327"/>
      <c r="F39" s="327"/>
      <c r="G39" s="357"/>
      <c r="H39" s="358"/>
      <c r="I39" s="357"/>
      <c r="J39" s="358"/>
      <c r="K39" s="357"/>
      <c r="L39" s="358"/>
      <c r="M39" s="357"/>
      <c r="N39" s="358"/>
      <c r="O39" s="403"/>
      <c r="P39" s="401"/>
      <c r="Q39" s="327"/>
      <c r="R39" s="327"/>
      <c r="S39" s="327"/>
      <c r="T39" s="327"/>
      <c r="U39" s="327"/>
    </row>
    <row r="40" spans="1:21" ht="15.75">
      <c r="A40" s="591"/>
      <c r="B40" s="591"/>
      <c r="C40" s="327"/>
      <c r="D40" s="327"/>
      <c r="E40" s="327"/>
      <c r="F40" s="327"/>
      <c r="G40" s="357"/>
      <c r="H40" s="358"/>
      <c r="I40" s="357"/>
      <c r="J40" s="358"/>
      <c r="K40" s="357"/>
      <c r="L40" s="358"/>
      <c r="M40" s="357"/>
      <c r="N40" s="358"/>
      <c r="O40" s="403"/>
      <c r="P40" s="401"/>
      <c r="Q40" s="327"/>
      <c r="R40" s="327"/>
      <c r="S40" s="327"/>
      <c r="T40" s="327"/>
      <c r="U40" s="327"/>
    </row>
    <row r="41" spans="1:21" ht="15.75">
      <c r="A41" s="589" t="s">
        <v>1492</v>
      </c>
      <c r="B41" s="589" t="s">
        <v>1493</v>
      </c>
      <c r="C41" s="327"/>
      <c r="D41" s="327"/>
      <c r="E41" s="327"/>
      <c r="F41" s="327"/>
      <c r="G41" s="357"/>
      <c r="H41" s="358"/>
      <c r="I41" s="357"/>
      <c r="J41" s="358"/>
      <c r="K41" s="357"/>
      <c r="L41" s="358"/>
      <c r="M41" s="357"/>
      <c r="N41" s="358"/>
      <c r="O41" s="403"/>
      <c r="P41" s="401"/>
      <c r="Q41" s="327"/>
      <c r="R41" s="327"/>
      <c r="S41" s="327"/>
      <c r="T41" s="327"/>
      <c r="U41" s="327"/>
    </row>
    <row r="42" spans="1:21" ht="15.75">
      <c r="A42" s="590"/>
      <c r="B42" s="590"/>
      <c r="C42" s="327"/>
      <c r="D42" s="327"/>
      <c r="E42" s="327"/>
      <c r="F42" s="327"/>
      <c r="G42" s="357"/>
      <c r="H42" s="358"/>
      <c r="I42" s="357"/>
      <c r="J42" s="358"/>
      <c r="K42" s="357"/>
      <c r="L42" s="358"/>
      <c r="M42" s="357"/>
      <c r="N42" s="358"/>
      <c r="O42" s="403"/>
      <c r="P42" s="401"/>
      <c r="Q42" s="327"/>
      <c r="R42" s="327"/>
      <c r="S42" s="327"/>
      <c r="T42" s="327"/>
      <c r="U42" s="327"/>
    </row>
    <row r="43" spans="1:21" ht="15.75">
      <c r="A43" s="590"/>
      <c r="B43" s="590"/>
      <c r="C43" s="327"/>
      <c r="D43" s="327"/>
      <c r="E43" s="327"/>
      <c r="F43" s="327"/>
      <c r="G43" s="357"/>
      <c r="H43" s="358"/>
      <c r="I43" s="357"/>
      <c r="J43" s="358"/>
      <c r="K43" s="357"/>
      <c r="L43" s="358"/>
      <c r="M43" s="357"/>
      <c r="N43" s="358"/>
      <c r="O43" s="403"/>
      <c r="P43" s="401"/>
      <c r="Q43" s="327"/>
      <c r="R43" s="327"/>
      <c r="S43" s="327"/>
      <c r="T43" s="327"/>
      <c r="U43" s="327"/>
    </row>
    <row r="44" spans="1:21" ht="15.75">
      <c r="A44" s="590"/>
      <c r="B44" s="590"/>
      <c r="C44" s="327"/>
      <c r="D44" s="327"/>
      <c r="E44" s="327"/>
      <c r="F44" s="327"/>
      <c r="G44" s="357"/>
      <c r="H44" s="358"/>
      <c r="I44" s="357"/>
      <c r="J44" s="358"/>
      <c r="K44" s="357"/>
      <c r="L44" s="358"/>
      <c r="M44" s="357"/>
      <c r="N44" s="358"/>
      <c r="O44" s="403"/>
      <c r="P44" s="401"/>
      <c r="Q44" s="327"/>
      <c r="R44" s="327"/>
      <c r="S44" s="327"/>
      <c r="T44" s="327"/>
      <c r="U44" s="327"/>
    </row>
    <row r="45" spans="1:21" ht="15.75">
      <c r="A45" s="590"/>
      <c r="B45" s="590"/>
      <c r="C45" s="327"/>
      <c r="D45" s="327"/>
      <c r="E45" s="327"/>
      <c r="F45" s="327"/>
      <c r="G45" s="357"/>
      <c r="H45" s="358"/>
      <c r="I45" s="357"/>
      <c r="J45" s="358"/>
      <c r="K45" s="357"/>
      <c r="L45" s="358"/>
      <c r="M45" s="357"/>
      <c r="N45" s="358"/>
      <c r="O45" s="403"/>
      <c r="P45" s="401"/>
      <c r="Q45" s="327"/>
      <c r="R45" s="327"/>
      <c r="S45" s="327"/>
      <c r="T45" s="327"/>
      <c r="U45" s="327"/>
    </row>
    <row r="46" spans="1:21" ht="15.75">
      <c r="A46" s="590"/>
      <c r="B46" s="590"/>
      <c r="C46" s="327"/>
      <c r="D46" s="327"/>
      <c r="E46" s="327"/>
      <c r="F46" s="327"/>
      <c r="G46" s="357"/>
      <c r="H46" s="358"/>
      <c r="I46" s="357"/>
      <c r="J46" s="358"/>
      <c r="K46" s="357"/>
      <c r="L46" s="358"/>
      <c r="M46" s="357"/>
      <c r="N46" s="358"/>
      <c r="O46" s="403"/>
      <c r="P46" s="401"/>
      <c r="Q46" s="327"/>
      <c r="R46" s="327"/>
      <c r="S46" s="327"/>
      <c r="T46" s="327"/>
      <c r="U46" s="327"/>
    </row>
    <row r="47" spans="1:21" ht="15.75">
      <c r="A47" s="590"/>
      <c r="B47" s="590"/>
      <c r="C47" s="327"/>
      <c r="D47" s="327"/>
      <c r="E47" s="327"/>
      <c r="F47" s="327"/>
      <c r="G47" s="357"/>
      <c r="H47" s="358"/>
      <c r="I47" s="357"/>
      <c r="J47" s="358"/>
      <c r="K47" s="357"/>
      <c r="L47" s="358"/>
      <c r="M47" s="357"/>
      <c r="N47" s="358"/>
      <c r="O47" s="403">
        <f t="shared" si="0"/>
        <v>0</v>
      </c>
      <c r="P47" s="401">
        <f t="shared" si="0"/>
        <v>0</v>
      </c>
      <c r="Q47" s="327"/>
      <c r="R47" s="327"/>
      <c r="S47" s="327"/>
      <c r="T47" s="327"/>
      <c r="U47" s="327"/>
    </row>
    <row r="48" spans="1:21" ht="15.75">
      <c r="A48" s="590"/>
      <c r="B48" s="590"/>
      <c r="C48" s="327"/>
      <c r="D48" s="327"/>
      <c r="E48" s="327"/>
      <c r="F48" s="327"/>
      <c r="G48" s="357"/>
      <c r="H48" s="358"/>
      <c r="I48" s="357"/>
      <c r="J48" s="358"/>
      <c r="K48" s="357"/>
      <c r="L48" s="358"/>
      <c r="M48" s="357"/>
      <c r="N48" s="358"/>
      <c r="O48" s="403">
        <f t="shared" si="0"/>
        <v>0</v>
      </c>
      <c r="P48" s="401">
        <f t="shared" si="0"/>
        <v>0</v>
      </c>
      <c r="Q48" s="327"/>
      <c r="R48" s="327"/>
      <c r="S48" s="327"/>
      <c r="T48" s="327"/>
      <c r="U48" s="327"/>
    </row>
    <row r="49" spans="1:21" ht="15.75">
      <c r="A49" s="590"/>
      <c r="B49" s="591"/>
      <c r="C49" s="327"/>
      <c r="D49" s="327"/>
      <c r="E49" s="327"/>
      <c r="F49" s="327"/>
      <c r="G49" s="357"/>
      <c r="H49" s="358"/>
      <c r="I49" s="357"/>
      <c r="J49" s="358"/>
      <c r="K49" s="357"/>
      <c r="L49" s="358"/>
      <c r="M49" s="357"/>
      <c r="N49" s="358"/>
      <c r="O49" s="403">
        <f t="shared" si="0"/>
        <v>0</v>
      </c>
      <c r="P49" s="401">
        <f t="shared" si="0"/>
        <v>0</v>
      </c>
      <c r="Q49" s="327"/>
      <c r="R49" s="327"/>
      <c r="S49" s="327"/>
      <c r="T49" s="327"/>
      <c r="U49" s="327"/>
    </row>
    <row r="50" spans="1:21" ht="15.75">
      <c r="A50" s="590"/>
      <c r="B50" s="589" t="s">
        <v>1494</v>
      </c>
      <c r="C50" s="327"/>
      <c r="D50" s="327"/>
      <c r="E50" s="327"/>
      <c r="F50" s="327"/>
      <c r="G50" s="357"/>
      <c r="H50" s="358"/>
      <c r="I50" s="357"/>
      <c r="J50" s="358"/>
      <c r="K50" s="357"/>
      <c r="L50" s="358"/>
      <c r="M50" s="357"/>
      <c r="N50" s="358"/>
      <c r="O50" s="403">
        <f t="shared" si="0"/>
        <v>0</v>
      </c>
      <c r="P50" s="401">
        <f t="shared" si="0"/>
        <v>0</v>
      </c>
      <c r="Q50" s="327"/>
      <c r="R50" s="327"/>
      <c r="S50" s="327"/>
      <c r="T50" s="327"/>
      <c r="U50" s="327"/>
    </row>
    <row r="51" spans="1:21" ht="15.75">
      <c r="A51" s="590"/>
      <c r="B51" s="590"/>
      <c r="C51" s="327"/>
      <c r="D51" s="327"/>
      <c r="E51" s="327"/>
      <c r="F51" s="327"/>
      <c r="G51" s="357"/>
      <c r="H51" s="358"/>
      <c r="I51" s="357"/>
      <c r="J51" s="358"/>
      <c r="K51" s="357"/>
      <c r="L51" s="358"/>
      <c r="M51" s="357"/>
      <c r="N51" s="358"/>
      <c r="O51" s="403"/>
      <c r="P51" s="401"/>
      <c r="Q51" s="327"/>
      <c r="R51" s="327"/>
      <c r="S51" s="327"/>
      <c r="T51" s="327"/>
      <c r="U51" s="327"/>
    </row>
    <row r="52" spans="1:21" ht="15.75">
      <c r="A52" s="590"/>
      <c r="B52" s="590"/>
      <c r="C52" s="327"/>
      <c r="D52" s="327"/>
      <c r="E52" s="327"/>
      <c r="F52" s="327"/>
      <c r="G52" s="357"/>
      <c r="H52" s="358"/>
      <c r="I52" s="357"/>
      <c r="J52" s="358"/>
      <c r="K52" s="357"/>
      <c r="L52" s="358"/>
      <c r="M52" s="357"/>
      <c r="N52" s="358"/>
      <c r="O52" s="403"/>
      <c r="P52" s="401"/>
      <c r="Q52" s="327"/>
      <c r="R52" s="327"/>
      <c r="S52" s="327"/>
      <c r="T52" s="327"/>
      <c r="U52" s="327"/>
    </row>
    <row r="53" spans="1:21" ht="15.75">
      <c r="A53" s="590"/>
      <c r="B53" s="590"/>
      <c r="C53" s="327"/>
      <c r="D53" s="327"/>
      <c r="E53" s="327"/>
      <c r="F53" s="327"/>
      <c r="G53" s="357"/>
      <c r="H53" s="358"/>
      <c r="I53" s="357"/>
      <c r="J53" s="358"/>
      <c r="K53" s="357"/>
      <c r="L53" s="358"/>
      <c r="M53" s="357"/>
      <c r="N53" s="358"/>
      <c r="O53" s="403"/>
      <c r="P53" s="401"/>
      <c r="Q53" s="327"/>
      <c r="R53" s="327"/>
      <c r="S53" s="327"/>
      <c r="T53" s="327"/>
      <c r="U53" s="327"/>
    </row>
    <row r="54" spans="1:21" ht="15.75">
      <c r="A54" s="590"/>
      <c r="B54" s="590"/>
      <c r="C54" s="327"/>
      <c r="D54" s="327"/>
      <c r="E54" s="327"/>
      <c r="F54" s="327"/>
      <c r="G54" s="357"/>
      <c r="H54" s="358"/>
      <c r="I54" s="357"/>
      <c r="J54" s="358"/>
      <c r="K54" s="357"/>
      <c r="L54" s="358"/>
      <c r="M54" s="357"/>
      <c r="N54" s="358"/>
      <c r="O54" s="403"/>
      <c r="P54" s="401"/>
      <c r="Q54" s="327"/>
      <c r="R54" s="327"/>
      <c r="S54" s="327"/>
      <c r="T54" s="327"/>
      <c r="U54" s="327"/>
    </row>
    <row r="55" spans="1:21" ht="15.75">
      <c r="A55" s="590"/>
      <c r="B55" s="590"/>
      <c r="C55" s="327"/>
      <c r="D55" s="327"/>
      <c r="E55" s="327"/>
      <c r="F55" s="327"/>
      <c r="G55" s="357"/>
      <c r="H55" s="358"/>
      <c r="I55" s="357"/>
      <c r="J55" s="358"/>
      <c r="K55" s="357"/>
      <c r="L55" s="358"/>
      <c r="M55" s="357"/>
      <c r="N55" s="358"/>
      <c r="O55" s="403"/>
      <c r="P55" s="401"/>
      <c r="Q55" s="327"/>
      <c r="R55" s="327"/>
      <c r="S55" s="327"/>
      <c r="T55" s="327"/>
      <c r="U55" s="327"/>
    </row>
    <row r="56" spans="1:21" ht="15.75">
      <c r="A56" s="590"/>
      <c r="B56" s="590"/>
      <c r="C56" s="327"/>
      <c r="D56" s="327"/>
      <c r="E56" s="327"/>
      <c r="F56" s="327"/>
      <c r="G56" s="357"/>
      <c r="H56" s="358"/>
      <c r="I56" s="357"/>
      <c r="J56" s="358"/>
      <c r="K56" s="357"/>
      <c r="L56" s="358"/>
      <c r="M56" s="357"/>
      <c r="N56" s="358"/>
      <c r="O56" s="403"/>
      <c r="P56" s="401"/>
      <c r="Q56" s="327"/>
      <c r="R56" s="327"/>
      <c r="S56" s="327"/>
      <c r="T56" s="327"/>
      <c r="U56" s="327"/>
    </row>
    <row r="57" spans="1:21" ht="15.75">
      <c r="A57" s="590"/>
      <c r="B57" s="590"/>
      <c r="C57" s="327"/>
      <c r="D57" s="327"/>
      <c r="E57" s="327"/>
      <c r="F57" s="327"/>
      <c r="G57" s="357"/>
      <c r="H57" s="358"/>
      <c r="I57" s="357"/>
      <c r="J57" s="358"/>
      <c r="K57" s="357"/>
      <c r="L57" s="358"/>
      <c r="M57" s="357"/>
      <c r="N57" s="358"/>
      <c r="O57" s="403"/>
      <c r="P57" s="401"/>
      <c r="Q57" s="327"/>
      <c r="R57" s="327"/>
      <c r="S57" s="327"/>
      <c r="T57" s="327"/>
      <c r="U57" s="327"/>
    </row>
    <row r="58" spans="1:21" ht="15.75">
      <c r="A58" s="590"/>
      <c r="B58" s="590"/>
      <c r="C58" s="327"/>
      <c r="D58" s="327"/>
      <c r="E58" s="327"/>
      <c r="F58" s="327"/>
      <c r="G58" s="357"/>
      <c r="H58" s="358"/>
      <c r="I58" s="357"/>
      <c r="J58" s="358"/>
      <c r="K58" s="357"/>
      <c r="L58" s="358"/>
      <c r="M58" s="357"/>
      <c r="N58" s="358"/>
      <c r="O58" s="403"/>
      <c r="P58" s="401"/>
      <c r="Q58" s="327"/>
      <c r="R58" s="327"/>
      <c r="S58" s="327"/>
      <c r="T58" s="327"/>
      <c r="U58" s="327"/>
    </row>
    <row r="59" spans="1:21" ht="15.75">
      <c r="A59" s="590"/>
      <c r="B59" s="590"/>
      <c r="C59" s="327"/>
      <c r="D59" s="327"/>
      <c r="E59" s="327"/>
      <c r="F59" s="327"/>
      <c r="G59" s="357"/>
      <c r="H59" s="358"/>
      <c r="I59" s="357"/>
      <c r="J59" s="358"/>
      <c r="K59" s="357"/>
      <c r="L59" s="358"/>
      <c r="M59" s="357"/>
      <c r="N59" s="358"/>
      <c r="O59" s="403"/>
      <c r="P59" s="401"/>
      <c r="Q59" s="327"/>
      <c r="R59" s="327"/>
      <c r="S59" s="327"/>
      <c r="T59" s="327"/>
      <c r="U59" s="327"/>
    </row>
    <row r="60" spans="1:21" ht="15.75">
      <c r="A60" s="590"/>
      <c r="B60" s="590"/>
      <c r="C60" s="327"/>
      <c r="D60" s="327"/>
      <c r="E60" s="327"/>
      <c r="F60" s="327"/>
      <c r="G60" s="357"/>
      <c r="H60" s="358"/>
      <c r="I60" s="357"/>
      <c r="J60" s="358"/>
      <c r="K60" s="357"/>
      <c r="L60" s="358"/>
      <c r="M60" s="357"/>
      <c r="N60" s="358"/>
      <c r="O60" s="403"/>
      <c r="P60" s="401"/>
      <c r="Q60" s="327"/>
      <c r="R60" s="327"/>
      <c r="S60" s="327"/>
      <c r="T60" s="327"/>
      <c r="U60" s="327"/>
    </row>
    <row r="61" spans="1:21" ht="15.75">
      <c r="A61" s="590"/>
      <c r="B61" s="590"/>
      <c r="C61" s="327"/>
      <c r="D61" s="327"/>
      <c r="E61" s="327"/>
      <c r="F61" s="327"/>
      <c r="G61" s="357"/>
      <c r="H61" s="358"/>
      <c r="I61" s="357"/>
      <c r="J61" s="358"/>
      <c r="K61" s="357"/>
      <c r="L61" s="358"/>
      <c r="M61" s="357"/>
      <c r="N61" s="358"/>
      <c r="O61" s="403"/>
      <c r="P61" s="401"/>
      <c r="Q61" s="327"/>
      <c r="R61" s="327"/>
      <c r="S61" s="327"/>
      <c r="T61" s="327"/>
      <c r="U61" s="327"/>
    </row>
    <row r="62" spans="1:21" ht="15.75">
      <c r="A62" s="591"/>
      <c r="B62" s="591"/>
      <c r="C62" s="327"/>
      <c r="D62" s="327"/>
      <c r="E62" s="327"/>
      <c r="F62" s="327"/>
      <c r="G62" s="357"/>
      <c r="H62" s="358"/>
      <c r="I62" s="357"/>
      <c r="J62" s="358"/>
      <c r="K62" s="357"/>
      <c r="L62" s="358"/>
      <c r="M62" s="357"/>
      <c r="N62" s="358"/>
      <c r="O62" s="403">
        <f t="shared" si="0"/>
        <v>0</v>
      </c>
      <c r="P62" s="401">
        <f t="shared" si="0"/>
        <v>0</v>
      </c>
      <c r="Q62" s="327"/>
      <c r="R62" s="327"/>
      <c r="S62" s="327"/>
      <c r="T62" s="327"/>
      <c r="U62" s="327"/>
    </row>
    <row r="63" spans="1:21" ht="15.75">
      <c r="A63" s="589" t="s">
        <v>1495</v>
      </c>
      <c r="B63" s="414"/>
      <c r="C63" s="327"/>
      <c r="D63" s="327"/>
      <c r="E63" s="327"/>
      <c r="F63" s="327"/>
      <c r="G63" s="357"/>
      <c r="H63" s="358"/>
      <c r="I63" s="357"/>
      <c r="J63" s="358"/>
      <c r="K63" s="357"/>
      <c r="L63" s="358"/>
      <c r="M63" s="357"/>
      <c r="N63" s="358"/>
      <c r="O63" s="403">
        <f t="shared" ref="O63:P69" si="3">G63+I63+K63+M63</f>
        <v>0</v>
      </c>
      <c r="P63" s="401">
        <f t="shared" si="3"/>
        <v>0</v>
      </c>
      <c r="Q63" s="327"/>
      <c r="R63" s="327"/>
      <c r="S63" s="327"/>
      <c r="T63" s="327"/>
      <c r="U63" s="327"/>
    </row>
    <row r="64" spans="1:21" ht="15.75">
      <c r="A64" s="590"/>
      <c r="B64" s="414"/>
      <c r="C64" s="327"/>
      <c r="D64" s="327"/>
      <c r="E64" s="327"/>
      <c r="F64" s="327"/>
      <c r="G64" s="357"/>
      <c r="H64" s="358"/>
      <c r="I64" s="357"/>
      <c r="J64" s="358"/>
      <c r="K64" s="357"/>
      <c r="L64" s="358"/>
      <c r="M64" s="357"/>
      <c r="N64" s="358"/>
      <c r="O64" s="403"/>
      <c r="P64" s="401"/>
      <c r="Q64" s="327"/>
      <c r="R64" s="327"/>
      <c r="S64" s="327"/>
      <c r="T64" s="327"/>
      <c r="U64" s="327"/>
    </row>
    <row r="65" spans="1:21" ht="15.75">
      <c r="A65" s="590"/>
      <c r="B65" s="414"/>
      <c r="C65" s="327"/>
      <c r="D65" s="327"/>
      <c r="E65" s="327"/>
      <c r="F65" s="327"/>
      <c r="G65" s="357"/>
      <c r="H65" s="358"/>
      <c r="I65" s="357"/>
      <c r="J65" s="358"/>
      <c r="K65" s="357"/>
      <c r="L65" s="358"/>
      <c r="M65" s="357"/>
      <c r="N65" s="358"/>
      <c r="O65" s="403"/>
      <c r="P65" s="401"/>
      <c r="Q65" s="327"/>
      <c r="R65" s="327"/>
      <c r="S65" s="327"/>
      <c r="T65" s="327"/>
      <c r="U65" s="327"/>
    </row>
    <row r="66" spans="1:21" ht="15.75">
      <c r="A66" s="590"/>
      <c r="B66" s="414"/>
      <c r="C66" s="327"/>
      <c r="D66" s="327"/>
      <c r="E66" s="327"/>
      <c r="F66" s="327"/>
      <c r="G66" s="357"/>
      <c r="H66" s="358"/>
      <c r="I66" s="357"/>
      <c r="J66" s="358"/>
      <c r="K66" s="357"/>
      <c r="L66" s="358"/>
      <c r="M66" s="357"/>
      <c r="N66" s="358"/>
      <c r="O66" s="403"/>
      <c r="P66" s="401"/>
      <c r="Q66" s="327"/>
      <c r="R66" s="327"/>
      <c r="S66" s="327"/>
      <c r="T66" s="327"/>
      <c r="U66" s="327"/>
    </row>
    <row r="67" spans="1:21" ht="15.75">
      <c r="A67" s="590"/>
      <c r="B67" s="414"/>
      <c r="C67" s="327"/>
      <c r="D67" s="327"/>
      <c r="E67" s="327"/>
      <c r="F67" s="327"/>
      <c r="G67" s="357"/>
      <c r="H67" s="358"/>
      <c r="I67" s="357"/>
      <c r="J67" s="358"/>
      <c r="K67" s="357"/>
      <c r="L67" s="358"/>
      <c r="M67" s="357"/>
      <c r="N67" s="358"/>
      <c r="O67" s="403"/>
      <c r="P67" s="401"/>
      <c r="Q67" s="327"/>
      <c r="R67" s="327"/>
      <c r="S67" s="327"/>
      <c r="T67" s="327"/>
      <c r="U67" s="327"/>
    </row>
    <row r="68" spans="1:21" ht="15.75">
      <c r="A68" s="590"/>
      <c r="B68" s="414"/>
      <c r="C68" s="327"/>
      <c r="D68" s="327"/>
      <c r="E68" s="327"/>
      <c r="F68" s="327"/>
      <c r="G68" s="357"/>
      <c r="H68" s="358"/>
      <c r="I68" s="357"/>
      <c r="J68" s="358"/>
      <c r="K68" s="357"/>
      <c r="L68" s="358"/>
      <c r="M68" s="357"/>
      <c r="N68" s="358"/>
      <c r="O68" s="403">
        <f t="shared" si="3"/>
        <v>0</v>
      </c>
      <c r="P68" s="401">
        <f t="shared" si="3"/>
        <v>0</v>
      </c>
      <c r="Q68" s="327"/>
      <c r="R68" s="327"/>
      <c r="S68" s="327"/>
      <c r="T68" s="327"/>
      <c r="U68" s="327"/>
    </row>
    <row r="69" spans="1:21" ht="15.75">
      <c r="A69" s="591"/>
      <c r="B69" s="414"/>
      <c r="C69" s="327"/>
      <c r="D69" s="327"/>
      <c r="E69" s="327"/>
      <c r="F69" s="327"/>
      <c r="G69" s="327"/>
      <c r="H69" s="358"/>
      <c r="I69" s="327"/>
      <c r="J69" s="358"/>
      <c r="K69" s="327"/>
      <c r="L69" s="358"/>
      <c r="M69" s="327"/>
      <c r="N69" s="358"/>
      <c r="O69" s="403">
        <f t="shared" si="3"/>
        <v>0</v>
      </c>
      <c r="P69" s="401">
        <f t="shared" si="3"/>
        <v>0</v>
      </c>
      <c r="Q69" s="327"/>
      <c r="R69" s="71"/>
      <c r="S69" s="327"/>
      <c r="T69" s="327"/>
      <c r="U69" s="327"/>
    </row>
    <row r="70" spans="1:21" ht="15.75">
      <c r="A70" s="296"/>
      <c r="B70" s="297"/>
      <c r="C70" s="297"/>
      <c r="D70" s="296" t="s">
        <v>1480</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0"/>
  <sheetViews>
    <sheetView zoomScale="50" zoomScaleNormal="50" workbookViewId="0">
      <pane ySplit="9" topLeftCell="A10" activePane="bottomLeft" state="frozen"/>
      <selection activeCell="K7" sqref="K7"/>
      <selection pane="bottomLeft" activeCell="D53" sqref="C50:D53"/>
    </sheetView>
  </sheetViews>
  <sheetFormatPr baseColWidth="10" defaultRowHeight="15"/>
  <cols>
    <col min="1" max="1" width="35.7109375" style="464" customWidth="1"/>
    <col min="2" max="2" width="35.85546875" style="464" customWidth="1"/>
    <col min="3" max="6" width="27.42578125" style="464" customWidth="1"/>
    <col min="7" max="7" width="15.28515625" style="464" customWidth="1"/>
    <col min="8" max="8" width="11.42578125" style="234"/>
    <col min="9" max="9" width="15.28515625" style="464" customWidth="1"/>
    <col min="10" max="10" width="18.85546875" style="234" customWidth="1"/>
    <col min="11" max="11" width="11.42578125" style="464"/>
    <col min="12" max="12" width="14.5703125" style="234" customWidth="1"/>
    <col min="13" max="13" width="11.42578125" style="464"/>
    <col min="14" max="14" width="11.42578125" style="234"/>
    <col min="15" max="15" width="15.28515625" style="464" customWidth="1"/>
    <col min="16" max="16" width="18.28515625" style="234" customWidth="1"/>
    <col min="17" max="17" width="15" style="464" customWidth="1"/>
    <col min="18" max="18" width="20.5703125" style="464" bestFit="1" customWidth="1"/>
    <col min="19" max="20" width="14.140625" style="464" customWidth="1"/>
    <col min="21" max="21" width="17" style="464" customWidth="1"/>
    <col min="22" max="16384" width="11.42578125" style="464"/>
  </cols>
  <sheetData>
    <row r="1" spans="1:42" ht="21">
      <c r="A1" s="409"/>
      <c r="B1" s="409"/>
      <c r="C1" s="409"/>
      <c r="D1" s="409"/>
      <c r="E1" s="635" t="s">
        <v>1514</v>
      </c>
      <c r="F1" s="635"/>
      <c r="G1" s="635"/>
      <c r="H1" s="635"/>
      <c r="I1" s="635"/>
      <c r="J1" s="635"/>
      <c r="K1" s="635"/>
      <c r="L1" s="635"/>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c r="A2" s="408" t="s">
        <v>1354</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c r="A3" s="408" t="s">
        <v>1510</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c r="A4" s="408" t="s">
        <v>1511</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c r="A5" s="408" t="s">
        <v>1512</v>
      </c>
      <c r="G5" s="410"/>
      <c r="H5" s="411"/>
      <c r="I5" s="410"/>
      <c r="J5" s="410"/>
      <c r="K5" s="410"/>
      <c r="L5" s="410"/>
      <c r="M5" s="410"/>
      <c r="N5" s="410"/>
      <c r="O5" s="410"/>
      <c r="P5" s="410"/>
      <c r="Q5" s="410"/>
      <c r="R5" s="410"/>
      <c r="S5" s="410"/>
      <c r="T5" s="410"/>
      <c r="U5" s="410"/>
      <c r="V5" s="410"/>
      <c r="W5" s="410"/>
      <c r="X5" s="410"/>
      <c r="Y5" s="410"/>
      <c r="Z5" s="410"/>
      <c r="AA5" s="410"/>
    </row>
    <row r="6" spans="1:42" s="409" customFormat="1">
      <c r="A6" s="413" t="s">
        <v>1513</v>
      </c>
      <c r="B6" s="413"/>
      <c r="C6" s="413"/>
      <c r="D6" s="413"/>
      <c r="E6" s="413"/>
      <c r="F6" s="413"/>
      <c r="G6" s="413"/>
      <c r="H6" s="413"/>
      <c r="I6" s="413"/>
      <c r="J6" s="413"/>
      <c r="K6" s="413"/>
      <c r="L6" s="413"/>
      <c r="M6" s="413"/>
      <c r="N6" s="413"/>
      <c r="O6" s="413"/>
      <c r="P6" s="413"/>
      <c r="Q6" s="413"/>
      <c r="R6" s="413"/>
      <c r="S6" s="413"/>
      <c r="T6" s="413"/>
      <c r="U6" s="413"/>
    </row>
    <row r="7" spans="1:42" ht="15" customHeight="1">
      <c r="A7" s="577" t="s">
        <v>97</v>
      </c>
      <c r="B7" s="576" t="s">
        <v>111</v>
      </c>
      <c r="C7" s="579" t="s">
        <v>86</v>
      </c>
      <c r="D7" s="579" t="s">
        <v>87</v>
      </c>
      <c r="E7" s="579" t="s">
        <v>392</v>
      </c>
      <c r="F7" s="579" t="s">
        <v>88</v>
      </c>
      <c r="G7" s="582" t="s">
        <v>100</v>
      </c>
      <c r="H7" s="588"/>
      <c r="I7" s="588"/>
      <c r="J7" s="588"/>
      <c r="K7" s="588"/>
      <c r="L7" s="588"/>
      <c r="M7" s="588"/>
      <c r="N7" s="583"/>
      <c r="O7" s="584" t="s">
        <v>101</v>
      </c>
      <c r="P7" s="585"/>
      <c r="Q7" s="576" t="s">
        <v>102</v>
      </c>
      <c r="R7" s="576" t="s">
        <v>103</v>
      </c>
      <c r="S7" s="576" t="s">
        <v>110</v>
      </c>
      <c r="T7" s="576" t="s">
        <v>109</v>
      </c>
      <c r="U7" s="573" t="s">
        <v>89</v>
      </c>
    </row>
    <row r="8" spans="1:42" ht="15" customHeight="1">
      <c r="A8" s="577"/>
      <c r="B8" s="577"/>
      <c r="C8" s="580"/>
      <c r="D8" s="580"/>
      <c r="E8" s="580"/>
      <c r="F8" s="580"/>
      <c r="G8" s="582" t="s">
        <v>104</v>
      </c>
      <c r="H8" s="583"/>
      <c r="I8" s="582" t="s">
        <v>105</v>
      </c>
      <c r="J8" s="583"/>
      <c r="K8" s="582" t="s">
        <v>106</v>
      </c>
      <c r="L8" s="583"/>
      <c r="M8" s="582" t="s">
        <v>107</v>
      </c>
      <c r="N8" s="583"/>
      <c r="O8" s="586"/>
      <c r="P8" s="587"/>
      <c r="Q8" s="577"/>
      <c r="R8" s="577"/>
      <c r="S8" s="577"/>
      <c r="T8" s="577"/>
      <c r="U8" s="574"/>
    </row>
    <row r="9" spans="1:42" ht="25.5">
      <c r="A9" s="578"/>
      <c r="B9" s="578"/>
      <c r="C9" s="581"/>
      <c r="D9" s="581"/>
      <c r="E9" s="581"/>
      <c r="F9" s="581"/>
      <c r="G9" s="440" t="s">
        <v>108</v>
      </c>
      <c r="H9" s="440" t="s">
        <v>12</v>
      </c>
      <c r="I9" s="440" t="s">
        <v>108</v>
      </c>
      <c r="J9" s="440" t="s">
        <v>12</v>
      </c>
      <c r="K9" s="440" t="s">
        <v>108</v>
      </c>
      <c r="L9" s="440" t="s">
        <v>12</v>
      </c>
      <c r="M9" s="440" t="s">
        <v>108</v>
      </c>
      <c r="N9" s="440" t="s">
        <v>12</v>
      </c>
      <c r="O9" s="440" t="s">
        <v>108</v>
      </c>
      <c r="P9" s="440" t="s">
        <v>12</v>
      </c>
      <c r="Q9" s="578"/>
      <c r="R9" s="578"/>
      <c r="S9" s="578"/>
      <c r="T9" s="578"/>
      <c r="U9" s="575"/>
    </row>
    <row r="10" spans="1:42" ht="23.25" customHeight="1">
      <c r="A10" s="499"/>
      <c r="B10" s="500"/>
      <c r="C10" s="443"/>
      <c r="D10" s="443"/>
      <c r="E10" s="444"/>
      <c r="F10" s="443"/>
      <c r="G10" s="445"/>
      <c r="H10" s="445"/>
      <c r="I10" s="445"/>
      <c r="J10" s="445"/>
      <c r="K10" s="445"/>
      <c r="L10" s="445"/>
      <c r="M10" s="445"/>
      <c r="N10" s="445"/>
      <c r="O10" s="445"/>
      <c r="P10" s="445"/>
      <c r="Q10" s="446"/>
      <c r="R10" s="446"/>
      <c r="S10" s="446"/>
      <c r="T10" s="446"/>
      <c r="U10" s="447"/>
    </row>
    <row r="11" spans="1:42" s="498" customFormat="1" ht="21.75" hidden="1" customHeight="1">
      <c r="A11" s="596" t="s">
        <v>1510</v>
      </c>
      <c r="B11" s="636" t="s">
        <v>1538</v>
      </c>
      <c r="C11" s="493"/>
      <c r="D11" s="493"/>
      <c r="E11" s="494"/>
      <c r="F11" s="493"/>
      <c r="G11" s="495"/>
      <c r="H11" s="495"/>
      <c r="I11" s="495"/>
      <c r="J11" s="495"/>
      <c r="K11" s="495"/>
      <c r="L11" s="495"/>
      <c r="M11" s="495"/>
      <c r="N11" s="495"/>
      <c r="O11" s="495"/>
      <c r="P11" s="495"/>
      <c r="Q11" s="496"/>
      <c r="R11" s="496"/>
      <c r="S11" s="496"/>
      <c r="T11" s="496"/>
      <c r="U11" s="497"/>
    </row>
    <row r="12" spans="1:42" s="498" customFormat="1" ht="15.75" hidden="1">
      <c r="A12" s="596"/>
      <c r="B12" s="637"/>
      <c r="C12" s="493"/>
      <c r="D12" s="493"/>
      <c r="E12" s="494"/>
      <c r="F12" s="493"/>
      <c r="G12" s="495"/>
      <c r="H12" s="495"/>
      <c r="I12" s="495"/>
      <c r="J12" s="495"/>
      <c r="K12" s="495"/>
      <c r="L12" s="495"/>
      <c r="M12" s="495"/>
      <c r="N12" s="495"/>
      <c r="O12" s="495"/>
      <c r="P12" s="495"/>
      <c r="Q12" s="496"/>
      <c r="R12" s="496"/>
      <c r="S12" s="496"/>
      <c r="T12" s="496"/>
      <c r="U12" s="497"/>
    </row>
    <row r="13" spans="1:42" s="498" customFormat="1" ht="15.75" hidden="1">
      <c r="A13" s="596"/>
      <c r="B13" s="637"/>
      <c r="C13" s="493"/>
      <c r="D13" s="493"/>
      <c r="E13" s="494"/>
      <c r="F13" s="493"/>
      <c r="G13" s="495"/>
      <c r="H13" s="495"/>
      <c r="I13" s="495"/>
      <c r="J13" s="495"/>
      <c r="K13" s="495"/>
      <c r="L13" s="495"/>
      <c r="M13" s="495"/>
      <c r="N13" s="495"/>
      <c r="O13" s="495"/>
      <c r="P13" s="495"/>
      <c r="Q13" s="496"/>
      <c r="R13" s="496"/>
      <c r="S13" s="496"/>
      <c r="T13" s="496"/>
      <c r="U13" s="497"/>
    </row>
    <row r="14" spans="1:42" s="498" customFormat="1" ht="15.75" hidden="1">
      <c r="A14" s="596"/>
      <c r="B14" s="637"/>
      <c r="C14" s="493"/>
      <c r="D14" s="493"/>
      <c r="E14" s="494"/>
      <c r="F14" s="493"/>
      <c r="G14" s="495"/>
      <c r="H14" s="495"/>
      <c r="I14" s="495"/>
      <c r="J14" s="495"/>
      <c r="K14" s="495"/>
      <c r="L14" s="495"/>
      <c r="M14" s="495"/>
      <c r="N14" s="495"/>
      <c r="O14" s="495"/>
      <c r="P14" s="495"/>
      <c r="Q14" s="496"/>
      <c r="R14" s="496"/>
      <c r="S14" s="496"/>
      <c r="T14" s="496"/>
      <c r="U14" s="497"/>
    </row>
    <row r="15" spans="1:42" s="498" customFormat="1" ht="15.75" hidden="1">
      <c r="A15" s="596"/>
      <c r="B15" s="637"/>
      <c r="C15" s="493"/>
      <c r="D15" s="493"/>
      <c r="E15" s="494"/>
      <c r="F15" s="493"/>
      <c r="G15" s="495"/>
      <c r="H15" s="495"/>
      <c r="I15" s="495"/>
      <c r="J15" s="495"/>
      <c r="K15" s="495"/>
      <c r="L15" s="495"/>
      <c r="M15" s="495"/>
      <c r="N15" s="495"/>
      <c r="O15" s="495"/>
      <c r="P15" s="495"/>
      <c r="Q15" s="496"/>
      <c r="R15" s="496"/>
      <c r="S15" s="496"/>
      <c r="T15" s="496"/>
      <c r="U15" s="497"/>
    </row>
    <row r="16" spans="1:42" s="498" customFormat="1" ht="15.75" hidden="1">
      <c r="A16" s="596"/>
      <c r="B16" s="637"/>
      <c r="C16" s="493"/>
      <c r="D16" s="493"/>
      <c r="E16" s="494"/>
      <c r="F16" s="493"/>
      <c r="G16" s="495"/>
      <c r="H16" s="495"/>
      <c r="I16" s="495"/>
      <c r="J16" s="495"/>
      <c r="K16" s="495"/>
      <c r="L16" s="495"/>
      <c r="M16" s="495"/>
      <c r="N16" s="495"/>
      <c r="O16" s="495"/>
      <c r="P16" s="495"/>
      <c r="Q16" s="496"/>
      <c r="R16" s="496"/>
      <c r="S16" s="496"/>
      <c r="T16" s="496"/>
      <c r="U16" s="497"/>
    </row>
    <row r="17" spans="1:21" s="498" customFormat="1" ht="15.75" hidden="1">
      <c r="A17" s="596"/>
      <c r="B17" s="638"/>
      <c r="C17" s="493"/>
      <c r="D17" s="493"/>
      <c r="E17" s="494"/>
      <c r="F17" s="493"/>
      <c r="G17" s="495"/>
      <c r="H17" s="495"/>
      <c r="I17" s="495"/>
      <c r="J17" s="495"/>
      <c r="K17" s="495"/>
      <c r="L17" s="495"/>
      <c r="M17" s="495"/>
      <c r="N17" s="495"/>
      <c r="O17" s="495"/>
      <c r="P17" s="495"/>
      <c r="Q17" s="496"/>
      <c r="R17" s="496"/>
      <c r="S17" s="496"/>
      <c r="T17" s="496"/>
      <c r="U17" s="497"/>
    </row>
    <row r="18" spans="1:21" ht="15.75" hidden="1" customHeight="1">
      <c r="A18" s="596"/>
      <c r="B18" s="589" t="s">
        <v>1524</v>
      </c>
      <c r="C18" s="489"/>
      <c r="D18" s="489"/>
      <c r="E18" s="489"/>
      <c r="F18" s="363"/>
      <c r="G18" s="490"/>
      <c r="H18" s="491"/>
      <c r="I18" s="490"/>
      <c r="J18" s="491"/>
      <c r="K18" s="490"/>
      <c r="L18" s="491"/>
      <c r="M18" s="490"/>
      <c r="N18" s="491"/>
      <c r="O18" s="403">
        <f t="shared" ref="O18:P22" si="0">G18+I18+K18+M18</f>
        <v>0</v>
      </c>
      <c r="P18" s="401">
        <f t="shared" si="0"/>
        <v>0</v>
      </c>
      <c r="Q18" s="363"/>
      <c r="R18" s="363"/>
      <c r="S18" s="363"/>
      <c r="T18" s="363"/>
      <c r="U18" s="363"/>
    </row>
    <row r="19" spans="1:21" ht="15.75" hidden="1">
      <c r="A19" s="596"/>
      <c r="B19" s="590"/>
      <c r="C19" s="489"/>
      <c r="D19" s="489"/>
      <c r="E19" s="489"/>
      <c r="F19" s="363"/>
      <c r="G19" s="490"/>
      <c r="H19" s="491"/>
      <c r="I19" s="490"/>
      <c r="J19" s="491"/>
      <c r="K19" s="490"/>
      <c r="L19" s="491"/>
      <c r="M19" s="490"/>
      <c r="N19" s="491"/>
      <c r="O19" s="403">
        <f t="shared" si="0"/>
        <v>0</v>
      </c>
      <c r="P19" s="401">
        <f t="shared" si="0"/>
        <v>0</v>
      </c>
      <c r="Q19" s="363"/>
      <c r="R19" s="363"/>
      <c r="S19" s="363"/>
      <c r="T19" s="363"/>
      <c r="U19" s="363"/>
    </row>
    <row r="20" spans="1:21" ht="15.75" hidden="1">
      <c r="A20" s="596"/>
      <c r="B20" s="590"/>
      <c r="C20" s="489"/>
      <c r="D20" s="489"/>
      <c r="E20" s="489"/>
      <c r="F20" s="363"/>
      <c r="G20" s="490"/>
      <c r="H20" s="491"/>
      <c r="I20" s="490"/>
      <c r="J20" s="491"/>
      <c r="K20" s="490"/>
      <c r="L20" s="491"/>
      <c r="M20" s="490"/>
      <c r="N20" s="491"/>
      <c r="O20" s="403">
        <f t="shared" si="0"/>
        <v>0</v>
      </c>
      <c r="P20" s="401">
        <f t="shared" si="0"/>
        <v>0</v>
      </c>
      <c r="Q20" s="363"/>
      <c r="R20" s="363"/>
      <c r="S20" s="363"/>
      <c r="T20" s="363"/>
      <c r="U20" s="363"/>
    </row>
    <row r="21" spans="1:21" ht="15.75" hidden="1">
      <c r="A21" s="596"/>
      <c r="B21" s="590"/>
      <c r="C21" s="489"/>
      <c r="D21" s="489"/>
      <c r="E21" s="489"/>
      <c r="F21" s="363"/>
      <c r="G21" s="490"/>
      <c r="H21" s="491"/>
      <c r="I21" s="490"/>
      <c r="J21" s="491"/>
      <c r="K21" s="490"/>
      <c r="L21" s="491"/>
      <c r="M21" s="490"/>
      <c r="N21" s="491"/>
      <c r="O21" s="403">
        <f t="shared" si="0"/>
        <v>0</v>
      </c>
      <c r="P21" s="401">
        <f t="shared" si="0"/>
        <v>0</v>
      </c>
      <c r="Q21" s="363"/>
      <c r="R21" s="363"/>
      <c r="S21" s="363"/>
      <c r="T21" s="363"/>
      <c r="U21" s="363"/>
    </row>
    <row r="22" spans="1:21" ht="15.75" hidden="1">
      <c r="A22" s="596"/>
      <c r="B22" s="589" t="s">
        <v>1525</v>
      </c>
      <c r="C22" s="489"/>
      <c r="D22" s="489"/>
      <c r="E22" s="489"/>
      <c r="F22" s="363"/>
      <c r="G22" s="490"/>
      <c r="H22" s="491"/>
      <c r="I22" s="490"/>
      <c r="J22" s="491"/>
      <c r="K22" s="490"/>
      <c r="L22" s="491"/>
      <c r="M22" s="490"/>
      <c r="N22" s="491"/>
      <c r="O22" s="403">
        <f t="shared" si="0"/>
        <v>0</v>
      </c>
      <c r="P22" s="401">
        <f t="shared" si="0"/>
        <v>0</v>
      </c>
      <c r="Q22" s="363"/>
      <c r="R22" s="363"/>
      <c r="S22" s="363"/>
      <c r="T22" s="363"/>
      <c r="U22" s="363"/>
    </row>
    <row r="23" spans="1:21" ht="15.75" hidden="1">
      <c r="A23" s="596"/>
      <c r="B23" s="590"/>
      <c r="C23" s="489"/>
      <c r="D23" s="489"/>
      <c r="E23" s="489"/>
      <c r="F23" s="363"/>
      <c r="G23" s="490"/>
      <c r="H23" s="491"/>
      <c r="I23" s="490"/>
      <c r="J23" s="491"/>
      <c r="K23" s="490"/>
      <c r="L23" s="491"/>
      <c r="M23" s="490"/>
      <c r="N23" s="491"/>
      <c r="O23" s="403">
        <f t="shared" ref="O23:O68" si="1">G23+I23+K23+M23</f>
        <v>0</v>
      </c>
      <c r="P23" s="401">
        <f t="shared" ref="P23:P68" si="2">H23+J23+L23+N23</f>
        <v>0</v>
      </c>
      <c r="Q23" s="363"/>
      <c r="R23" s="363"/>
      <c r="S23" s="363"/>
      <c r="T23" s="363"/>
      <c r="U23" s="363"/>
    </row>
    <row r="24" spans="1:21" ht="15.75" hidden="1">
      <c r="A24" s="596"/>
      <c r="B24" s="590"/>
      <c r="C24" s="489"/>
      <c r="D24" s="489"/>
      <c r="E24" s="489"/>
      <c r="F24" s="363"/>
      <c r="G24" s="490"/>
      <c r="H24" s="491"/>
      <c r="I24" s="490"/>
      <c r="J24" s="491"/>
      <c r="K24" s="490"/>
      <c r="L24" s="491"/>
      <c r="M24" s="490"/>
      <c r="N24" s="491"/>
      <c r="O24" s="403">
        <f t="shared" si="1"/>
        <v>0</v>
      </c>
      <c r="P24" s="401">
        <f t="shared" si="2"/>
        <v>0</v>
      </c>
      <c r="Q24" s="363"/>
      <c r="R24" s="363"/>
      <c r="S24" s="363"/>
      <c r="T24" s="363"/>
      <c r="U24" s="363"/>
    </row>
    <row r="25" spans="1:21" ht="15.75" hidden="1">
      <c r="A25" s="596"/>
      <c r="B25" s="591"/>
      <c r="C25" s="489"/>
      <c r="D25" s="489"/>
      <c r="E25" s="489"/>
      <c r="F25" s="363"/>
      <c r="G25" s="490"/>
      <c r="H25" s="491"/>
      <c r="I25" s="490"/>
      <c r="J25" s="491"/>
      <c r="K25" s="490"/>
      <c r="L25" s="491"/>
      <c r="M25" s="490"/>
      <c r="N25" s="491"/>
      <c r="O25" s="403">
        <f t="shared" si="1"/>
        <v>0</v>
      </c>
      <c r="P25" s="401">
        <f t="shared" si="2"/>
        <v>0</v>
      </c>
      <c r="Q25" s="363"/>
      <c r="R25" s="363"/>
      <c r="S25" s="363"/>
      <c r="T25" s="363"/>
      <c r="U25" s="363"/>
    </row>
    <row r="26" spans="1:21" ht="15.75" hidden="1">
      <c r="A26" s="596"/>
      <c r="B26" s="589" t="s">
        <v>1526</v>
      </c>
      <c r="C26" s="489"/>
      <c r="D26" s="489"/>
      <c r="E26" s="489"/>
      <c r="F26" s="363"/>
      <c r="G26" s="490"/>
      <c r="H26" s="491"/>
      <c r="I26" s="490"/>
      <c r="J26" s="491"/>
      <c r="K26" s="490"/>
      <c r="L26" s="491"/>
      <c r="M26" s="490"/>
      <c r="N26" s="491"/>
      <c r="O26" s="403">
        <f t="shared" si="1"/>
        <v>0</v>
      </c>
      <c r="P26" s="401">
        <f t="shared" si="2"/>
        <v>0</v>
      </c>
      <c r="Q26" s="363"/>
      <c r="R26" s="363"/>
      <c r="S26" s="363"/>
      <c r="T26" s="363"/>
      <c r="U26" s="363"/>
    </row>
    <row r="27" spans="1:21" ht="15.75" hidden="1">
      <c r="A27" s="596"/>
      <c r="B27" s="590"/>
      <c r="C27" s="489"/>
      <c r="D27" s="489"/>
      <c r="E27" s="489"/>
      <c r="F27" s="363"/>
      <c r="G27" s="490"/>
      <c r="H27" s="491"/>
      <c r="I27" s="490"/>
      <c r="J27" s="491"/>
      <c r="K27" s="490"/>
      <c r="L27" s="491"/>
      <c r="M27" s="490"/>
      <c r="N27" s="491"/>
      <c r="O27" s="403">
        <f t="shared" si="1"/>
        <v>0</v>
      </c>
      <c r="P27" s="401">
        <f t="shared" si="2"/>
        <v>0</v>
      </c>
      <c r="Q27" s="363"/>
      <c r="R27" s="363"/>
      <c r="S27" s="363"/>
      <c r="T27" s="363"/>
      <c r="U27" s="363"/>
    </row>
    <row r="28" spans="1:21" ht="15.75" hidden="1">
      <c r="A28" s="596"/>
      <c r="B28" s="590"/>
      <c r="C28" s="489"/>
      <c r="D28" s="489"/>
      <c r="E28" s="489"/>
      <c r="F28" s="363"/>
      <c r="G28" s="490"/>
      <c r="H28" s="491"/>
      <c r="I28" s="490"/>
      <c r="J28" s="491"/>
      <c r="K28" s="490"/>
      <c r="L28" s="491"/>
      <c r="M28" s="490"/>
      <c r="N28" s="491"/>
      <c r="O28" s="403">
        <f t="shared" si="1"/>
        <v>0</v>
      </c>
      <c r="P28" s="401">
        <f t="shared" si="2"/>
        <v>0</v>
      </c>
      <c r="Q28" s="363"/>
      <c r="R28" s="363"/>
      <c r="S28" s="363"/>
      <c r="T28" s="363"/>
      <c r="U28" s="363"/>
    </row>
    <row r="29" spans="1:21" ht="15.75" hidden="1">
      <c r="A29" s="596"/>
      <c r="B29" s="591"/>
      <c r="C29" s="489"/>
      <c r="D29" s="489"/>
      <c r="E29" s="489"/>
      <c r="F29" s="363"/>
      <c r="G29" s="490"/>
      <c r="H29" s="491"/>
      <c r="I29" s="490"/>
      <c r="J29" s="491"/>
      <c r="K29" s="490"/>
      <c r="L29" s="491"/>
      <c r="M29" s="490"/>
      <c r="N29" s="491"/>
      <c r="O29" s="403">
        <f t="shared" si="1"/>
        <v>0</v>
      </c>
      <c r="P29" s="401">
        <f t="shared" si="2"/>
        <v>0</v>
      </c>
      <c r="Q29" s="363"/>
      <c r="R29" s="363"/>
      <c r="S29" s="363"/>
      <c r="T29" s="363"/>
      <c r="U29" s="363"/>
    </row>
    <row r="30" spans="1:21" ht="15.75" hidden="1">
      <c r="A30" s="596"/>
      <c r="B30" s="634" t="s">
        <v>1527</v>
      </c>
      <c r="C30" s="489"/>
      <c r="D30" s="489"/>
      <c r="E30" s="489"/>
      <c r="F30" s="363"/>
      <c r="G30" s="490"/>
      <c r="H30" s="491"/>
      <c r="I30" s="490"/>
      <c r="J30" s="491"/>
      <c r="K30" s="490"/>
      <c r="L30" s="491"/>
      <c r="M30" s="490"/>
      <c r="N30" s="491"/>
      <c r="O30" s="403">
        <f t="shared" si="1"/>
        <v>0</v>
      </c>
      <c r="P30" s="401">
        <f t="shared" si="2"/>
        <v>0</v>
      </c>
      <c r="Q30" s="363"/>
      <c r="R30" s="363"/>
      <c r="S30" s="363"/>
      <c r="T30" s="363"/>
      <c r="U30" s="363"/>
    </row>
    <row r="31" spans="1:21" ht="15.75" hidden="1">
      <c r="A31" s="596"/>
      <c r="B31" s="634"/>
      <c r="C31" s="489"/>
      <c r="D31" s="489"/>
      <c r="E31" s="489"/>
      <c r="F31" s="363"/>
      <c r="G31" s="490"/>
      <c r="H31" s="491"/>
      <c r="I31" s="490"/>
      <c r="J31" s="491"/>
      <c r="K31" s="490"/>
      <c r="L31" s="491"/>
      <c r="M31" s="490"/>
      <c r="N31" s="491"/>
      <c r="O31" s="403">
        <f t="shared" si="1"/>
        <v>0</v>
      </c>
      <c r="P31" s="401">
        <f t="shared" si="2"/>
        <v>0</v>
      </c>
      <c r="Q31" s="363"/>
      <c r="R31" s="363"/>
      <c r="S31" s="363"/>
      <c r="T31" s="363"/>
      <c r="U31" s="363"/>
    </row>
    <row r="32" spans="1:21" ht="15.75" hidden="1">
      <c r="A32" s="596"/>
      <c r="B32" s="634"/>
      <c r="C32" s="489"/>
      <c r="D32" s="489"/>
      <c r="E32" s="489"/>
      <c r="F32" s="363"/>
      <c r="G32" s="490"/>
      <c r="H32" s="491"/>
      <c r="I32" s="490"/>
      <c r="J32" s="491"/>
      <c r="K32" s="490"/>
      <c r="L32" s="491"/>
      <c r="M32" s="490"/>
      <c r="N32" s="491"/>
      <c r="O32" s="403">
        <f t="shared" si="1"/>
        <v>0</v>
      </c>
      <c r="P32" s="401">
        <f t="shared" si="2"/>
        <v>0</v>
      </c>
      <c r="Q32" s="363"/>
      <c r="R32" s="363"/>
      <c r="S32" s="363"/>
      <c r="T32" s="363"/>
      <c r="U32" s="363"/>
    </row>
    <row r="33" spans="1:21" ht="15.75" hidden="1">
      <c r="A33" s="596"/>
      <c r="B33" s="634"/>
      <c r="C33" s="489"/>
      <c r="D33" s="489"/>
      <c r="E33" s="489"/>
      <c r="F33" s="363"/>
      <c r="G33" s="490"/>
      <c r="H33" s="491"/>
      <c r="I33" s="490"/>
      <c r="J33" s="491"/>
      <c r="K33" s="490"/>
      <c r="L33" s="491"/>
      <c r="M33" s="490"/>
      <c r="N33" s="491"/>
      <c r="O33" s="403">
        <f t="shared" si="1"/>
        <v>0</v>
      </c>
      <c r="P33" s="401">
        <f t="shared" si="2"/>
        <v>0</v>
      </c>
      <c r="Q33" s="363"/>
      <c r="R33" s="363"/>
      <c r="S33" s="363"/>
      <c r="T33" s="363"/>
      <c r="U33" s="363"/>
    </row>
    <row r="34" spans="1:21" ht="15.75" hidden="1">
      <c r="A34" s="596"/>
      <c r="B34" s="634" t="s">
        <v>1528</v>
      </c>
      <c r="C34" s="489"/>
      <c r="D34" s="489"/>
      <c r="E34" s="489"/>
      <c r="F34" s="363"/>
      <c r="G34" s="490"/>
      <c r="H34" s="491"/>
      <c r="I34" s="490"/>
      <c r="J34" s="491"/>
      <c r="K34" s="490"/>
      <c r="L34" s="491"/>
      <c r="M34" s="490"/>
      <c r="N34" s="491"/>
      <c r="O34" s="403">
        <f t="shared" si="1"/>
        <v>0</v>
      </c>
      <c r="P34" s="401">
        <f t="shared" si="2"/>
        <v>0</v>
      </c>
      <c r="Q34" s="363"/>
      <c r="R34" s="363"/>
      <c r="S34" s="363"/>
      <c r="T34" s="363"/>
      <c r="U34" s="363"/>
    </row>
    <row r="35" spans="1:21" ht="15.75" hidden="1">
      <c r="A35" s="596"/>
      <c r="B35" s="634"/>
      <c r="C35" s="489"/>
      <c r="D35" s="489"/>
      <c r="E35" s="489"/>
      <c r="F35" s="363"/>
      <c r="G35" s="490"/>
      <c r="H35" s="491"/>
      <c r="I35" s="490"/>
      <c r="J35" s="491"/>
      <c r="K35" s="490"/>
      <c r="L35" s="491"/>
      <c r="M35" s="490"/>
      <c r="N35" s="491"/>
      <c r="O35" s="403">
        <f t="shared" si="1"/>
        <v>0</v>
      </c>
      <c r="P35" s="401">
        <f t="shared" si="2"/>
        <v>0</v>
      </c>
      <c r="Q35" s="363"/>
      <c r="R35" s="363"/>
      <c r="S35" s="363"/>
      <c r="T35" s="363"/>
      <c r="U35" s="363"/>
    </row>
    <row r="36" spans="1:21" ht="15.75" hidden="1">
      <c r="A36" s="596"/>
      <c r="B36" s="634"/>
      <c r="C36" s="489"/>
      <c r="D36" s="489"/>
      <c r="E36" s="489"/>
      <c r="F36" s="363"/>
      <c r="G36" s="490"/>
      <c r="H36" s="491"/>
      <c r="I36" s="490"/>
      <c r="J36" s="491"/>
      <c r="K36" s="490"/>
      <c r="L36" s="491"/>
      <c r="M36" s="490"/>
      <c r="N36" s="491"/>
      <c r="O36" s="403">
        <f t="shared" si="1"/>
        <v>0</v>
      </c>
      <c r="P36" s="401">
        <f t="shared" si="2"/>
        <v>0</v>
      </c>
      <c r="Q36" s="363"/>
      <c r="R36" s="363"/>
      <c r="S36" s="363"/>
      <c r="T36" s="363"/>
      <c r="U36" s="363"/>
    </row>
    <row r="37" spans="1:21" ht="15.75" hidden="1">
      <c r="A37" s="597"/>
      <c r="B37" s="634"/>
      <c r="C37" s="489"/>
      <c r="D37" s="489"/>
      <c r="E37" s="489"/>
      <c r="F37" s="363"/>
      <c r="G37" s="490"/>
      <c r="H37" s="491"/>
      <c r="I37" s="490"/>
      <c r="J37" s="491"/>
      <c r="K37" s="490"/>
      <c r="L37" s="491"/>
      <c r="M37" s="490"/>
      <c r="N37" s="491"/>
      <c r="O37" s="403">
        <f t="shared" si="1"/>
        <v>0</v>
      </c>
      <c r="P37" s="401">
        <f t="shared" si="2"/>
        <v>0</v>
      </c>
      <c r="Q37" s="363"/>
      <c r="R37" s="363"/>
      <c r="S37" s="363"/>
      <c r="T37" s="363"/>
      <c r="U37" s="363"/>
    </row>
    <row r="38" spans="1:21" ht="15.75" hidden="1" customHeight="1">
      <c r="A38" s="634" t="s">
        <v>1511</v>
      </c>
      <c r="B38" s="589" t="s">
        <v>1529</v>
      </c>
      <c r="C38" s="489"/>
      <c r="D38" s="489"/>
      <c r="E38" s="489"/>
      <c r="F38" s="363"/>
      <c r="G38" s="490"/>
      <c r="H38" s="491"/>
      <c r="I38" s="490"/>
      <c r="J38" s="491"/>
      <c r="K38" s="490"/>
      <c r="L38" s="491"/>
      <c r="M38" s="490"/>
      <c r="N38" s="491"/>
      <c r="O38" s="403">
        <f t="shared" si="1"/>
        <v>0</v>
      </c>
      <c r="P38" s="401">
        <f t="shared" si="2"/>
        <v>0</v>
      </c>
      <c r="Q38" s="363"/>
      <c r="R38" s="363"/>
      <c r="S38" s="363"/>
      <c r="T38" s="363"/>
      <c r="U38" s="363"/>
    </row>
    <row r="39" spans="1:21" ht="15.75" hidden="1">
      <c r="A39" s="634"/>
      <c r="B39" s="590"/>
      <c r="C39" s="489"/>
      <c r="D39" s="489"/>
      <c r="E39" s="489"/>
      <c r="F39" s="363"/>
      <c r="G39" s="490"/>
      <c r="H39" s="491"/>
      <c r="I39" s="490"/>
      <c r="J39" s="491"/>
      <c r="K39" s="490"/>
      <c r="L39" s="491"/>
      <c r="M39" s="490"/>
      <c r="N39" s="491"/>
      <c r="O39" s="403">
        <f t="shared" si="1"/>
        <v>0</v>
      </c>
      <c r="P39" s="401">
        <f t="shared" si="2"/>
        <v>0</v>
      </c>
      <c r="Q39" s="363"/>
      <c r="R39" s="363"/>
      <c r="S39" s="363"/>
      <c r="T39" s="363"/>
      <c r="U39" s="363"/>
    </row>
    <row r="40" spans="1:21" ht="15.75" hidden="1">
      <c r="A40" s="634"/>
      <c r="B40" s="590"/>
      <c r="C40" s="489"/>
      <c r="D40" s="489"/>
      <c r="E40" s="489"/>
      <c r="F40" s="363"/>
      <c r="G40" s="490"/>
      <c r="H40" s="491"/>
      <c r="I40" s="490"/>
      <c r="J40" s="491"/>
      <c r="K40" s="490"/>
      <c r="L40" s="491"/>
      <c r="M40" s="490"/>
      <c r="N40" s="491"/>
      <c r="O40" s="403">
        <f t="shared" si="1"/>
        <v>0</v>
      </c>
      <c r="P40" s="401">
        <f t="shared" si="2"/>
        <v>0</v>
      </c>
      <c r="Q40" s="363"/>
      <c r="R40" s="363"/>
      <c r="S40" s="363"/>
      <c r="T40" s="363"/>
      <c r="U40" s="363"/>
    </row>
    <row r="41" spans="1:21" ht="15.75" hidden="1">
      <c r="A41" s="634"/>
      <c r="B41" s="591"/>
      <c r="C41" s="489"/>
      <c r="D41" s="489"/>
      <c r="E41" s="489"/>
      <c r="F41" s="363"/>
      <c r="G41" s="490"/>
      <c r="H41" s="491"/>
      <c r="I41" s="490"/>
      <c r="J41" s="491"/>
      <c r="K41" s="490"/>
      <c r="L41" s="491"/>
      <c r="M41" s="490"/>
      <c r="N41" s="491"/>
      <c r="O41" s="403">
        <f t="shared" si="1"/>
        <v>0</v>
      </c>
      <c r="P41" s="401">
        <f t="shared" si="2"/>
        <v>0</v>
      </c>
      <c r="Q41" s="363"/>
      <c r="R41" s="363"/>
      <c r="S41" s="363"/>
      <c r="T41" s="363"/>
      <c r="U41" s="363"/>
    </row>
    <row r="42" spans="1:21" ht="15.75" hidden="1">
      <c r="A42" s="634"/>
      <c r="B42" s="589" t="s">
        <v>1530</v>
      </c>
      <c r="C42" s="489"/>
      <c r="D42" s="489"/>
      <c r="E42" s="489"/>
      <c r="F42" s="363"/>
      <c r="G42" s="490"/>
      <c r="H42" s="491"/>
      <c r="I42" s="490"/>
      <c r="J42" s="491"/>
      <c r="K42" s="490"/>
      <c r="L42" s="491"/>
      <c r="M42" s="490"/>
      <c r="N42" s="491"/>
      <c r="O42" s="403">
        <f t="shared" si="1"/>
        <v>0</v>
      </c>
      <c r="P42" s="401">
        <f t="shared" si="2"/>
        <v>0</v>
      </c>
      <c r="Q42" s="363"/>
      <c r="R42" s="363"/>
      <c r="S42" s="363"/>
      <c r="T42" s="363"/>
      <c r="U42" s="363"/>
    </row>
    <row r="43" spans="1:21" ht="15.75" hidden="1">
      <c r="A43" s="634"/>
      <c r="B43" s="590"/>
      <c r="C43" s="489"/>
      <c r="D43" s="489"/>
      <c r="E43" s="489"/>
      <c r="F43" s="363"/>
      <c r="G43" s="490"/>
      <c r="H43" s="491"/>
      <c r="I43" s="490"/>
      <c r="J43" s="491"/>
      <c r="K43" s="490"/>
      <c r="L43" s="491"/>
      <c r="M43" s="490"/>
      <c r="N43" s="491"/>
      <c r="O43" s="403">
        <f t="shared" si="1"/>
        <v>0</v>
      </c>
      <c r="P43" s="401">
        <f t="shared" si="2"/>
        <v>0</v>
      </c>
      <c r="Q43" s="363"/>
      <c r="R43" s="363"/>
      <c r="S43" s="363"/>
      <c r="T43" s="363"/>
      <c r="U43" s="363"/>
    </row>
    <row r="44" spans="1:21" ht="15.75" hidden="1">
      <c r="A44" s="634"/>
      <c r="B44" s="590"/>
      <c r="C44" s="489"/>
      <c r="D44" s="489"/>
      <c r="E44" s="489"/>
      <c r="F44" s="363"/>
      <c r="G44" s="490"/>
      <c r="H44" s="491"/>
      <c r="I44" s="490"/>
      <c r="J44" s="491"/>
      <c r="K44" s="490"/>
      <c r="L44" s="491"/>
      <c r="M44" s="490"/>
      <c r="N44" s="491"/>
      <c r="O44" s="403">
        <f t="shared" si="1"/>
        <v>0</v>
      </c>
      <c r="P44" s="401">
        <f t="shared" si="2"/>
        <v>0</v>
      </c>
      <c r="Q44" s="363"/>
      <c r="R44" s="363"/>
      <c r="S44" s="363"/>
      <c r="T44" s="363"/>
      <c r="U44" s="363"/>
    </row>
    <row r="45" spans="1:21" ht="15.75" hidden="1">
      <c r="A45" s="634"/>
      <c r="B45" s="591"/>
      <c r="C45" s="489"/>
      <c r="D45" s="489"/>
      <c r="E45" s="489"/>
      <c r="F45" s="363"/>
      <c r="G45" s="490"/>
      <c r="H45" s="491"/>
      <c r="I45" s="490"/>
      <c r="J45" s="491"/>
      <c r="K45" s="490"/>
      <c r="L45" s="491"/>
      <c r="M45" s="490"/>
      <c r="N45" s="491"/>
      <c r="O45" s="403">
        <f t="shared" si="1"/>
        <v>0</v>
      </c>
      <c r="P45" s="401">
        <f t="shared" si="2"/>
        <v>0</v>
      </c>
      <c r="Q45" s="363"/>
      <c r="R45" s="363"/>
      <c r="S45" s="363"/>
      <c r="T45" s="363"/>
      <c r="U45" s="363"/>
    </row>
    <row r="46" spans="1:21" ht="15.75" hidden="1" customHeight="1">
      <c r="A46" s="639"/>
      <c r="B46" s="634" t="s">
        <v>1531</v>
      </c>
      <c r="C46" s="489"/>
      <c r="D46" s="489"/>
      <c r="E46" s="489"/>
      <c r="F46" s="363"/>
      <c r="G46" s="490"/>
      <c r="H46" s="491"/>
      <c r="I46" s="490"/>
      <c r="J46" s="491"/>
      <c r="K46" s="490"/>
      <c r="L46" s="491"/>
      <c r="M46" s="490"/>
      <c r="N46" s="491"/>
      <c r="O46" s="403">
        <f t="shared" si="1"/>
        <v>0</v>
      </c>
      <c r="P46" s="401">
        <f t="shared" si="2"/>
        <v>0</v>
      </c>
      <c r="Q46" s="363"/>
      <c r="R46" s="363"/>
      <c r="S46" s="363"/>
      <c r="T46" s="363"/>
      <c r="U46" s="363"/>
    </row>
    <row r="47" spans="1:21" ht="15.75" hidden="1">
      <c r="A47" s="640"/>
      <c r="B47" s="634"/>
      <c r="C47" s="489"/>
      <c r="D47" s="489"/>
      <c r="E47" s="489"/>
      <c r="F47" s="363"/>
      <c r="G47" s="490"/>
      <c r="H47" s="491"/>
      <c r="I47" s="490"/>
      <c r="J47" s="491"/>
      <c r="K47" s="490"/>
      <c r="L47" s="491"/>
      <c r="M47" s="490"/>
      <c r="N47" s="491"/>
      <c r="O47" s="403">
        <f t="shared" si="1"/>
        <v>0</v>
      </c>
      <c r="P47" s="401">
        <f t="shared" si="2"/>
        <v>0</v>
      </c>
      <c r="Q47" s="363"/>
      <c r="R47" s="363"/>
      <c r="S47" s="363"/>
      <c r="T47" s="363"/>
      <c r="U47" s="363"/>
    </row>
    <row r="48" spans="1:21" ht="15.75" hidden="1">
      <c r="A48" s="640"/>
      <c r="B48" s="634"/>
      <c r="C48" s="489"/>
      <c r="D48" s="489"/>
      <c r="E48" s="489"/>
      <c r="F48" s="363"/>
      <c r="G48" s="490"/>
      <c r="H48" s="491"/>
      <c r="I48" s="490"/>
      <c r="J48" s="491"/>
      <c r="K48" s="490"/>
      <c r="L48" s="491"/>
      <c r="M48" s="490"/>
      <c r="N48" s="491"/>
      <c r="O48" s="403">
        <f t="shared" si="1"/>
        <v>0</v>
      </c>
      <c r="P48" s="401">
        <f t="shared" si="2"/>
        <v>0</v>
      </c>
      <c r="Q48" s="363"/>
      <c r="R48" s="363"/>
      <c r="S48" s="363"/>
      <c r="T48" s="363"/>
      <c r="U48" s="363"/>
    </row>
    <row r="49" spans="1:21" ht="15.75" hidden="1">
      <c r="A49" s="640"/>
      <c r="B49" s="634"/>
      <c r="C49" s="489"/>
      <c r="D49" s="489"/>
      <c r="E49" s="489"/>
      <c r="F49" s="363"/>
      <c r="G49" s="490"/>
      <c r="H49" s="491"/>
      <c r="I49" s="490"/>
      <c r="J49" s="491"/>
      <c r="K49" s="490"/>
      <c r="L49" s="491"/>
      <c r="M49" s="490"/>
      <c r="N49" s="491"/>
      <c r="O49" s="403">
        <f t="shared" si="1"/>
        <v>0</v>
      </c>
      <c r="P49" s="401">
        <f t="shared" si="2"/>
        <v>0</v>
      </c>
      <c r="Q49" s="363"/>
      <c r="R49" s="363"/>
      <c r="S49" s="363"/>
      <c r="T49" s="363"/>
      <c r="U49" s="363"/>
    </row>
    <row r="50" spans="1:21" ht="110.25" customHeight="1">
      <c r="A50" s="589" t="s">
        <v>1512</v>
      </c>
      <c r="B50" s="589" t="s">
        <v>1532</v>
      </c>
      <c r="C50" s="273" t="s">
        <v>1667</v>
      </c>
      <c r="D50" s="273" t="s">
        <v>1567</v>
      </c>
      <c r="E50" s="363">
        <v>17.100000000000001</v>
      </c>
      <c r="F50" s="363" t="s">
        <v>1566</v>
      </c>
      <c r="G50" s="490"/>
      <c r="H50" s="491"/>
      <c r="I50" s="490">
        <v>1</v>
      </c>
      <c r="J50" s="491">
        <v>60000</v>
      </c>
      <c r="K50" s="490"/>
      <c r="L50" s="501"/>
      <c r="M50" s="490"/>
      <c r="N50" s="491"/>
      <c r="O50" s="403">
        <f t="shared" si="1"/>
        <v>1</v>
      </c>
      <c r="P50" s="401">
        <f t="shared" si="2"/>
        <v>60000</v>
      </c>
      <c r="Q50" s="363" t="s">
        <v>1539</v>
      </c>
      <c r="R50" s="363" t="s">
        <v>1568</v>
      </c>
      <c r="S50" s="363" t="s">
        <v>1545</v>
      </c>
      <c r="T50" s="363" t="s">
        <v>1547</v>
      </c>
      <c r="U50" s="363" t="s">
        <v>1547</v>
      </c>
    </row>
    <row r="51" spans="1:21" ht="110.25" customHeight="1">
      <c r="A51" s="590"/>
      <c r="B51" s="590"/>
      <c r="C51" s="273" t="s">
        <v>1541</v>
      </c>
      <c r="D51" s="273" t="s">
        <v>1540</v>
      </c>
      <c r="E51" s="363">
        <v>17.2</v>
      </c>
      <c r="F51" s="363" t="s">
        <v>1542</v>
      </c>
      <c r="G51" s="490"/>
      <c r="H51" s="491"/>
      <c r="I51" s="490"/>
      <c r="J51" s="491"/>
      <c r="K51" s="490">
        <v>1</v>
      </c>
      <c r="L51" s="491">
        <v>120000</v>
      </c>
      <c r="M51" s="490"/>
      <c r="N51" s="491"/>
      <c r="O51" s="403">
        <f t="shared" si="1"/>
        <v>1</v>
      </c>
      <c r="P51" s="401">
        <f t="shared" si="2"/>
        <v>120000</v>
      </c>
      <c r="Q51" s="363" t="s">
        <v>1539</v>
      </c>
      <c r="R51" s="363" t="s">
        <v>1543</v>
      </c>
      <c r="S51" s="363" t="s">
        <v>1546</v>
      </c>
      <c r="T51" s="363" t="s">
        <v>1544</v>
      </c>
      <c r="U51" s="363" t="s">
        <v>1547</v>
      </c>
    </row>
    <row r="52" spans="1:21" ht="110.25" customHeight="1">
      <c r="A52" s="590"/>
      <c r="B52" s="591"/>
      <c r="C52" s="273" t="s">
        <v>1668</v>
      </c>
      <c r="D52" s="273" t="s">
        <v>1669</v>
      </c>
      <c r="E52" s="363">
        <v>17.3</v>
      </c>
      <c r="F52" s="363" t="s">
        <v>1548</v>
      </c>
      <c r="G52" s="490"/>
      <c r="H52" s="491"/>
      <c r="I52" s="490"/>
      <c r="J52" s="491"/>
      <c r="K52" s="490">
        <v>1</v>
      </c>
      <c r="L52" s="501">
        <v>70000</v>
      </c>
      <c r="M52" s="490"/>
      <c r="N52" s="491"/>
      <c r="O52" s="403">
        <f t="shared" ref="O52" si="3">G52+I52+K52+M52</f>
        <v>1</v>
      </c>
      <c r="P52" s="401">
        <f t="shared" ref="P52" si="4">H52+J52+L52+N52</f>
        <v>70000</v>
      </c>
      <c r="Q52" s="363" t="s">
        <v>1539</v>
      </c>
      <c r="R52" s="363" t="s">
        <v>1549</v>
      </c>
      <c r="S52" s="363" t="s">
        <v>1550</v>
      </c>
      <c r="T52" s="363"/>
      <c r="U52" s="363" t="s">
        <v>1547</v>
      </c>
    </row>
    <row r="53" spans="1:21" ht="81.75" customHeight="1">
      <c r="A53" s="640"/>
      <c r="B53" s="639" t="s">
        <v>1533</v>
      </c>
      <c r="C53" s="273"/>
      <c r="D53" s="273"/>
      <c r="E53" s="489"/>
      <c r="F53" s="363"/>
      <c r="G53" s="490"/>
      <c r="H53" s="491"/>
      <c r="I53" s="490"/>
      <c r="J53" s="491"/>
      <c r="K53" s="490"/>
      <c r="L53" s="491"/>
      <c r="M53" s="490"/>
      <c r="N53" s="491"/>
      <c r="O53" s="403">
        <f t="shared" si="1"/>
        <v>0</v>
      </c>
      <c r="P53" s="401">
        <f t="shared" si="2"/>
        <v>0</v>
      </c>
      <c r="Q53" s="363"/>
      <c r="R53" s="363"/>
      <c r="S53" s="363"/>
      <c r="T53" s="363"/>
      <c r="U53" s="363"/>
    </row>
    <row r="54" spans="1:21" ht="81.75" hidden="1" customHeight="1">
      <c r="A54" s="589" t="s">
        <v>1513</v>
      </c>
      <c r="B54" s="589" t="s">
        <v>1534</v>
      </c>
      <c r="C54" s="489"/>
      <c r="D54" s="489"/>
      <c r="E54" s="489"/>
      <c r="F54" s="363"/>
      <c r="G54" s="490"/>
      <c r="H54" s="491"/>
      <c r="I54" s="490"/>
      <c r="J54" s="491"/>
      <c r="K54" s="490"/>
      <c r="L54" s="491"/>
      <c r="M54" s="490"/>
      <c r="N54" s="491"/>
      <c r="O54" s="403">
        <f t="shared" si="1"/>
        <v>0</v>
      </c>
      <c r="P54" s="401">
        <f t="shared" si="2"/>
        <v>0</v>
      </c>
      <c r="Q54" s="363"/>
      <c r="R54" s="363"/>
      <c r="S54" s="363"/>
      <c r="T54" s="363"/>
      <c r="U54" s="363"/>
    </row>
    <row r="55" spans="1:21" ht="81.75" hidden="1" customHeight="1">
      <c r="A55" s="590"/>
      <c r="B55" s="590"/>
      <c r="C55" s="489"/>
      <c r="D55" s="489"/>
      <c r="E55" s="489"/>
      <c r="F55" s="363"/>
      <c r="G55" s="490"/>
      <c r="H55" s="491"/>
      <c r="I55" s="490"/>
      <c r="J55" s="491"/>
      <c r="K55" s="490"/>
      <c r="L55" s="491"/>
      <c r="M55" s="490"/>
      <c r="N55" s="491"/>
      <c r="O55" s="403">
        <f t="shared" si="1"/>
        <v>0</v>
      </c>
      <c r="P55" s="401">
        <f t="shared" si="2"/>
        <v>0</v>
      </c>
      <c r="Q55" s="363"/>
      <c r="R55" s="363"/>
      <c r="S55" s="363"/>
      <c r="T55" s="363"/>
      <c r="U55" s="363"/>
    </row>
    <row r="56" spans="1:21" ht="81.75" hidden="1" customHeight="1">
      <c r="A56" s="590"/>
      <c r="B56" s="590"/>
      <c r="C56" s="489"/>
      <c r="D56" s="489"/>
      <c r="E56" s="489"/>
      <c r="F56" s="363"/>
      <c r="G56" s="490"/>
      <c r="H56" s="491"/>
      <c r="I56" s="490"/>
      <c r="J56" s="491"/>
      <c r="K56" s="490"/>
      <c r="L56" s="491"/>
      <c r="M56" s="490"/>
      <c r="N56" s="491"/>
      <c r="O56" s="403">
        <f t="shared" si="1"/>
        <v>0</v>
      </c>
      <c r="P56" s="401">
        <f t="shared" si="2"/>
        <v>0</v>
      </c>
      <c r="Q56" s="363"/>
      <c r="R56" s="363"/>
      <c r="S56" s="363"/>
      <c r="T56" s="363"/>
      <c r="U56" s="363"/>
    </row>
    <row r="57" spans="1:21" ht="81.75" hidden="1" customHeight="1">
      <c r="A57" s="590"/>
      <c r="B57" s="591"/>
      <c r="C57" s="489"/>
      <c r="D57" s="489"/>
      <c r="E57" s="489"/>
      <c r="F57" s="363"/>
      <c r="G57" s="490"/>
      <c r="H57" s="491"/>
      <c r="I57" s="490"/>
      <c r="J57" s="491"/>
      <c r="K57" s="490"/>
      <c r="L57" s="491"/>
      <c r="M57" s="490"/>
      <c r="N57" s="491"/>
      <c r="O57" s="403">
        <f t="shared" si="1"/>
        <v>0</v>
      </c>
      <c r="P57" s="401">
        <f t="shared" si="2"/>
        <v>0</v>
      </c>
      <c r="Q57" s="363"/>
      <c r="R57" s="363"/>
      <c r="S57" s="363"/>
      <c r="T57" s="363"/>
      <c r="U57" s="363"/>
    </row>
    <row r="58" spans="1:21" ht="81.75" hidden="1" customHeight="1">
      <c r="A58" s="590"/>
      <c r="B58" s="589" t="s">
        <v>1535</v>
      </c>
      <c r="C58" s="489"/>
      <c r="D58" s="489"/>
      <c r="E58" s="489"/>
      <c r="F58" s="363"/>
      <c r="G58" s="490"/>
      <c r="H58" s="491"/>
      <c r="I58" s="490"/>
      <c r="J58" s="491"/>
      <c r="K58" s="490"/>
      <c r="L58" s="491"/>
      <c r="M58" s="490"/>
      <c r="N58" s="491"/>
      <c r="O58" s="403">
        <f t="shared" si="1"/>
        <v>0</v>
      </c>
      <c r="P58" s="401">
        <f t="shared" si="2"/>
        <v>0</v>
      </c>
      <c r="Q58" s="363"/>
      <c r="R58" s="363"/>
      <c r="S58" s="363"/>
      <c r="T58" s="363"/>
      <c r="U58" s="363"/>
    </row>
    <row r="59" spans="1:21" ht="81.75" hidden="1" customHeight="1">
      <c r="A59" s="590"/>
      <c r="B59" s="590"/>
      <c r="C59" s="489"/>
      <c r="D59" s="489"/>
      <c r="E59" s="489"/>
      <c r="F59" s="363"/>
      <c r="G59" s="490"/>
      <c r="H59" s="491"/>
      <c r="I59" s="490"/>
      <c r="J59" s="491"/>
      <c r="K59" s="490"/>
      <c r="L59" s="491"/>
      <c r="M59" s="490"/>
      <c r="N59" s="491"/>
      <c r="O59" s="403">
        <f t="shared" si="1"/>
        <v>0</v>
      </c>
      <c r="P59" s="401">
        <f t="shared" si="2"/>
        <v>0</v>
      </c>
      <c r="Q59" s="363"/>
      <c r="R59" s="363"/>
      <c r="S59" s="363"/>
      <c r="T59" s="363"/>
      <c r="U59" s="363"/>
    </row>
    <row r="60" spans="1:21" ht="81.75" hidden="1" customHeight="1">
      <c r="A60" s="590"/>
      <c r="B60" s="590"/>
      <c r="C60" s="489"/>
      <c r="D60" s="489"/>
      <c r="E60" s="489"/>
      <c r="F60" s="363"/>
      <c r="G60" s="490"/>
      <c r="H60" s="491"/>
      <c r="I60" s="490"/>
      <c r="J60" s="491"/>
      <c r="K60" s="490"/>
      <c r="L60" s="491"/>
      <c r="M60" s="490"/>
      <c r="N60" s="491"/>
      <c r="O60" s="403">
        <f t="shared" si="1"/>
        <v>0</v>
      </c>
      <c r="P60" s="401">
        <f t="shared" si="2"/>
        <v>0</v>
      </c>
      <c r="Q60" s="363"/>
      <c r="R60" s="363"/>
      <c r="S60" s="363"/>
      <c r="T60" s="363"/>
      <c r="U60" s="363"/>
    </row>
    <row r="61" spans="1:21" ht="81.75" hidden="1" customHeight="1">
      <c r="A61" s="590"/>
      <c r="B61" s="591"/>
      <c r="C61" s="489"/>
      <c r="D61" s="489"/>
      <c r="E61" s="489"/>
      <c r="F61" s="363"/>
      <c r="G61" s="490"/>
      <c r="H61" s="491"/>
      <c r="I61" s="490"/>
      <c r="J61" s="491"/>
      <c r="K61" s="490"/>
      <c r="L61" s="491"/>
      <c r="M61" s="490"/>
      <c r="N61" s="491"/>
      <c r="O61" s="403">
        <f t="shared" si="1"/>
        <v>0</v>
      </c>
      <c r="P61" s="401">
        <f t="shared" si="2"/>
        <v>0</v>
      </c>
      <c r="Q61" s="363"/>
      <c r="R61" s="363"/>
      <c r="S61" s="363"/>
      <c r="T61" s="363"/>
      <c r="U61" s="363"/>
    </row>
    <row r="62" spans="1:21" ht="81.75" hidden="1" customHeight="1">
      <c r="A62" s="590"/>
      <c r="B62" s="589" t="s">
        <v>1536</v>
      </c>
      <c r="C62" s="489"/>
      <c r="D62" s="489"/>
      <c r="E62" s="489"/>
      <c r="F62" s="363"/>
      <c r="G62" s="490"/>
      <c r="H62" s="491"/>
      <c r="I62" s="490"/>
      <c r="J62" s="491"/>
      <c r="K62" s="490"/>
      <c r="L62" s="491"/>
      <c r="M62" s="490"/>
      <c r="N62" s="491"/>
      <c r="O62" s="403">
        <f t="shared" si="1"/>
        <v>0</v>
      </c>
      <c r="P62" s="401">
        <f t="shared" si="2"/>
        <v>0</v>
      </c>
      <c r="Q62" s="363"/>
      <c r="R62" s="363"/>
      <c r="S62" s="363"/>
      <c r="T62" s="363"/>
      <c r="U62" s="363"/>
    </row>
    <row r="63" spans="1:21" ht="81.75" hidden="1" customHeight="1">
      <c r="A63" s="590"/>
      <c r="B63" s="590"/>
      <c r="C63" s="489"/>
      <c r="D63" s="489"/>
      <c r="E63" s="489"/>
      <c r="F63" s="363"/>
      <c r="G63" s="490"/>
      <c r="H63" s="491"/>
      <c r="I63" s="490"/>
      <c r="J63" s="491"/>
      <c r="K63" s="490"/>
      <c r="L63" s="491"/>
      <c r="M63" s="490"/>
      <c r="N63" s="491"/>
      <c r="O63" s="403">
        <f t="shared" si="1"/>
        <v>0</v>
      </c>
      <c r="P63" s="401">
        <f t="shared" si="2"/>
        <v>0</v>
      </c>
      <c r="Q63" s="363"/>
      <c r="R63" s="363"/>
      <c r="S63" s="363"/>
      <c r="T63" s="363"/>
      <c r="U63" s="363"/>
    </row>
    <row r="64" spans="1:21" ht="81.75" hidden="1" customHeight="1">
      <c r="A64" s="590"/>
      <c r="B64" s="590"/>
      <c r="C64" s="489"/>
      <c r="D64" s="489"/>
      <c r="E64" s="489"/>
      <c r="F64" s="363"/>
      <c r="G64" s="490"/>
      <c r="H64" s="491"/>
      <c r="I64" s="490"/>
      <c r="J64" s="491"/>
      <c r="K64" s="490"/>
      <c r="L64" s="491"/>
      <c r="M64" s="490"/>
      <c r="N64" s="491"/>
      <c r="O64" s="403">
        <f t="shared" si="1"/>
        <v>0</v>
      </c>
      <c r="P64" s="401">
        <f t="shared" si="2"/>
        <v>0</v>
      </c>
      <c r="Q64" s="363"/>
      <c r="R64" s="363"/>
      <c r="S64" s="363"/>
      <c r="T64" s="363"/>
      <c r="U64" s="363"/>
    </row>
    <row r="65" spans="1:21" ht="81.75" hidden="1" customHeight="1">
      <c r="A65" s="590"/>
      <c r="B65" s="591"/>
      <c r="C65" s="489"/>
      <c r="D65" s="489"/>
      <c r="E65" s="489"/>
      <c r="F65" s="363"/>
      <c r="G65" s="490"/>
      <c r="H65" s="491"/>
      <c r="I65" s="490"/>
      <c r="J65" s="491"/>
      <c r="K65" s="490"/>
      <c r="L65" s="491"/>
      <c r="M65" s="490"/>
      <c r="N65" s="491"/>
      <c r="O65" s="403">
        <f t="shared" si="1"/>
        <v>0</v>
      </c>
      <c r="P65" s="401">
        <f t="shared" si="2"/>
        <v>0</v>
      </c>
      <c r="Q65" s="363"/>
      <c r="R65" s="363"/>
      <c r="S65" s="363"/>
      <c r="T65" s="363"/>
      <c r="U65" s="363"/>
    </row>
    <row r="66" spans="1:21" ht="81.75" hidden="1" customHeight="1">
      <c r="A66" s="590"/>
      <c r="B66" s="589" t="s">
        <v>1537</v>
      </c>
      <c r="C66" s="489"/>
      <c r="D66" s="489"/>
      <c r="E66" s="489"/>
      <c r="F66" s="363"/>
      <c r="G66" s="490"/>
      <c r="H66" s="491"/>
      <c r="I66" s="490"/>
      <c r="J66" s="491"/>
      <c r="K66" s="490"/>
      <c r="L66" s="491"/>
      <c r="M66" s="490"/>
      <c r="N66" s="491"/>
      <c r="O66" s="403">
        <f t="shared" si="1"/>
        <v>0</v>
      </c>
      <c r="P66" s="401">
        <f t="shared" si="2"/>
        <v>0</v>
      </c>
      <c r="Q66" s="363"/>
      <c r="R66" s="363"/>
      <c r="S66" s="363"/>
      <c r="T66" s="363"/>
      <c r="U66" s="363"/>
    </row>
    <row r="67" spans="1:21" ht="81.75" hidden="1" customHeight="1">
      <c r="A67" s="590"/>
      <c r="B67" s="590"/>
      <c r="C67" s="489"/>
      <c r="D67" s="489"/>
      <c r="E67" s="489"/>
      <c r="F67" s="363"/>
      <c r="G67" s="490"/>
      <c r="H67" s="491"/>
      <c r="I67" s="490"/>
      <c r="J67" s="491"/>
      <c r="K67" s="490"/>
      <c r="L67" s="491"/>
      <c r="M67" s="490"/>
      <c r="N67" s="491"/>
      <c r="O67" s="403">
        <f t="shared" si="1"/>
        <v>0</v>
      </c>
      <c r="P67" s="401">
        <f t="shared" si="2"/>
        <v>0</v>
      </c>
      <c r="Q67" s="363"/>
      <c r="R67" s="363"/>
      <c r="S67" s="363"/>
      <c r="T67" s="363"/>
      <c r="U67" s="363"/>
    </row>
    <row r="68" spans="1:21" ht="81.75" hidden="1" customHeight="1">
      <c r="A68" s="590"/>
      <c r="B68" s="590"/>
      <c r="C68" s="489"/>
      <c r="D68" s="489"/>
      <c r="E68" s="489"/>
      <c r="F68" s="363"/>
      <c r="G68" s="490"/>
      <c r="H68" s="491"/>
      <c r="I68" s="490"/>
      <c r="J68" s="491"/>
      <c r="K68" s="490"/>
      <c r="L68" s="491"/>
      <c r="M68" s="490"/>
      <c r="N68" s="491"/>
      <c r="O68" s="403">
        <f t="shared" si="1"/>
        <v>0</v>
      </c>
      <c r="P68" s="401">
        <f t="shared" si="2"/>
        <v>0</v>
      </c>
      <c r="Q68" s="363"/>
      <c r="R68" s="363"/>
      <c r="S68" s="363"/>
      <c r="T68" s="363"/>
      <c r="U68" s="363"/>
    </row>
    <row r="69" spans="1:21" ht="81.75" hidden="1" customHeight="1">
      <c r="A69" s="591"/>
      <c r="B69" s="591"/>
      <c r="C69" s="489"/>
      <c r="D69" s="489"/>
      <c r="E69" s="489"/>
      <c r="F69" s="363"/>
      <c r="G69" s="363"/>
      <c r="H69" s="491"/>
      <c r="I69" s="363"/>
      <c r="J69" s="491"/>
      <c r="K69" s="363"/>
      <c r="L69" s="491"/>
      <c r="M69" s="363"/>
      <c r="N69" s="491"/>
      <c r="O69" s="403">
        <f t="shared" ref="O69:P69" si="5">G69+I69+K69+M69</f>
        <v>0</v>
      </c>
      <c r="P69" s="401">
        <f t="shared" si="5"/>
        <v>0</v>
      </c>
      <c r="Q69" s="363"/>
      <c r="R69" s="492"/>
      <c r="S69" s="363"/>
      <c r="T69" s="363"/>
      <c r="U69" s="363"/>
    </row>
    <row r="70" spans="1:21" ht="15.75">
      <c r="A70" s="296"/>
      <c r="B70" s="297"/>
      <c r="C70" s="297"/>
      <c r="D70" s="296" t="s">
        <v>1515</v>
      </c>
      <c r="E70" s="297"/>
      <c r="F70" s="298"/>
      <c r="G70" s="75">
        <f t="shared" ref="G70:P70" si="6">SUM(G18:G69)</f>
        <v>0</v>
      </c>
      <c r="H70" s="236">
        <f t="shared" si="6"/>
        <v>0</v>
      </c>
      <c r="I70" s="75">
        <f t="shared" si="6"/>
        <v>1</v>
      </c>
      <c r="J70" s="236">
        <f t="shared" si="6"/>
        <v>60000</v>
      </c>
      <c r="K70" s="75">
        <f t="shared" si="6"/>
        <v>2</v>
      </c>
      <c r="L70" s="236">
        <f t="shared" si="6"/>
        <v>190000</v>
      </c>
      <c r="M70" s="75">
        <f t="shared" si="6"/>
        <v>0</v>
      </c>
      <c r="N70" s="236">
        <f t="shared" si="6"/>
        <v>0</v>
      </c>
      <c r="O70" s="236">
        <f t="shared" si="6"/>
        <v>3</v>
      </c>
      <c r="P70" s="236">
        <f t="shared" si="6"/>
        <v>250000</v>
      </c>
      <c r="Q70" s="68"/>
      <c r="R70" s="68"/>
      <c r="S70" s="68"/>
      <c r="T70" s="68"/>
      <c r="U70" s="68"/>
    </row>
  </sheetData>
  <mergeCells count="36">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4:B57"/>
    <mergeCell ref="B58:B61"/>
    <mergeCell ref="B50:B52"/>
    <mergeCell ref="A50:A52"/>
    <mergeCell ref="B62:B65"/>
    <mergeCell ref="B66:B69"/>
    <mergeCell ref="A38:A45"/>
    <mergeCell ref="B38:B41"/>
    <mergeCell ref="B42:B45"/>
    <mergeCell ref="B46:B49"/>
    <mergeCell ref="A54:A6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87" activePane="bottomLeft" state="frozen"/>
      <selection activeCell="A11" sqref="A11"/>
      <selection pane="bottomLeft" activeCell="B187" sqref="B187"/>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9"/>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6"/>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70" t="s">
        <v>393</v>
      </c>
      <c r="L10" s="570"/>
      <c r="M10" s="570"/>
      <c r="N10" s="570"/>
      <c r="O10" s="570"/>
      <c r="P10" s="570"/>
      <c r="Q10" s="570"/>
      <c r="R10" s="570"/>
      <c r="S10" s="570"/>
      <c r="T10" s="570"/>
      <c r="U10" s="570"/>
      <c r="V10" s="570"/>
      <c r="W10" s="570"/>
      <c r="X10" s="570"/>
      <c r="Y10" s="570"/>
      <c r="Z10" s="570"/>
      <c r="AA10" s="570"/>
    </row>
    <row r="11" spans="1:571" ht="79.5" thickBot="1">
      <c r="A11" s="376"/>
      <c r="B11" s="324" t="s">
        <v>133</v>
      </c>
      <c r="C11" s="193" t="s">
        <v>132</v>
      </c>
      <c r="D11" s="194" t="s">
        <v>129</v>
      </c>
      <c r="E11" s="212" t="s">
        <v>1508</v>
      </c>
      <c r="F11" s="194" t="s">
        <v>248</v>
      </c>
      <c r="G11" s="194" t="s">
        <v>460</v>
      </c>
      <c r="H11" s="194" t="s">
        <v>462</v>
      </c>
      <c r="I11" s="212" t="s">
        <v>463</v>
      </c>
      <c r="J11" s="194" t="s">
        <v>461</v>
      </c>
      <c r="K11" s="342" t="s">
        <v>1356</v>
      </c>
      <c r="L11" s="342" t="s">
        <v>1358</v>
      </c>
      <c r="M11" s="342" t="s">
        <v>471</v>
      </c>
      <c r="N11" s="342" t="s">
        <v>1357</v>
      </c>
      <c r="O11" s="342" t="s">
        <v>1359</v>
      </c>
      <c r="P11" s="342" t="s">
        <v>472</v>
      </c>
      <c r="Q11" s="342" t="s">
        <v>1360</v>
      </c>
      <c r="R11" s="342" t="s">
        <v>1361</v>
      </c>
      <c r="S11" s="342" t="s">
        <v>1362</v>
      </c>
      <c r="T11" s="342" t="s">
        <v>1453</v>
      </c>
      <c r="U11" s="342" t="s">
        <v>1363</v>
      </c>
      <c r="V11" s="342" t="s">
        <v>1364</v>
      </c>
      <c r="W11" s="342" t="s">
        <v>1365</v>
      </c>
      <c r="X11" s="342" t="s">
        <v>1366</v>
      </c>
      <c r="Y11" s="342" t="s">
        <v>1367</v>
      </c>
      <c r="Z11" s="342" t="s">
        <v>1478</v>
      </c>
      <c r="AA11" s="342" t="s">
        <v>1516</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5"/>
      <c r="B12" s="187" t="s">
        <v>251</v>
      </c>
      <c r="C12" s="188" t="s">
        <v>134</v>
      </c>
      <c r="D12" s="189">
        <f>D13+D47+D83+D89+D96</f>
        <v>0</v>
      </c>
      <c r="E12" s="189">
        <f>E13+E47+E83+E89+E96</f>
        <v>5389267.333333333</v>
      </c>
      <c r="F12" s="189">
        <f t="shared" ref="F12:F106" si="0">D12+E12</f>
        <v>5389267.333333333</v>
      </c>
      <c r="G12" s="189">
        <f>G13+G47+G83+G89+G96</f>
        <v>0</v>
      </c>
      <c r="H12" s="189">
        <f>F12-G12</f>
        <v>5389267.333333333</v>
      </c>
      <c r="I12" s="189">
        <f>I13+I47+I83+I89+I96</f>
        <v>0</v>
      </c>
      <c r="J12" s="189">
        <f>F12-I12</f>
        <v>5389267.333333333</v>
      </c>
      <c r="K12" s="189">
        <f t="shared" ref="K12:AD12" si="1">K13+K47+K83+K89+K96</f>
        <v>0</v>
      </c>
      <c r="L12" s="189">
        <f t="shared" si="1"/>
        <v>0</v>
      </c>
      <c r="M12" s="189">
        <f t="shared" si="1"/>
        <v>0</v>
      </c>
      <c r="N12" s="189">
        <f t="shared" si="1"/>
        <v>0</v>
      </c>
      <c r="O12" s="189">
        <f t="shared" si="1"/>
        <v>0</v>
      </c>
      <c r="P12" s="189">
        <f t="shared" si="1"/>
        <v>0</v>
      </c>
      <c r="Q12" s="189">
        <f t="shared" si="1"/>
        <v>5389267.333333333</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4656806</v>
      </c>
      <c r="AD12" s="189">
        <f t="shared" si="1"/>
        <v>0</v>
      </c>
      <c r="AE12" s="189">
        <f>AB12+AC12+AD12</f>
        <v>4656806</v>
      </c>
      <c r="AF12" s="189">
        <f>AF13+AF47+AF83+AF89+AF96</f>
        <v>0</v>
      </c>
      <c r="AG12" s="189">
        <f>AG13+AG47+AG83+AG89+AG96</f>
        <v>0</v>
      </c>
      <c r="AH12" s="189">
        <f>AH13+AH47+AH83+AH89+AH96</f>
        <v>344394.16666666669</v>
      </c>
      <c r="AI12" s="189">
        <f>AF12+AG12+AH12</f>
        <v>344394.16666666669</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388067.16666666663</v>
      </c>
      <c r="AQ12" s="189">
        <f>AN12+AO12+AP12</f>
        <v>388067.16666666663</v>
      </c>
      <c r="AR12" s="189">
        <f>AE12+AI12+AM12+AQ12</f>
        <v>5389267.333333334</v>
      </c>
    </row>
    <row r="13" spans="1:571">
      <c r="B13" s="190" t="s">
        <v>252</v>
      </c>
      <c r="C13" s="191" t="s">
        <v>135</v>
      </c>
      <c r="D13" s="192">
        <f>SUM(D14:D46)</f>
        <v>0</v>
      </c>
      <c r="E13" s="192">
        <f>SUM(E14:E46)</f>
        <v>1077267.3333333333</v>
      </c>
      <c r="F13" s="192">
        <f t="shared" si="0"/>
        <v>1077267.3333333333</v>
      </c>
      <c r="G13" s="192">
        <f>SUM(G14:G46)</f>
        <v>0</v>
      </c>
      <c r="H13" s="192">
        <f t="shared" ref="H13:H220" si="4">F13-G13</f>
        <v>1077267.3333333333</v>
      </c>
      <c r="I13" s="192">
        <f>SUM(I14:I46)</f>
        <v>0</v>
      </c>
      <c r="J13" s="192">
        <f t="shared" ref="J13:J220" si="5">F13-I13</f>
        <v>1077267.3333333333</v>
      </c>
      <c r="K13" s="192">
        <f t="shared" ref="K13:AD13" si="6">SUM(K14:K46)</f>
        <v>0</v>
      </c>
      <c r="L13" s="192">
        <f t="shared" si="6"/>
        <v>0</v>
      </c>
      <c r="M13" s="192">
        <f t="shared" si="6"/>
        <v>0</v>
      </c>
      <c r="N13" s="192">
        <f t="shared" si="6"/>
        <v>0</v>
      </c>
      <c r="O13" s="192">
        <f t="shared" si="6"/>
        <v>0</v>
      </c>
      <c r="P13" s="192">
        <f t="shared" si="6"/>
        <v>0</v>
      </c>
      <c r="Q13" s="192">
        <f t="shared" si="6"/>
        <v>1077267.3333333333</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960806</v>
      </c>
      <c r="AD13" s="192">
        <f t="shared" si="6"/>
        <v>0</v>
      </c>
      <c r="AE13" s="192">
        <f t="shared" ref="AE13:AE220" si="9">AB13+AC13+AD13</f>
        <v>960806</v>
      </c>
      <c r="AF13" s="192">
        <f>SUM(AF14:AF46)</f>
        <v>0</v>
      </c>
      <c r="AG13" s="192">
        <f>SUM(AG14:AG46)</f>
        <v>0</v>
      </c>
      <c r="AH13" s="192">
        <f>SUM(AH14:AH46)</f>
        <v>36394.166666666672</v>
      </c>
      <c r="AI13" s="192">
        <f t="shared" ref="AI13:AI220" si="10">AF13+AG13+AH13</f>
        <v>36394.166666666672</v>
      </c>
      <c r="AJ13" s="192">
        <f>SUM(AJ14:AJ46)</f>
        <v>0</v>
      </c>
      <c r="AK13" s="192">
        <f>SUM(AK14:AK46)</f>
        <v>0</v>
      </c>
      <c r="AL13" s="192">
        <f>SUM(AL14:AL46)</f>
        <v>0</v>
      </c>
      <c r="AM13" s="192">
        <f t="shared" ref="AM13:AM220" si="11">AJ13+AK13+AL13</f>
        <v>0</v>
      </c>
      <c r="AN13" s="192">
        <f>SUM(AN14:AN46)</f>
        <v>0</v>
      </c>
      <c r="AO13" s="192">
        <f>SUM(AO14:AO46)</f>
        <v>0</v>
      </c>
      <c r="AP13" s="192">
        <f>SUM(AP14:AP46)</f>
        <v>80067.166666666657</v>
      </c>
      <c r="AQ13" s="192">
        <f t="shared" ref="AQ13:AQ220" si="12">AN13+AO13+AP13</f>
        <v>80067.166666666657</v>
      </c>
      <c r="AR13" s="192">
        <f t="shared" ref="AR13:AR220" si="13">AE13+AI13+AM13+AQ13</f>
        <v>1077267.3333333333</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960806</v>
      </c>
      <c r="F15" s="183">
        <f t="shared" si="0"/>
        <v>960806</v>
      </c>
      <c r="G15" s="183"/>
      <c r="H15" s="183">
        <f t="shared" si="4"/>
        <v>960806</v>
      </c>
      <c r="I15" s="183"/>
      <c r="J15" s="183">
        <f t="shared" si="5"/>
        <v>960806</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960806</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960806</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960806</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960806</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80067.166666666657</v>
      </c>
      <c r="F28" s="183">
        <f t="shared" si="14"/>
        <v>80067.166666666657</v>
      </c>
      <c r="G28" s="183"/>
      <c r="H28" s="183">
        <f t="shared" si="15"/>
        <v>80067.166666666657</v>
      </c>
      <c r="I28" s="183"/>
      <c r="J28" s="183">
        <f t="shared" si="16"/>
        <v>80067.166666666657</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80067.166666666657</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80067.166666666657</v>
      </c>
      <c r="AQ28" s="183">
        <f t="shared" si="20"/>
        <v>80067.166666666657</v>
      </c>
      <c r="AR28" s="183">
        <f t="shared" si="21"/>
        <v>80067.166666666657</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36394.166666666672</v>
      </c>
      <c r="F29" s="183">
        <f t="shared" ref="F29:F30" si="38">D29+E29</f>
        <v>36394.166666666672</v>
      </c>
      <c r="G29" s="183"/>
      <c r="H29" s="183">
        <f t="shared" ref="H29:H30" si="39">F29-G29</f>
        <v>36394.166666666672</v>
      </c>
      <c r="I29" s="183"/>
      <c r="J29" s="183">
        <f t="shared" ref="J29:J30" si="40">F29-I29</f>
        <v>36394.166666666672</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36394.166666666672</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36394.166666666672</v>
      </c>
      <c r="AI29" s="183">
        <f t="shared" ref="AI29:AI30" si="42">AF29+AG29+AH29</f>
        <v>36394.166666666672</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36394.166666666672</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4312000</v>
      </c>
      <c r="F47" s="192">
        <f t="shared" si="0"/>
        <v>4312000</v>
      </c>
      <c r="G47" s="192">
        <f>SUM(G48:G82)</f>
        <v>0</v>
      </c>
      <c r="H47" s="192">
        <f t="shared" si="4"/>
        <v>4312000</v>
      </c>
      <c r="I47" s="192">
        <f t="shared" ref="I47:AD47" si="102">SUM(I48:I82)</f>
        <v>0</v>
      </c>
      <c r="J47" s="192">
        <f t="shared" si="102"/>
        <v>4312000</v>
      </c>
      <c r="K47" s="192">
        <f t="shared" si="102"/>
        <v>0</v>
      </c>
      <c r="L47" s="192">
        <f t="shared" si="102"/>
        <v>0</v>
      </c>
      <c r="M47" s="192">
        <f t="shared" si="102"/>
        <v>0</v>
      </c>
      <c r="N47" s="192">
        <f t="shared" si="102"/>
        <v>0</v>
      </c>
      <c r="O47" s="192">
        <f t="shared" si="102"/>
        <v>0</v>
      </c>
      <c r="P47" s="192">
        <f t="shared" si="102"/>
        <v>0</v>
      </c>
      <c r="Q47" s="192">
        <f t="shared" si="102"/>
        <v>4312000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3696000</v>
      </c>
      <c r="AD47" s="192">
        <f t="shared" si="102"/>
        <v>0</v>
      </c>
      <c r="AE47" s="192">
        <f t="shared" si="17"/>
        <v>3696000</v>
      </c>
      <c r="AF47" s="192">
        <f>SUM(AF48:AF82)</f>
        <v>0</v>
      </c>
      <c r="AG47" s="192">
        <f>SUM(AG48:AG82)</f>
        <v>0</v>
      </c>
      <c r="AH47" s="192">
        <f>SUM(AH48:AH82)</f>
        <v>308000</v>
      </c>
      <c r="AI47" s="192">
        <f t="shared" si="10"/>
        <v>308000</v>
      </c>
      <c r="AJ47" s="192">
        <f>SUM(AJ48:AJ82)</f>
        <v>0</v>
      </c>
      <c r="AK47" s="192">
        <f>SUM(AK48:AK82)</f>
        <v>0</v>
      </c>
      <c r="AL47" s="192">
        <f>SUM(AL48:AL82)</f>
        <v>0</v>
      </c>
      <c r="AM47" s="192">
        <f t="shared" si="11"/>
        <v>0</v>
      </c>
      <c r="AN47" s="192">
        <f>SUM(AN48:AN82)</f>
        <v>0</v>
      </c>
      <c r="AO47" s="192">
        <f>SUM(AO48:AO82)</f>
        <v>0</v>
      </c>
      <c r="AP47" s="192">
        <f>SUM(AP48:AP82)</f>
        <v>308000</v>
      </c>
      <c r="AQ47" s="192">
        <f t="shared" si="12"/>
        <v>308000</v>
      </c>
      <c r="AR47" s="192">
        <f t="shared" si="13"/>
        <v>4312000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308000</v>
      </c>
      <c r="F53" s="183">
        <f t="shared" ref="F53" si="121">D53+E53</f>
        <v>308000</v>
      </c>
      <c r="G53" s="183"/>
      <c r="H53" s="183">
        <f t="shared" ref="H53" si="122">F53-G53</f>
        <v>308000</v>
      </c>
      <c r="I53" s="183"/>
      <c r="J53" s="183">
        <f t="shared" ref="J53" si="123">F53-I53</f>
        <v>308000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308000</v>
      </c>
      <c r="AQ53" s="183">
        <f t="shared" ref="AQ53" si="127">AN53+AO53+AP53</f>
        <v>308000</v>
      </c>
      <c r="AR53" s="183">
        <f t="shared" ref="AR53" si="128">AE53+AI53+AM53+AQ53</f>
        <v>308000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308000</v>
      </c>
      <c r="F54" s="183">
        <f t="shared" si="113"/>
        <v>308000</v>
      </c>
      <c r="G54" s="183"/>
      <c r="H54" s="183">
        <f t="shared" si="114"/>
        <v>308000</v>
      </c>
      <c r="I54" s="183"/>
      <c r="J54" s="183">
        <f t="shared" si="115"/>
        <v>308000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308000</v>
      </c>
      <c r="AI54" s="183">
        <f t="shared" si="117"/>
        <v>308000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308000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3696000</v>
      </c>
      <c r="F64" s="183">
        <f t="shared" ref="F64" si="161">D64+E64</f>
        <v>3696000</v>
      </c>
      <c r="G64" s="183"/>
      <c r="H64" s="183">
        <f t="shared" ref="H64" si="162">F64-G64</f>
        <v>3696000</v>
      </c>
      <c r="I64" s="183"/>
      <c r="J64" s="183">
        <f t="shared" ref="J64" si="163">F64-I64</f>
        <v>3696000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3696000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3696000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3696000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3696000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1652857.5</v>
      </c>
      <c r="E106" s="180">
        <f>E107+E118+E133+E149+E164+E190+E207+E214</f>
        <v>1624280</v>
      </c>
      <c r="F106" s="180">
        <f t="shared" si="0"/>
        <v>3277137.5</v>
      </c>
      <c r="G106" s="180">
        <f>G107+G118+G133+G149+G164+G190+G207+G214</f>
        <v>0</v>
      </c>
      <c r="H106" s="180">
        <f t="shared" si="4"/>
        <v>3277137.5</v>
      </c>
      <c r="I106" s="180">
        <f>I107+I118+I133+I149+I164+I190+I207+I214</f>
        <v>0</v>
      </c>
      <c r="J106" s="180">
        <f t="shared" si="5"/>
        <v>3277137.5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2927137.5</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203062.5</v>
      </c>
      <c r="AC106" s="180">
        <f t="shared" si="297"/>
        <v>2411300</v>
      </c>
      <c r="AD106" s="180">
        <f t="shared" si="297"/>
        <v>0</v>
      </c>
      <c r="AE106" s="180">
        <f t="shared" si="9"/>
        <v>2614362.5</v>
      </c>
      <c r="AF106" s="180">
        <f>AF107+AF118+AF133+AF149+AF164+AF190+AF207+AF214</f>
        <v>0</v>
      </c>
      <c r="AG106" s="180">
        <f>AG107+AG118+AG133+AG149+AG164+AG190+AG207+AG214</f>
        <v>50000</v>
      </c>
      <c r="AH106" s="180">
        <f>AH107+AH118+AH133+AH149+AH164+AH190+AH207+AH214</f>
        <v>70400</v>
      </c>
      <c r="AI106" s="180">
        <f t="shared" si="10"/>
        <v>120400</v>
      </c>
      <c r="AJ106" s="180">
        <f>AJ107+AJ118+AJ133+AJ149+AJ164+AJ190+AJ207+AJ214</f>
        <v>0</v>
      </c>
      <c r="AK106" s="180">
        <f>AK107+AK118+AK133+AK149+AK164+AK190+AK207+AK214</f>
        <v>0</v>
      </c>
      <c r="AL106" s="180">
        <f>AL107+AL118+AL133+AL149+AL164+AL190+AL207+AL214</f>
        <v>27500</v>
      </c>
      <c r="AM106" s="180">
        <f t="shared" si="11"/>
        <v>27500</v>
      </c>
      <c r="AN106" s="180">
        <f>AN107+AN118+AN133+AN149+AN164+AN190+AN207+AN214</f>
        <v>0</v>
      </c>
      <c r="AO106" s="180">
        <f>AO107+AO118+AO133+AO149+AO164+AO190+AO207+AO214</f>
        <v>0</v>
      </c>
      <c r="AP106" s="180">
        <f>AP107+AP118+AP133+AP149+AP164+AP190+AP207+AP214</f>
        <v>514875</v>
      </c>
      <c r="AQ106" s="180">
        <f t="shared" si="12"/>
        <v>514875</v>
      </c>
      <c r="AR106" s="180">
        <f t="shared" si="13"/>
        <v>3277137.5</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0</v>
      </c>
      <c r="E149" s="192">
        <f>SUM(E150:E163)</f>
        <v>180000</v>
      </c>
      <c r="F149" s="192">
        <f t="shared" si="300"/>
        <v>180000</v>
      </c>
      <c r="G149" s="192">
        <f>SUM(G150:G163)</f>
        <v>0</v>
      </c>
      <c r="H149" s="192">
        <f t="shared" si="4"/>
        <v>180000</v>
      </c>
      <c r="I149" s="192">
        <f>SUM(I150:I163)</f>
        <v>0</v>
      </c>
      <c r="J149" s="192">
        <f t="shared" si="5"/>
        <v>180000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180000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180000</v>
      </c>
      <c r="AD149" s="192">
        <f t="shared" si="419"/>
        <v>0</v>
      </c>
      <c r="AE149" s="192">
        <f t="shared" si="9"/>
        <v>180000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180000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162" s="183">
        <f t="shared" si="300"/>
        <v>180000</v>
      </c>
      <c r="G162" s="183"/>
      <c r="H162" s="183">
        <f t="shared" si="424"/>
        <v>180000</v>
      </c>
      <c r="I162" s="183"/>
      <c r="J162" s="183">
        <f t="shared" si="425"/>
        <v>180000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180000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180000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121020</v>
      </c>
      <c r="E164" s="192">
        <f>SUM(E165:E189)</f>
        <v>742880</v>
      </c>
      <c r="F164" s="192">
        <f t="shared" si="300"/>
        <v>863900</v>
      </c>
      <c r="G164" s="192">
        <f>SUM(G165:G189)</f>
        <v>0</v>
      </c>
      <c r="H164" s="192">
        <f t="shared" si="4"/>
        <v>863900</v>
      </c>
      <c r="I164" s="192">
        <f>SUM(I165:I189)</f>
        <v>0</v>
      </c>
      <c r="J164" s="192">
        <f t="shared" si="5"/>
        <v>863900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863900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783500</v>
      </c>
      <c r="AD164" s="192">
        <f t="shared" si="447"/>
        <v>0</v>
      </c>
      <c r="AE164" s="192">
        <f t="shared" si="9"/>
        <v>783500</v>
      </c>
      <c r="AF164" s="192">
        <f>SUM(AF165:AF189)</f>
        <v>0</v>
      </c>
      <c r="AG164" s="192">
        <f>SUM(AG165:AG189)</f>
        <v>10000</v>
      </c>
      <c r="AH164" s="192">
        <f>SUM(AH165:AH189)</f>
        <v>70400</v>
      </c>
      <c r="AI164" s="192">
        <f t="shared" si="10"/>
        <v>80400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863900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70" s="183">
        <f t="shared" si="467"/>
        <v>130000</v>
      </c>
      <c r="G170" s="183"/>
      <c r="H170" s="183">
        <f t="shared" si="468"/>
        <v>130000</v>
      </c>
      <c r="I170" s="183"/>
      <c r="J170" s="183">
        <f t="shared" si="469"/>
        <v>130000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120000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10000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130000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285000</v>
      </c>
      <c r="F171" s="183">
        <f t="shared" si="467"/>
        <v>285000</v>
      </c>
      <c r="G171" s="183"/>
      <c r="H171" s="183">
        <f t="shared" si="468"/>
        <v>285000</v>
      </c>
      <c r="I171" s="183"/>
      <c r="J171" s="183">
        <f t="shared" si="469"/>
        <v>285000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285000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285000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285000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72480</v>
      </c>
      <c r="F172" s="183">
        <f t="shared" si="467"/>
        <v>72480</v>
      </c>
      <c r="G172" s="183"/>
      <c r="H172" s="183">
        <f t="shared" si="468"/>
        <v>72480</v>
      </c>
      <c r="I172" s="183"/>
      <c r="J172" s="183">
        <f t="shared" si="469"/>
        <v>72480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72480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72480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72480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72480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375400</v>
      </c>
      <c r="F187" s="183">
        <f t="shared" si="483"/>
        <v>376420</v>
      </c>
      <c r="G187" s="183"/>
      <c r="H187" s="183">
        <f t="shared" si="484"/>
        <v>376420</v>
      </c>
      <c r="I187" s="183"/>
      <c r="J187" s="183">
        <f t="shared" si="485"/>
        <v>376420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376420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306020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306020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70400</v>
      </c>
      <c r="AI187" s="183">
        <f t="shared" si="487"/>
        <v>70400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376420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1531837.5</v>
      </c>
      <c r="E190" s="192">
        <f>E191+E199</f>
        <v>701400</v>
      </c>
      <c r="F190" s="192">
        <f t="shared" si="300"/>
        <v>2233237.5</v>
      </c>
      <c r="G190" s="192">
        <f>G191+G199</f>
        <v>0</v>
      </c>
      <c r="H190" s="192">
        <f t="shared" si="4"/>
        <v>2233237.5</v>
      </c>
      <c r="I190" s="192">
        <f>I191+I199</f>
        <v>0</v>
      </c>
      <c r="J190" s="192">
        <f t="shared" si="5"/>
        <v>2233237.5</v>
      </c>
      <c r="K190" s="192">
        <f>K191+K199</f>
        <v>0</v>
      </c>
      <c r="L190" s="192">
        <f t="shared" ref="L190:AA190" si="491">L191+L199</f>
        <v>0</v>
      </c>
      <c r="M190" s="192">
        <f t="shared" si="491"/>
        <v>0</v>
      </c>
      <c r="N190" s="192">
        <f t="shared" si="491"/>
        <v>0</v>
      </c>
      <c r="O190" s="192">
        <f t="shared" si="491"/>
        <v>0</v>
      </c>
      <c r="P190" s="192">
        <f t="shared" si="491"/>
        <v>0</v>
      </c>
      <c r="Q190" s="192">
        <f t="shared" si="491"/>
        <v>1883237.5</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203062.5</v>
      </c>
      <c r="AC190" s="192">
        <f t="shared" ref="AC190" si="494">AC191+AC199</f>
        <v>1447800</v>
      </c>
      <c r="AD190" s="192">
        <f t="shared" ref="AD190" si="495">AD191+AD199</f>
        <v>0</v>
      </c>
      <c r="AE190" s="192">
        <f t="shared" si="9"/>
        <v>1650862.5</v>
      </c>
      <c r="AF190" s="192">
        <f t="shared" ref="AF190" si="496">AF191+AF199</f>
        <v>0</v>
      </c>
      <c r="AG190" s="192">
        <f t="shared" ref="AG190" si="497">AG191+AG199</f>
        <v>40000</v>
      </c>
      <c r="AH190" s="192">
        <f t="shared" ref="AH190" si="498">AH191+AH199</f>
        <v>0</v>
      </c>
      <c r="AI190" s="192">
        <f t="shared" si="10"/>
        <v>40000</v>
      </c>
      <c r="AJ190" s="192">
        <f t="shared" ref="AJ190" si="499">AJ191+AJ199</f>
        <v>0</v>
      </c>
      <c r="AK190" s="192">
        <f t="shared" ref="AK190" si="500">AK191+AK199</f>
        <v>0</v>
      </c>
      <c r="AL190" s="192">
        <f t="shared" ref="AL190" si="501">AL191+AL199</f>
        <v>27500</v>
      </c>
      <c r="AM190" s="192">
        <f t="shared" si="11"/>
        <v>27500</v>
      </c>
      <c r="AN190" s="192">
        <f t="shared" ref="AN190" si="502">AN191+AN199</f>
        <v>0</v>
      </c>
      <c r="AO190" s="192">
        <f t="shared" ref="AO190" si="503">AO191+AO199</f>
        <v>0</v>
      </c>
      <c r="AP190" s="192">
        <f t="shared" ref="AP190" si="504">AP191+AP199</f>
        <v>514875</v>
      </c>
      <c r="AQ190" s="192">
        <f t="shared" si="12"/>
        <v>514875</v>
      </c>
      <c r="AR190" s="192">
        <f t="shared" si="13"/>
        <v>2233237.5</v>
      </c>
    </row>
    <row r="191" spans="2:44">
      <c r="B191" s="190" t="s">
        <v>300</v>
      </c>
      <c r="C191" s="191" t="s">
        <v>180</v>
      </c>
      <c r="D191" s="192">
        <f>SUM(D192:D198)</f>
        <v>0</v>
      </c>
      <c r="E191" s="192">
        <f>SUM(E192:E198)</f>
        <v>40000</v>
      </c>
      <c r="F191" s="192">
        <f>D191+E191</f>
        <v>40000</v>
      </c>
      <c r="G191" s="192">
        <f>SUM(G192:G198)</f>
        <v>0</v>
      </c>
      <c r="H191" s="192">
        <f>F191-G191</f>
        <v>40000</v>
      </c>
      <c r="I191" s="192">
        <f>SUM(I192:I198)</f>
        <v>0</v>
      </c>
      <c r="J191" s="192">
        <f>F191-I191</f>
        <v>40000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40000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40000</v>
      </c>
      <c r="AH191" s="192">
        <f>SUM(AH192:AH198)</f>
        <v>0</v>
      </c>
      <c r="AI191" s="192">
        <f>AF191+AG191+AH191</f>
        <v>40000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40000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196" s="183">
        <f t="shared" ref="F196" si="526">D196+E196</f>
        <v>40000</v>
      </c>
      <c r="G196" s="183"/>
      <c r="H196" s="183">
        <f t="shared" si="519"/>
        <v>40000</v>
      </c>
      <c r="I196" s="183"/>
      <c r="J196" s="183">
        <f t="shared" si="520"/>
        <v>40000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40000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40000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1531837.5</v>
      </c>
      <c r="E199" s="192">
        <f>SUM(E200:E206)</f>
        <v>661400</v>
      </c>
      <c r="F199" s="192">
        <f>D199+E199</f>
        <v>2193237.5</v>
      </c>
      <c r="G199" s="192">
        <f t="shared" ref="G199:I199" si="535">SUM(G200:G206)</f>
        <v>0</v>
      </c>
      <c r="H199" s="192">
        <f>F199-G199</f>
        <v>2193237.5</v>
      </c>
      <c r="I199" s="192">
        <f t="shared" si="535"/>
        <v>0</v>
      </c>
      <c r="J199" s="192">
        <f>F199-I199</f>
        <v>2193237.5</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1843237.5</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203062.5</v>
      </c>
      <c r="AC199" s="192">
        <f t="shared" si="536"/>
        <v>1447800</v>
      </c>
      <c r="AD199" s="192">
        <f t="shared" si="536"/>
        <v>0</v>
      </c>
      <c r="AE199" s="192">
        <f>AB199+AC199+AD199</f>
        <v>1650862.5</v>
      </c>
      <c r="AF199" s="192">
        <f t="shared" si="536"/>
        <v>0</v>
      </c>
      <c r="AG199" s="192">
        <f t="shared" si="536"/>
        <v>0</v>
      </c>
      <c r="AH199" s="192">
        <f t="shared" si="536"/>
        <v>0</v>
      </c>
      <c r="AI199" s="192">
        <f>AF199+AG199+AH199</f>
        <v>0</v>
      </c>
      <c r="AJ199" s="192">
        <f t="shared" si="536"/>
        <v>0</v>
      </c>
      <c r="AK199" s="192">
        <f t="shared" si="536"/>
        <v>0</v>
      </c>
      <c r="AL199" s="192">
        <f t="shared" si="536"/>
        <v>27500</v>
      </c>
      <c r="AM199" s="192">
        <f>AJ199+AK199+AL199</f>
        <v>27500</v>
      </c>
      <c r="AN199" s="192">
        <f t="shared" si="536"/>
        <v>0</v>
      </c>
      <c r="AO199" s="192">
        <f t="shared" si="536"/>
        <v>0</v>
      </c>
      <c r="AP199" s="192">
        <f t="shared" si="536"/>
        <v>514875</v>
      </c>
      <c r="AQ199" s="192">
        <f>AN199+AO199+AP199</f>
        <v>514875</v>
      </c>
      <c r="AR199" s="192">
        <f>AE199+AI199+AM199+AQ199</f>
        <v>2193237.5</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1501037.5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646000</v>
      </c>
      <c r="F201" s="183">
        <f>D201+E201</f>
        <v>2147037.5</v>
      </c>
      <c r="G201" s="183"/>
      <c r="H201" s="183">
        <f t="shared" si="541"/>
        <v>2147037.5</v>
      </c>
      <c r="I201" s="183"/>
      <c r="J201" s="183">
        <f t="shared" si="542"/>
        <v>2147037.5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1797037.5</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203062.5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1401600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1604662.5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v>
      </c>
      <c r="AM201" s="183">
        <f t="shared" si="545"/>
        <v>27500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514875</v>
      </c>
      <c r="AQ201" s="183">
        <f t="shared" si="546"/>
        <v>514875</v>
      </c>
      <c r="AR201" s="183">
        <f t="shared" si="547"/>
        <v>2147037.5</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15400</v>
      </c>
      <c r="F202" s="183">
        <f t="shared" ref="F202:F204" si="548">D202+E202</f>
        <v>46200</v>
      </c>
      <c r="G202" s="183"/>
      <c r="H202" s="183">
        <f t="shared" ref="H202:H204" si="549">F202-G202</f>
        <v>46200</v>
      </c>
      <c r="I202" s="183"/>
      <c r="J202" s="183">
        <f t="shared" ref="J202:J204" si="550">F202-I202</f>
        <v>46200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46200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46200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46200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46200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35250</v>
      </c>
      <c r="E222" s="180">
        <f>E223+E235+E243+E260+E267+E312</f>
        <v>383019.58</v>
      </c>
      <c r="F222" s="180">
        <f t="shared" ref="F222:F382" si="622">D222+E222</f>
        <v>418269.58</v>
      </c>
      <c r="G222" s="180">
        <f>G223+G235+G243+G260+G267+G312</f>
        <v>0</v>
      </c>
      <c r="H222" s="180">
        <f t="shared" ref="H222:H498" si="623">F222-G222</f>
        <v>418269.58</v>
      </c>
      <c r="I222" s="180">
        <f>I223+I235+I243+I260+I267+I312</f>
        <v>0</v>
      </c>
      <c r="J222" s="180">
        <f t="shared" ref="J222:J498" si="624">F222-I222</f>
        <v>418269.58</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418269.58</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404269.58</v>
      </c>
      <c r="AD222" s="180">
        <f t="shared" si="625"/>
        <v>0</v>
      </c>
      <c r="AE222" s="180">
        <f t="shared" ref="AE222:AE498" si="628">AB222+AC222+AD222</f>
        <v>404269.58</v>
      </c>
      <c r="AF222" s="180">
        <f>AF223+AF235+AF243+AF260+AF267+AF312</f>
        <v>0</v>
      </c>
      <c r="AG222" s="180">
        <f>AG223+AG235+AG243+AG260+AG267+AG312</f>
        <v>0</v>
      </c>
      <c r="AH222" s="180">
        <f>AH223+AH235+AH243+AH260+AH267+AH312</f>
        <v>0</v>
      </c>
      <c r="AI222" s="180">
        <f t="shared" ref="AI222:AI498" si="629">AF222+AG222+AH222</f>
        <v>0</v>
      </c>
      <c r="AJ222" s="180">
        <f>AJ223+AJ235+AJ243+AJ260+AJ267+AJ312</f>
        <v>14000</v>
      </c>
      <c r="AK222" s="180">
        <f>AK223+AK235+AK243+AK260+AK267+AK312</f>
        <v>0</v>
      </c>
      <c r="AL222" s="180">
        <f>AL223+AL235+AL243+AL260+AL267+AL312</f>
        <v>0</v>
      </c>
      <c r="AM222" s="180">
        <f t="shared" ref="AM222:AM498" si="630">AJ222+AK222+AL222</f>
        <v>14000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418269.58</v>
      </c>
    </row>
    <row r="223" spans="2:44">
      <c r="B223" s="190" t="s">
        <v>310</v>
      </c>
      <c r="C223" s="191" t="s">
        <v>189</v>
      </c>
      <c r="D223" s="192">
        <f>SUM(D224:D234)</f>
        <v>29250</v>
      </c>
      <c r="E223" s="192">
        <f>SUM(E224:E234)</f>
        <v>73999.58</v>
      </c>
      <c r="F223" s="192">
        <f t="shared" si="622"/>
        <v>103249.58</v>
      </c>
      <c r="G223" s="192">
        <f>SUM(G224:G234)</f>
        <v>0</v>
      </c>
      <c r="H223" s="192">
        <f t="shared" si="623"/>
        <v>103249.58</v>
      </c>
      <c r="I223" s="192">
        <f>SUM(I224:I234)</f>
        <v>0</v>
      </c>
      <c r="J223" s="192">
        <f t="shared" si="624"/>
        <v>103249.58</v>
      </c>
      <c r="K223" s="192">
        <f t="shared" ref="K223:AD223" si="633">SUM(K224:K234)</f>
        <v>0</v>
      </c>
      <c r="L223" s="192">
        <f t="shared" si="633"/>
        <v>0</v>
      </c>
      <c r="M223" s="192">
        <f t="shared" si="633"/>
        <v>0</v>
      </c>
      <c r="N223" s="192">
        <f t="shared" si="633"/>
        <v>0</v>
      </c>
      <c r="O223" s="192">
        <f t="shared" si="633"/>
        <v>0</v>
      </c>
      <c r="P223" s="192">
        <f t="shared" si="633"/>
        <v>0</v>
      </c>
      <c r="Q223" s="192">
        <f t="shared" si="633"/>
        <v>103249.58</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89249.58</v>
      </c>
      <c r="AD223" s="192">
        <f t="shared" si="633"/>
        <v>0</v>
      </c>
      <c r="AE223" s="192">
        <f t="shared" si="628"/>
        <v>89249.58</v>
      </c>
      <c r="AF223" s="192">
        <f>SUM(AF224:AF234)</f>
        <v>0</v>
      </c>
      <c r="AG223" s="192">
        <f>SUM(AG224:AG234)</f>
        <v>0</v>
      </c>
      <c r="AH223" s="192">
        <f>SUM(AH224:AH234)</f>
        <v>0</v>
      </c>
      <c r="AI223" s="192">
        <f t="shared" si="629"/>
        <v>0</v>
      </c>
      <c r="AJ223" s="192">
        <f>SUM(AJ224:AJ234)</f>
        <v>14000</v>
      </c>
      <c r="AK223" s="192">
        <f>SUM(AK224:AK234)</f>
        <v>0</v>
      </c>
      <c r="AL223" s="192">
        <f>SUM(AL224:AL234)</f>
        <v>0</v>
      </c>
      <c r="AM223" s="192">
        <f t="shared" si="630"/>
        <v>14000</v>
      </c>
      <c r="AN223" s="192">
        <f>SUM(AN224:AN234)</f>
        <v>0</v>
      </c>
      <c r="AO223" s="192">
        <f>SUM(AO224:AO234)</f>
        <v>0</v>
      </c>
      <c r="AP223" s="192">
        <f>SUM(AP224:AP234)</f>
        <v>0</v>
      </c>
      <c r="AQ223" s="192">
        <f t="shared" si="631"/>
        <v>0</v>
      </c>
      <c r="AR223" s="192">
        <f t="shared" si="632"/>
        <v>103249.58</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29250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43999.58</v>
      </c>
      <c r="F224" s="183">
        <f t="shared" si="622"/>
        <v>73249.58</v>
      </c>
      <c r="G224" s="183"/>
      <c r="H224" s="183">
        <f t="shared" si="623"/>
        <v>73249.58</v>
      </c>
      <c r="I224" s="183"/>
      <c r="J224" s="183">
        <f t="shared" si="624"/>
        <v>73249.58</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73249.58</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59249.58</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59249.58</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14000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73249.58</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5" s="183">
        <f t="shared" si="622"/>
        <v>30000</v>
      </c>
      <c r="G225" s="183"/>
      <c r="H225" s="183">
        <f t="shared" si="623"/>
        <v>30000</v>
      </c>
      <c r="I225" s="183"/>
      <c r="J225" s="183">
        <f t="shared" si="624"/>
        <v>30000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30000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30000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99800</v>
      </c>
      <c r="F235" s="192">
        <f t="shared" si="622"/>
        <v>99800</v>
      </c>
      <c r="G235" s="192">
        <f>SUM(G236:G242)</f>
        <v>0</v>
      </c>
      <c r="H235" s="192">
        <f t="shared" si="623"/>
        <v>99800</v>
      </c>
      <c r="I235" s="192">
        <f>SUM(I236:I242)</f>
        <v>0</v>
      </c>
      <c r="J235" s="192">
        <f t="shared" si="624"/>
        <v>99800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99800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99800</v>
      </c>
      <c r="AD235" s="192">
        <f t="shared" si="660"/>
        <v>0</v>
      </c>
      <c r="AE235" s="192">
        <f t="shared" si="628"/>
        <v>99800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99800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99800</v>
      </c>
      <c r="F239" s="183">
        <f t="shared" si="665"/>
        <v>99800</v>
      </c>
      <c r="G239" s="183"/>
      <c r="H239" s="183">
        <f t="shared" si="666"/>
        <v>99800</v>
      </c>
      <c r="I239" s="183"/>
      <c r="J239" s="183">
        <f t="shared" si="667"/>
        <v>99800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99800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99800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99800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99800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52500</v>
      </c>
      <c r="F267" s="192">
        <f t="shared" si="622"/>
        <v>52500</v>
      </c>
      <c r="G267" s="192">
        <f>SUM(G268:G311)</f>
        <v>0</v>
      </c>
      <c r="H267" s="192">
        <f t="shared" si="623"/>
        <v>52500</v>
      </c>
      <c r="I267" s="192">
        <f>SUM(I268:I311)</f>
        <v>0</v>
      </c>
      <c r="J267" s="192">
        <f t="shared" si="624"/>
        <v>52500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52500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52500</v>
      </c>
      <c r="AD267" s="192">
        <f t="shared" si="723"/>
        <v>0</v>
      </c>
      <c r="AE267" s="192">
        <f t="shared" si="628"/>
        <v>52500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52500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52500</v>
      </c>
      <c r="F277" s="183">
        <f t="shared" si="728"/>
        <v>52500</v>
      </c>
      <c r="G277" s="183"/>
      <c r="H277" s="183">
        <f t="shared" si="729"/>
        <v>52500</v>
      </c>
      <c r="I277" s="183"/>
      <c r="J277" s="183">
        <f t="shared" si="730"/>
        <v>52500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52500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52500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6000</v>
      </c>
      <c r="E312" s="192">
        <f>SUM(E313:E326)</f>
        <v>156720</v>
      </c>
      <c r="F312" s="192">
        <f t="shared" si="622"/>
        <v>162720</v>
      </c>
      <c r="G312" s="192">
        <f>SUM(G313:G326)</f>
        <v>0</v>
      </c>
      <c r="H312" s="192">
        <f t="shared" si="623"/>
        <v>162720</v>
      </c>
      <c r="I312" s="192">
        <f>SUM(I313:I326)</f>
        <v>0</v>
      </c>
      <c r="J312" s="192">
        <f t="shared" si="624"/>
        <v>162720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162720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162720</v>
      </c>
      <c r="AD312" s="192">
        <f t="shared" si="744"/>
        <v>0</v>
      </c>
      <c r="AE312" s="192">
        <f t="shared" si="628"/>
        <v>162720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162720</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2720</v>
      </c>
      <c r="F315" s="183">
        <f t="shared" si="622"/>
        <v>8720</v>
      </c>
      <c r="G315" s="183"/>
      <c r="H315" s="183">
        <f t="shared" si="623"/>
        <v>8720</v>
      </c>
      <c r="I315" s="183"/>
      <c r="J315" s="183">
        <f t="shared" si="624"/>
        <v>8720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8720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8720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8720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8720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154000</v>
      </c>
      <c r="F322" s="183">
        <f t="shared" si="757"/>
        <v>154000</v>
      </c>
      <c r="G322" s="183"/>
      <c r="H322" s="183">
        <f t="shared" si="758"/>
        <v>154000</v>
      </c>
      <c r="I322" s="183"/>
      <c r="J322" s="183">
        <f t="shared" si="759"/>
        <v>154000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154000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154000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154000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250000</v>
      </c>
      <c r="F327" s="180">
        <f t="shared" si="622"/>
        <v>250000</v>
      </c>
      <c r="G327" s="180">
        <f>G328+G345+G383+G389</f>
        <v>0</v>
      </c>
      <c r="H327" s="180">
        <f t="shared" si="623"/>
        <v>250000</v>
      </c>
      <c r="I327" s="180">
        <f>I328+I345+I383+I389</f>
        <v>0</v>
      </c>
      <c r="J327" s="180">
        <f t="shared" si="624"/>
        <v>250000</v>
      </c>
      <c r="K327" s="180">
        <f t="shared" ref="K327:AD327" si="781">K328+K345+K383+K389</f>
        <v>0</v>
      </c>
      <c r="L327" s="180">
        <f t="shared" si="781"/>
        <v>0</v>
      </c>
      <c r="M327" s="180">
        <f t="shared" si="781"/>
        <v>0</v>
      </c>
      <c r="N327" s="180">
        <f t="shared" si="781"/>
        <v>0</v>
      </c>
      <c r="O327" s="180">
        <f t="shared" si="781"/>
        <v>0</v>
      </c>
      <c r="P327" s="180">
        <f t="shared" si="781"/>
        <v>0</v>
      </c>
      <c r="Q327" s="180">
        <f t="shared" si="781"/>
        <v>120000</v>
      </c>
      <c r="R327" s="180">
        <f t="shared" si="781"/>
        <v>0</v>
      </c>
      <c r="S327" s="180">
        <f t="shared" si="781"/>
        <v>0</v>
      </c>
      <c r="T327" s="180">
        <f t="shared" ref="T327" si="782">T328+T345+T383+T389</f>
        <v>130000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120000</v>
      </c>
      <c r="AG327" s="180">
        <f>AG328+AG345+AG383+AG389</f>
        <v>0</v>
      </c>
      <c r="AH327" s="180">
        <f>AH328+AH345+AH383+AH389</f>
        <v>0</v>
      </c>
      <c r="AI327" s="180">
        <f t="shared" si="629"/>
        <v>120000</v>
      </c>
      <c r="AJ327" s="180">
        <f>AJ328+AJ345+AJ383+AJ389</f>
        <v>130000</v>
      </c>
      <c r="AK327" s="180">
        <f>AK328+AK345+AK383+AK389</f>
        <v>0</v>
      </c>
      <c r="AL327" s="180">
        <f>AL328+AL345+AL383+AL389</f>
        <v>0</v>
      </c>
      <c r="AM327" s="180">
        <f t="shared" si="630"/>
        <v>130000</v>
      </c>
      <c r="AN327" s="180">
        <f>AN328+AN345+AN383+AN389</f>
        <v>0</v>
      </c>
      <c r="AO327" s="180">
        <f>AO328+AO345+AO383+AO389</f>
        <v>0</v>
      </c>
      <c r="AP327" s="180">
        <f>AP328+AP345+AP383+AP389</f>
        <v>0</v>
      </c>
      <c r="AQ327" s="180">
        <f t="shared" si="631"/>
        <v>0</v>
      </c>
      <c r="AR327" s="180">
        <f t="shared" si="632"/>
        <v>250000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120000</v>
      </c>
      <c r="F345" s="192">
        <f t="shared" si="622"/>
        <v>120000</v>
      </c>
      <c r="G345" s="192">
        <f>SUM(G346:G382)</f>
        <v>0</v>
      </c>
      <c r="H345" s="192">
        <f t="shared" si="623"/>
        <v>120000</v>
      </c>
      <c r="I345" s="192">
        <f>SUM(I346:I382)</f>
        <v>0</v>
      </c>
      <c r="J345" s="192">
        <f t="shared" si="624"/>
        <v>120000</v>
      </c>
      <c r="K345" s="192">
        <f t="shared" ref="K345:AD345" si="819">SUM(K346:K382)</f>
        <v>0</v>
      </c>
      <c r="L345" s="192">
        <f t="shared" si="819"/>
        <v>0</v>
      </c>
      <c r="M345" s="192">
        <f t="shared" si="819"/>
        <v>0</v>
      </c>
      <c r="N345" s="192">
        <f t="shared" si="819"/>
        <v>0</v>
      </c>
      <c r="O345" s="192">
        <f t="shared" si="819"/>
        <v>0</v>
      </c>
      <c r="P345" s="192">
        <f t="shared" si="819"/>
        <v>0</v>
      </c>
      <c r="Q345" s="192">
        <f t="shared" si="819"/>
        <v>120000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120000</v>
      </c>
      <c r="AG345" s="192">
        <f>SUM(AG346:AG382)</f>
        <v>0</v>
      </c>
      <c r="AH345" s="192">
        <f>SUM(AH346:AH382)</f>
        <v>0</v>
      </c>
      <c r="AI345" s="192">
        <f t="shared" si="629"/>
        <v>120000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120000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361" s="183">
        <f t="shared" si="622"/>
        <v>120000</v>
      </c>
      <c r="G361" s="183"/>
      <c r="H361" s="183">
        <f t="shared" si="623"/>
        <v>120000</v>
      </c>
      <c r="I361" s="183"/>
      <c r="J361" s="183">
        <f t="shared" si="624"/>
        <v>120000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120000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120000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130000</v>
      </c>
      <c r="F383" s="192">
        <f t="shared" ref="F383:F498" si="830">D383+E383</f>
        <v>130000</v>
      </c>
      <c r="G383" s="192">
        <f>SUM(G384:G388)</f>
        <v>0</v>
      </c>
      <c r="H383" s="192">
        <f t="shared" si="623"/>
        <v>130000</v>
      </c>
      <c r="I383" s="192">
        <f>SUM(I384:I388)</f>
        <v>0</v>
      </c>
      <c r="J383" s="192">
        <f t="shared" si="624"/>
        <v>130000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130000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130000</v>
      </c>
      <c r="AK383" s="192">
        <f>SUM(AK384:AK388)</f>
        <v>0</v>
      </c>
      <c r="AL383" s="192">
        <f>SUM(AL384:AL388)</f>
        <v>0</v>
      </c>
      <c r="AM383" s="192">
        <f t="shared" si="630"/>
        <v>130000</v>
      </c>
      <c r="AN383" s="192">
        <f>SUM(AN384:AN388)</f>
        <v>0</v>
      </c>
      <c r="AO383" s="192">
        <f>SUM(AO384:AO388)</f>
        <v>0</v>
      </c>
      <c r="AP383" s="192">
        <f>SUM(AP384:AP388)</f>
        <v>0</v>
      </c>
      <c r="AQ383" s="192">
        <f t="shared" si="631"/>
        <v>0</v>
      </c>
      <c r="AR383" s="192">
        <f t="shared" si="632"/>
        <v>130000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385" s="183">
        <f t="shared" si="830"/>
        <v>130000</v>
      </c>
      <c r="G385" s="183"/>
      <c r="H385" s="183">
        <f t="shared" si="623"/>
        <v>130000</v>
      </c>
      <c r="I385" s="183"/>
      <c r="J385" s="183">
        <f t="shared" si="624"/>
        <v>130000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130000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130000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1688107.5</v>
      </c>
      <c r="E566" s="186">
        <f>E12+E106+E222+E327+E397+E499+E526+E560</f>
        <v>7646566.9133333331</v>
      </c>
      <c r="F566" s="186">
        <f t="shared" si="1050"/>
        <v>9334674.413333334</v>
      </c>
      <c r="G566" s="186">
        <f>G12+G106+G222+G327+G397+G499+G526+G560</f>
        <v>0</v>
      </c>
      <c r="H566" s="186">
        <f t="shared" si="1052"/>
        <v>9334674.413333334</v>
      </c>
      <c r="I566" s="186">
        <f>I12+I106+I222+I327+I397+I499+I526+I560</f>
        <v>0</v>
      </c>
      <c r="J566" s="186">
        <f t="shared" si="1053"/>
        <v>9334674.413333334</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8854674.4133333322</v>
      </c>
      <c r="R566" s="186">
        <f t="shared" si="1209"/>
        <v>0</v>
      </c>
      <c r="S566" s="186">
        <f t="shared" si="1209"/>
        <v>0</v>
      </c>
      <c r="T566" s="186">
        <f t="shared" ref="T566" si="1211">T12+T106+T222+T327+T397+T499+T526+T560</f>
        <v>130000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203062.5</v>
      </c>
      <c r="AC566" s="186">
        <f t="shared" si="1209"/>
        <v>7472375.5800000001</v>
      </c>
      <c r="AD566" s="186">
        <f t="shared" si="1209"/>
        <v>0</v>
      </c>
      <c r="AE566" s="186">
        <f t="shared" si="1059"/>
        <v>7675438.0800000001</v>
      </c>
      <c r="AF566" s="186">
        <f t="shared" ref="AF566:AH566" si="1214">AF12+AF106+AF222+AF327+AF397+AF499+AF526+AF560</f>
        <v>120000</v>
      </c>
      <c r="AG566" s="186">
        <f t="shared" si="1214"/>
        <v>50000</v>
      </c>
      <c r="AH566" s="186">
        <f t="shared" si="1214"/>
        <v>414794.16666666669</v>
      </c>
      <c r="AI566" s="186">
        <f t="shared" si="1060"/>
        <v>584794.16666666674</v>
      </c>
      <c r="AJ566" s="186">
        <f t="shared" ref="AJ566:AL566" si="1215">AJ12+AJ106+AJ222+AJ327+AJ397+AJ499+AJ526+AJ560</f>
        <v>144000</v>
      </c>
      <c r="AK566" s="186">
        <f t="shared" si="1215"/>
        <v>0</v>
      </c>
      <c r="AL566" s="186">
        <f t="shared" si="1215"/>
        <v>27500</v>
      </c>
      <c r="AM566" s="186">
        <f t="shared" si="1061"/>
        <v>171500</v>
      </c>
      <c r="AN566" s="186">
        <f t="shared" ref="AN566:AP566" si="1216">AN12+AN106+AN222+AN327+AN397+AN499+AN526+AN560</f>
        <v>0</v>
      </c>
      <c r="AO566" s="186">
        <f t="shared" si="1216"/>
        <v>0</v>
      </c>
      <c r="AP566" s="186">
        <f t="shared" si="1216"/>
        <v>902942.16666666663</v>
      </c>
      <c r="AQ566" s="186">
        <f t="shared" si="1062"/>
        <v>902942.16666666663</v>
      </c>
      <c r="AR566" s="186">
        <f t="shared" si="1063"/>
        <v>9334674.4133333322</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A4" zoomScale="90" zoomScaleNormal="90" workbookViewId="0">
      <selection activeCell="C14" sqref="C1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1356</v>
      </c>
      <c r="B2" s="125" t="s">
        <v>1358</v>
      </c>
      <c r="C2" s="125" t="s">
        <v>471</v>
      </c>
      <c r="D2" s="125" t="s">
        <v>1357</v>
      </c>
      <c r="E2" s="125" t="s">
        <v>1359</v>
      </c>
      <c r="F2" s="125" t="s">
        <v>472</v>
      </c>
      <c r="G2" s="125" t="s">
        <v>1360</v>
      </c>
      <c r="H2" s="125" t="s">
        <v>1361</v>
      </c>
      <c r="I2" s="125" t="s">
        <v>1362</v>
      </c>
      <c r="J2" s="125" t="s">
        <v>1453</v>
      </c>
      <c r="K2" s="125" t="s">
        <v>1363</v>
      </c>
      <c r="L2" s="125" t="s">
        <v>1364</v>
      </c>
      <c r="M2" s="125" t="s">
        <v>1365</v>
      </c>
      <c r="N2" s="125" t="s">
        <v>1366</v>
      </c>
      <c r="O2" s="125" t="s">
        <v>1367</v>
      </c>
      <c r="P2" s="122" t="s">
        <v>1478</v>
      </c>
      <c r="Q2" s="122" t="s">
        <v>1516</v>
      </c>
      <c r="S2" s="461" t="str">
        <f>+Presupuesto!D11</f>
        <v>Recurrente</v>
      </c>
      <c r="T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2">
        <f>SUMIF(C:C,$C$10,D:D)</f>
        <v>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70"/>
      <c r="E13" s="93"/>
      <c r="F13" s="93"/>
      <c r="G13" s="93"/>
      <c r="H13" s="76"/>
      <c r="I13" s="76"/>
      <c r="J13" s="76"/>
      <c r="K13" s="112"/>
      <c r="N13" s="153"/>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8" t="s">
        <v>47</v>
      </c>
      <c r="D17" s="571"/>
      <c r="E17" s="329"/>
      <c r="F17" s="115">
        <v>30000</v>
      </c>
      <c r="G17" s="330">
        <f t="shared" ref="G17:G25" si="0">E17*F17</f>
        <v>0</v>
      </c>
      <c r="H17" s="331"/>
      <c r="I17" s="116" t="s">
        <v>699</v>
      </c>
      <c r="J17" s="116" t="str">
        <f>VLOOKUP(I17,Presupuesto!$B$11:$C$566,2,0)</f>
        <v>SERVICIOS DE CAPACITACION.</v>
      </c>
      <c r="K17" s="332" t="s">
        <v>1516</v>
      </c>
      <c r="L17" s="116" t="s">
        <v>394</v>
      </c>
      <c r="N17" s="153"/>
    </row>
    <row r="18" spans="2:14">
      <c r="B18" s="93"/>
      <c r="C18" s="99" t="s">
        <v>48</v>
      </c>
      <c r="D18" s="572"/>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c r="B19" s="93"/>
      <c r="C19" s="99" t="s">
        <v>49</v>
      </c>
      <c r="D19" s="572"/>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c r="B20" s="93"/>
      <c r="C20" s="99" t="s">
        <v>50</v>
      </c>
      <c r="D20" s="572"/>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c r="B21" s="93"/>
      <c r="C21" s="99" t="s">
        <v>417</v>
      </c>
      <c r="D21" s="572"/>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c r="B22" s="93"/>
      <c r="C22" s="99" t="s">
        <v>51</v>
      </c>
      <c r="D22" s="572"/>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c r="B23" s="93"/>
      <c r="C23" s="99" t="s">
        <v>123</v>
      </c>
      <c r="D23" s="572"/>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c r="B24" s="93"/>
      <c r="C24" s="99" t="s">
        <v>34</v>
      </c>
      <c r="D24" s="572"/>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c r="B25" s="93"/>
      <c r="C25" s="109" t="s">
        <v>52</v>
      </c>
      <c r="D25" s="572"/>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70"/>
      <c r="E32" s="93"/>
      <c r="F32" s="93"/>
      <c r="G32" s="93"/>
      <c r="H32" s="76"/>
      <c r="I32" s="76"/>
      <c r="J32" s="76"/>
      <c r="K32" s="112"/>
    </row>
    <row r="33" spans="3:12"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8" t="s">
        <v>47</v>
      </c>
      <c r="D36" s="571"/>
      <c r="E36" s="329"/>
      <c r="F36" s="115">
        <v>30000</v>
      </c>
      <c r="G36" s="330">
        <f t="shared" ref="G36:G44" si="2">E36*F36</f>
        <v>0</v>
      </c>
      <c r="H36" s="331"/>
      <c r="I36" s="116" t="s">
        <v>699</v>
      </c>
      <c r="J36" s="116" t="str">
        <f>VLOOKUP(I36,Presupuesto!$B$11:$C$566,2,0)</f>
        <v>SERVICIOS DE CAPACITACION.</v>
      </c>
      <c r="K36" s="332" t="s">
        <v>1516</v>
      </c>
      <c r="L36" s="116" t="s">
        <v>394</v>
      </c>
    </row>
    <row r="37" spans="3:12">
      <c r="C37" s="99" t="s">
        <v>48</v>
      </c>
      <c r="D37" s="572"/>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c r="C38" s="99" t="s">
        <v>49</v>
      </c>
      <c r="D38" s="572"/>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c r="C39" s="99" t="s">
        <v>50</v>
      </c>
      <c r="D39" s="572"/>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c r="C40" s="99" t="s">
        <v>417</v>
      </c>
      <c r="D40" s="572"/>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c r="C41" s="99" t="s">
        <v>51</v>
      </c>
      <c r="D41" s="572"/>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c r="C42" s="99" t="s">
        <v>123</v>
      </c>
      <c r="D42" s="572"/>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c r="C43" s="99" t="s">
        <v>34</v>
      </c>
      <c r="D43" s="572"/>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c r="C44" s="109" t="s">
        <v>52</v>
      </c>
      <c r="D44" s="572"/>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70"/>
      <c r="E51" s="93"/>
      <c r="F51" s="93"/>
      <c r="G51" s="93"/>
      <c r="H51" s="76"/>
      <c r="I51" s="76"/>
      <c r="J51" s="76"/>
      <c r="K51" s="112"/>
    </row>
    <row r="52" spans="3:12"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28" t="s">
        <v>47</v>
      </c>
      <c r="D55" s="571"/>
      <c r="E55" s="329"/>
      <c r="F55" s="115">
        <v>30000</v>
      </c>
      <c r="G55" s="330">
        <f t="shared" ref="G55:G63" si="4">E55*F55</f>
        <v>0</v>
      </c>
      <c r="H55" s="331"/>
      <c r="I55" s="116" t="s">
        <v>699</v>
      </c>
      <c r="J55" s="116" t="str">
        <f>VLOOKUP(I55,Presupuesto!$B$11:$C$566,2,0)</f>
        <v>SERVICIOS DE CAPACITACION.</v>
      </c>
      <c r="K55" s="332" t="s">
        <v>1516</v>
      </c>
      <c r="L55" s="116" t="s">
        <v>394</v>
      </c>
    </row>
    <row r="56" spans="3:12">
      <c r="C56" s="99" t="s">
        <v>48</v>
      </c>
      <c r="D56" s="572"/>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c r="C57" s="99" t="s">
        <v>49</v>
      </c>
      <c r="D57" s="572"/>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c r="C58" s="99" t="s">
        <v>50</v>
      </c>
      <c r="D58" s="572"/>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c r="C59" s="99" t="s">
        <v>417</v>
      </c>
      <c r="D59" s="572"/>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c r="C60" s="99" t="s">
        <v>51</v>
      </c>
      <c r="D60" s="572"/>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c r="C61" s="99" t="s">
        <v>123</v>
      </c>
      <c r="D61" s="572"/>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c r="C62" s="99" t="s">
        <v>34</v>
      </c>
      <c r="D62" s="572"/>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c r="C63" s="109" t="s">
        <v>52</v>
      </c>
      <c r="D63" s="572"/>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70"/>
      <c r="E70" s="93"/>
      <c r="F70" s="93"/>
      <c r="G70" s="93"/>
      <c r="H70" s="76"/>
      <c r="I70" s="76"/>
      <c r="J70" s="76"/>
      <c r="K70" s="112"/>
    </row>
    <row r="71" spans="3:12"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28" t="s">
        <v>47</v>
      </c>
      <c r="D74" s="571"/>
      <c r="E74" s="329"/>
      <c r="F74" s="115">
        <v>30000</v>
      </c>
      <c r="G74" s="330">
        <f t="shared" ref="G74:G82" si="7">E74*F74</f>
        <v>0</v>
      </c>
      <c r="H74" s="331"/>
      <c r="I74" s="116" t="s">
        <v>699</v>
      </c>
      <c r="J74" s="116" t="str">
        <f>VLOOKUP(I74,Presupuesto!$B$11:$C$566,2,0)</f>
        <v>SERVICIOS DE CAPACITACION.</v>
      </c>
      <c r="K74" s="332" t="s">
        <v>1516</v>
      </c>
      <c r="L74" s="116" t="s">
        <v>394</v>
      </c>
    </row>
    <row r="75" spans="3:12">
      <c r="C75" s="99" t="s">
        <v>48</v>
      </c>
      <c r="D75" s="572"/>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c r="C76" s="99" t="s">
        <v>49</v>
      </c>
      <c r="D76" s="572"/>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c r="C77" s="99" t="s">
        <v>50</v>
      </c>
      <c r="D77" s="572"/>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c r="C78" s="99" t="s">
        <v>417</v>
      </c>
      <c r="D78" s="572"/>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c r="C79" s="99" t="s">
        <v>51</v>
      </c>
      <c r="D79" s="572"/>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c r="C80" s="99" t="s">
        <v>123</v>
      </c>
      <c r="D80" s="572"/>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c r="C81" s="99" t="s">
        <v>34</v>
      </c>
      <c r="D81" s="572"/>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c r="C82" s="109" t="s">
        <v>52</v>
      </c>
      <c r="D82" s="572"/>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70"/>
      <c r="E89" s="93"/>
      <c r="F89" s="93"/>
      <c r="G89" s="93"/>
      <c r="H89" s="76"/>
      <c r="I89" s="76"/>
      <c r="J89" s="76"/>
      <c r="K89" s="112"/>
    </row>
    <row r="90" spans="3:12"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28" t="s">
        <v>47</v>
      </c>
      <c r="D93" s="571"/>
      <c r="E93" s="329"/>
      <c r="F93" s="115">
        <v>30000</v>
      </c>
      <c r="G93" s="330">
        <f t="shared" ref="G93:G101" si="9">E93*F93</f>
        <v>0</v>
      </c>
      <c r="H93" s="331"/>
      <c r="I93" s="116" t="s">
        <v>699</v>
      </c>
      <c r="J93" s="116" t="str">
        <f>VLOOKUP(I93,Presupuesto!$B$11:$C$566,2,0)</f>
        <v>SERVICIOS DE CAPACITACION.</v>
      </c>
      <c r="K93" s="332" t="s">
        <v>1516</v>
      </c>
      <c r="L93" s="116" t="s">
        <v>394</v>
      </c>
    </row>
    <row r="94" spans="3:12">
      <c r="C94" s="99" t="s">
        <v>48</v>
      </c>
      <c r="D94" s="572"/>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c r="C95" s="99" t="s">
        <v>49</v>
      </c>
      <c r="D95" s="572"/>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c r="C96" s="99" t="s">
        <v>50</v>
      </c>
      <c r="D96" s="572"/>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c r="C97" s="99" t="s">
        <v>417</v>
      </c>
      <c r="D97" s="572"/>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c r="C98" s="99" t="s">
        <v>51</v>
      </c>
      <c r="D98" s="572"/>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c r="C99" s="99" t="s">
        <v>123</v>
      </c>
      <c r="D99" s="572"/>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c r="C100" s="99" t="s">
        <v>34</v>
      </c>
      <c r="D100" s="572"/>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c r="C101" s="109" t="s">
        <v>52</v>
      </c>
      <c r="D101" s="572"/>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70"/>
      <c r="E108" s="93"/>
      <c r="F108" s="93"/>
      <c r="G108" s="93"/>
      <c r="H108" s="76"/>
      <c r="I108" s="76"/>
      <c r="J108" s="76"/>
      <c r="K108" s="112"/>
    </row>
    <row r="109" spans="3:12"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28" t="s">
        <v>47</v>
      </c>
      <c r="D112" s="571"/>
      <c r="E112" s="329"/>
      <c r="F112" s="115">
        <v>30000</v>
      </c>
      <c r="G112" s="330">
        <f t="shared" ref="G112:G120" si="11">E112*F112</f>
        <v>0</v>
      </c>
      <c r="H112" s="331"/>
      <c r="I112" s="116" t="s">
        <v>699</v>
      </c>
      <c r="J112" s="116" t="str">
        <f>VLOOKUP(I112,Presupuesto!$B$11:$C$566,2,0)</f>
        <v>SERVICIOS DE CAPACITACION.</v>
      </c>
      <c r="K112" s="332" t="s">
        <v>1516</v>
      </c>
      <c r="L112" s="116" t="s">
        <v>394</v>
      </c>
    </row>
    <row r="113" spans="3:12">
      <c r="C113" s="99" t="s">
        <v>48</v>
      </c>
      <c r="D113" s="572"/>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c r="C114" s="99" t="s">
        <v>49</v>
      </c>
      <c r="D114" s="572"/>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c r="C115" s="99" t="s">
        <v>50</v>
      </c>
      <c r="D115" s="572"/>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c r="C116" s="99" t="s">
        <v>417</v>
      </c>
      <c r="D116" s="572"/>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c r="C117" s="99" t="s">
        <v>51</v>
      </c>
      <c r="D117" s="572"/>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c r="C118" s="99" t="s">
        <v>123</v>
      </c>
      <c r="D118" s="572"/>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c r="C119" s="99" t="s">
        <v>34</v>
      </c>
      <c r="D119" s="572"/>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c r="C120" s="109" t="s">
        <v>52</v>
      </c>
      <c r="D120" s="572"/>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70"/>
      <c r="E127" s="93"/>
      <c r="F127" s="93"/>
      <c r="G127" s="93"/>
      <c r="H127" s="76"/>
      <c r="I127" s="76"/>
      <c r="J127" s="76"/>
      <c r="K127" s="112"/>
    </row>
    <row r="128" spans="3:12"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28" t="s">
        <v>47</v>
      </c>
      <c r="D131" s="571"/>
      <c r="E131" s="329"/>
      <c r="F131" s="115">
        <v>30000</v>
      </c>
      <c r="G131" s="330">
        <f t="shared" ref="G131:G139" si="13">E131*F131</f>
        <v>0</v>
      </c>
      <c r="H131" s="331"/>
      <c r="I131" s="116" t="s">
        <v>699</v>
      </c>
      <c r="J131" s="116" t="str">
        <f>VLOOKUP(I131,Presupuesto!$B$11:$C$566,2,0)</f>
        <v>SERVICIOS DE CAPACITACION.</v>
      </c>
      <c r="K131" s="332" t="s">
        <v>1516</v>
      </c>
      <c r="L131" s="116" t="s">
        <v>394</v>
      </c>
    </row>
    <row r="132" spans="3:12">
      <c r="C132" s="99" t="s">
        <v>48</v>
      </c>
      <c r="D132" s="572"/>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c r="C133" s="99" t="s">
        <v>49</v>
      </c>
      <c r="D133" s="572"/>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c r="C134" s="99" t="s">
        <v>50</v>
      </c>
      <c r="D134" s="572"/>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c r="C135" s="99" t="s">
        <v>417</v>
      </c>
      <c r="D135" s="572"/>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c r="C136" s="99" t="s">
        <v>51</v>
      </c>
      <c r="D136" s="572"/>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c r="C137" s="99" t="s">
        <v>123</v>
      </c>
      <c r="D137" s="572"/>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c r="C138" s="99" t="s">
        <v>34</v>
      </c>
      <c r="D138" s="572"/>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c r="C139" s="109" t="s">
        <v>52</v>
      </c>
      <c r="D139" s="572"/>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70"/>
      <c r="E146" s="93"/>
      <c r="F146" s="93"/>
      <c r="G146" s="93"/>
      <c r="H146" s="76"/>
      <c r="I146" s="76"/>
      <c r="J146" s="76"/>
      <c r="K146" s="112"/>
    </row>
    <row r="147" spans="3:12"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28" t="s">
        <v>47</v>
      </c>
      <c r="D150" s="571"/>
      <c r="E150" s="329"/>
      <c r="F150" s="115">
        <v>30000</v>
      </c>
      <c r="G150" s="330">
        <f t="shared" ref="G150:G158" si="15">E150*F150</f>
        <v>0</v>
      </c>
      <c r="H150" s="331"/>
      <c r="I150" s="116" t="s">
        <v>699</v>
      </c>
      <c r="J150" s="116" t="str">
        <f>VLOOKUP(I150,Presupuesto!$B$11:$C$566,2,0)</f>
        <v>SERVICIOS DE CAPACITACION.</v>
      </c>
      <c r="K150" s="332" t="s">
        <v>1516</v>
      </c>
      <c r="L150" s="116" t="s">
        <v>394</v>
      </c>
    </row>
    <row r="151" spans="3:12">
      <c r="C151" s="99" t="s">
        <v>48</v>
      </c>
      <c r="D151" s="572"/>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c r="C152" s="99" t="s">
        <v>49</v>
      </c>
      <c r="D152" s="572"/>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c r="C153" s="99" t="s">
        <v>50</v>
      </c>
      <c r="D153" s="572"/>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c r="C154" s="99" t="s">
        <v>417</v>
      </c>
      <c r="D154" s="572"/>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c r="C155" s="99" t="s">
        <v>51</v>
      </c>
      <c r="D155" s="572"/>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c r="C156" s="99" t="s">
        <v>123</v>
      </c>
      <c r="D156" s="572"/>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c r="C157" s="99" t="s">
        <v>34</v>
      </c>
      <c r="D157" s="572"/>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c r="C158" s="109" t="s">
        <v>52</v>
      </c>
      <c r="D158" s="572"/>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70"/>
      <c r="E165" s="93"/>
      <c r="F165" s="93"/>
      <c r="G165" s="93"/>
      <c r="H165" s="76"/>
      <c r="I165" s="76"/>
      <c r="J165" s="76"/>
      <c r="K165" s="112"/>
    </row>
    <row r="166" spans="3:12"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28" t="s">
        <v>47</v>
      </c>
      <c r="D169" s="571"/>
      <c r="E169" s="329"/>
      <c r="F169" s="115">
        <v>30000</v>
      </c>
      <c r="G169" s="330">
        <f t="shared" ref="G169:G177" si="17">E169*F169</f>
        <v>0</v>
      </c>
      <c r="H169" s="331"/>
      <c r="I169" s="116" t="s">
        <v>699</v>
      </c>
      <c r="J169" s="116" t="str">
        <f>VLOOKUP(I169,Presupuesto!$B$11:$C$566,2,0)</f>
        <v>SERVICIOS DE CAPACITACION.</v>
      </c>
      <c r="K169" s="332" t="s">
        <v>1516</v>
      </c>
      <c r="L169" s="116" t="s">
        <v>394</v>
      </c>
    </row>
    <row r="170" spans="3:12">
      <c r="C170" s="99" t="s">
        <v>48</v>
      </c>
      <c r="D170" s="572"/>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c r="C171" s="99" t="s">
        <v>49</v>
      </c>
      <c r="D171" s="572"/>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c r="C172" s="99" t="s">
        <v>50</v>
      </c>
      <c r="D172" s="572"/>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c r="C173" s="99" t="s">
        <v>417</v>
      </c>
      <c r="D173" s="572"/>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c r="C174" s="99" t="s">
        <v>51</v>
      </c>
      <c r="D174" s="572"/>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c r="C175" s="99" t="s">
        <v>123</v>
      </c>
      <c r="D175" s="572"/>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c r="C176" s="99" t="s">
        <v>34</v>
      </c>
      <c r="D176" s="572"/>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c r="C177" s="109" t="s">
        <v>52</v>
      </c>
      <c r="D177" s="572"/>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70"/>
      <c r="E184" s="93"/>
      <c r="F184" s="93"/>
      <c r="G184" s="93"/>
      <c r="H184" s="76"/>
      <c r="I184" s="76"/>
      <c r="J184" s="76"/>
      <c r="K184" s="112"/>
    </row>
    <row r="185" spans="3:12"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28" t="s">
        <v>47</v>
      </c>
      <c r="D188" s="571"/>
      <c r="E188" s="329"/>
      <c r="F188" s="115">
        <v>30000</v>
      </c>
      <c r="G188" s="330">
        <f t="shared" ref="G188:G196" si="19">E188*F188</f>
        <v>0</v>
      </c>
      <c r="H188" s="331"/>
      <c r="I188" s="116" t="s">
        <v>699</v>
      </c>
      <c r="J188" s="116" t="str">
        <f>VLOOKUP(I188,Presupuesto!$B$11:$C$566,2,0)</f>
        <v>SERVICIOS DE CAPACITACION.</v>
      </c>
      <c r="K188" s="332" t="s">
        <v>1516</v>
      </c>
      <c r="L188" s="116" t="s">
        <v>394</v>
      </c>
    </row>
    <row r="189" spans="3:12">
      <c r="C189" s="99" t="s">
        <v>48</v>
      </c>
      <c r="D189" s="572"/>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c r="C190" s="99" t="s">
        <v>49</v>
      </c>
      <c r="D190" s="572"/>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c r="C191" s="99" t="s">
        <v>50</v>
      </c>
      <c r="D191" s="572"/>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c r="C192" s="99" t="s">
        <v>417</v>
      </c>
      <c r="D192" s="572"/>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c r="C193" s="99" t="s">
        <v>51</v>
      </c>
      <c r="D193" s="572"/>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c r="C194" s="99" t="s">
        <v>123</v>
      </c>
      <c r="D194" s="572"/>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c r="C195" s="99" t="s">
        <v>34</v>
      </c>
      <c r="D195" s="572"/>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c r="C196" s="109" t="s">
        <v>52</v>
      </c>
      <c r="D196" s="572"/>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70"/>
      <c r="E203" s="93"/>
      <c r="F203" s="93"/>
      <c r="G203" s="93"/>
      <c r="H203" s="76"/>
      <c r="I203" s="76"/>
      <c r="J203" s="76"/>
      <c r="K203" s="112"/>
    </row>
    <row r="204" spans="3:12"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28" t="s">
        <v>47</v>
      </c>
      <c r="D207" s="571"/>
      <c r="E207" s="329"/>
      <c r="F207" s="115">
        <v>30000</v>
      </c>
      <c r="G207" s="330">
        <f t="shared" ref="G207:G215" si="21">E207*F207</f>
        <v>0</v>
      </c>
      <c r="H207" s="331"/>
      <c r="I207" s="116" t="s">
        <v>699</v>
      </c>
      <c r="J207" s="116" t="str">
        <f>VLOOKUP(I207,Presupuesto!$B$11:$C$566,2,0)</f>
        <v>SERVICIOS DE CAPACITACION.</v>
      </c>
      <c r="K207" s="332" t="s">
        <v>1516</v>
      </c>
      <c r="L207" s="116" t="s">
        <v>394</v>
      </c>
    </row>
    <row r="208" spans="3:12">
      <c r="C208" s="99" t="s">
        <v>48</v>
      </c>
      <c r="D208" s="572"/>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c r="C209" s="99" t="s">
        <v>49</v>
      </c>
      <c r="D209" s="572"/>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c r="C210" s="99" t="s">
        <v>50</v>
      </c>
      <c r="D210" s="572"/>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c r="C211" s="99" t="s">
        <v>417</v>
      </c>
      <c r="D211" s="572"/>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c r="C212" s="99" t="s">
        <v>51</v>
      </c>
      <c r="D212" s="572"/>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c r="C213" s="99" t="s">
        <v>123</v>
      </c>
      <c r="D213" s="572"/>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c r="C214" s="99" t="s">
        <v>34</v>
      </c>
      <c r="D214" s="572"/>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c r="C215" s="109" t="s">
        <v>52</v>
      </c>
      <c r="D215" s="572"/>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70"/>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28" t="s">
        <v>47</v>
      </c>
      <c r="D226" s="571"/>
      <c r="E226" s="329"/>
      <c r="F226" s="115">
        <v>30000</v>
      </c>
      <c r="G226" s="330">
        <f t="shared" ref="G226:G234" si="23">E226*F226</f>
        <v>0</v>
      </c>
      <c r="H226" s="331"/>
      <c r="I226" s="116" t="s">
        <v>699</v>
      </c>
      <c r="J226" s="116" t="str">
        <f>VLOOKUP(I226,Presupuesto!$B$11:$C$566,2,0)</f>
        <v>SERVICIOS DE CAPACITACION.</v>
      </c>
      <c r="K226" s="332" t="s">
        <v>1516</v>
      </c>
      <c r="L226" s="116" t="s">
        <v>394</v>
      </c>
    </row>
    <row r="227" spans="3:12">
      <c r="C227" s="99" t="s">
        <v>48</v>
      </c>
      <c r="D227" s="572"/>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c r="C228" s="99" t="s">
        <v>49</v>
      </c>
      <c r="D228" s="572"/>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c r="C229" s="99" t="s">
        <v>50</v>
      </c>
      <c r="D229" s="572"/>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c r="C230" s="99" t="s">
        <v>417</v>
      </c>
      <c r="D230" s="572"/>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c r="C231" s="99" t="s">
        <v>51</v>
      </c>
      <c r="D231" s="572"/>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c r="C232" s="99" t="s">
        <v>123</v>
      </c>
      <c r="D232" s="572"/>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c r="C233" s="99" t="s">
        <v>34</v>
      </c>
      <c r="D233" s="572"/>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c r="C234" s="109" t="s">
        <v>52</v>
      </c>
      <c r="D234" s="572"/>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76"/>
  <sheetViews>
    <sheetView showGridLines="0" topLeftCell="A10" zoomScale="84" zoomScaleNormal="84" workbookViewId="0">
      <selection activeCell="D76" sqref="D76"/>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49.140625" style="86"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60" t="s">
        <v>1357</v>
      </c>
      <c r="E2" s="122" t="s">
        <v>1359</v>
      </c>
      <c r="F2" s="122" t="s">
        <v>472</v>
      </c>
      <c r="G2" s="122" t="s">
        <v>1360</v>
      </c>
      <c r="H2" s="160"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c r="C5" s="195" t="s">
        <v>128</v>
      </c>
      <c r="D5" s="462">
        <f>SUMIF(C:C,$C$10,D:D)</f>
        <v>5389267.333333334</v>
      </c>
      <c r="CA5" s="304"/>
    </row>
    <row r="6" spans="1:555">
      <c r="CA6" s="304"/>
    </row>
    <row r="7" spans="1:555">
      <c r="CA7" s="304"/>
    </row>
    <row r="8" spans="1:555">
      <c r="C8" s="70" t="s">
        <v>54</v>
      </c>
      <c r="D8" s="79"/>
      <c r="E8" s="70"/>
      <c r="F8" s="70"/>
      <c r="G8" s="70"/>
      <c r="H8" s="79"/>
      <c r="I8" s="70"/>
      <c r="J8" s="70"/>
      <c r="CA8" s="304"/>
    </row>
    <row r="9" spans="1:555" ht="15.75" thickBot="1">
      <c r="C9" s="94"/>
      <c r="D9" s="79"/>
      <c r="E9" s="94"/>
      <c r="F9" s="94"/>
      <c r="G9" s="94"/>
      <c r="H9" s="79"/>
      <c r="I9" s="94"/>
      <c r="J9" s="121"/>
      <c r="CA9" s="304"/>
    </row>
    <row r="10" spans="1:555" ht="15.75" thickBot="1">
      <c r="C10" s="69" t="s">
        <v>43</v>
      </c>
      <c r="D10" s="30">
        <f>SUM(G17:G73)</f>
        <v>4312000</v>
      </c>
      <c r="E10" s="93"/>
      <c r="F10" s="93"/>
      <c r="G10" s="93"/>
      <c r="H10" s="76"/>
      <c r="I10" s="76"/>
      <c r="J10" s="548"/>
      <c r="K10" s="153"/>
      <c r="CA10" s="304"/>
    </row>
    <row r="11" spans="1:555">
      <c r="B11" s="177"/>
      <c r="D11" s="31"/>
      <c r="E11" s="93"/>
      <c r="F11" s="93"/>
      <c r="G11" s="93"/>
      <c r="H11" s="76"/>
      <c r="I11" s="76"/>
      <c r="J11" s="76"/>
      <c r="K11" s="153"/>
      <c r="CA11" s="304"/>
    </row>
    <row r="12" spans="1:555">
      <c r="B12" s="177"/>
      <c r="D12" s="31"/>
      <c r="E12" s="93"/>
      <c r="F12" s="93"/>
      <c r="G12" s="93"/>
      <c r="H12" s="548"/>
      <c r="I12" s="76"/>
      <c r="J12" s="76"/>
      <c r="K12" s="153"/>
      <c r="CA12" s="304"/>
    </row>
    <row r="13" spans="1:555" ht="15.75">
      <c r="C13" s="202" t="s">
        <v>392</v>
      </c>
      <c r="D13" s="370">
        <f>'7. Lo Esencial de la Reforma U.'!E20</f>
        <v>7.13</v>
      </c>
      <c r="E13" s="93"/>
      <c r="F13" s="93"/>
      <c r="G13" s="93"/>
      <c r="H13" s="548"/>
      <c r="I13" s="76"/>
      <c r="J13" s="76"/>
      <c r="K13" s="153"/>
      <c r="CA13" s="304"/>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Fortalecer la gestión cultural a través de la Contratación de 28 integrantes de la Orquesta de Cámara de la UNAH</v>
      </c>
      <c r="D14" s="31"/>
      <c r="E14" s="93"/>
      <c r="F14" s="93"/>
      <c r="G14" s="93"/>
      <c r="H14" s="76"/>
      <c r="I14" s="76"/>
      <c r="J14" s="76"/>
      <c r="K14" s="153"/>
      <c r="CA14" s="304"/>
    </row>
    <row r="15" spans="1:555" ht="15.75" thickBot="1">
      <c r="C15" s="94"/>
      <c r="D15" s="31"/>
      <c r="E15" s="93"/>
      <c r="F15" s="93"/>
      <c r="G15" s="93"/>
      <c r="H15" s="76"/>
      <c r="I15" s="76"/>
      <c r="J15" s="76"/>
      <c r="K15" s="153"/>
      <c r="CA15" s="304"/>
    </row>
    <row r="16" spans="1:555" ht="30.75" thickBot="1">
      <c r="C16" s="134" t="s">
        <v>44</v>
      </c>
      <c r="D16" s="138" t="s">
        <v>55</v>
      </c>
      <c r="E16" s="170" t="s">
        <v>56</v>
      </c>
      <c r="F16" s="138" t="s">
        <v>57</v>
      </c>
      <c r="G16" s="135" t="s">
        <v>27</v>
      </c>
      <c r="H16" s="133" t="s">
        <v>131</v>
      </c>
      <c r="I16" s="136" t="s">
        <v>46</v>
      </c>
      <c r="J16" s="136" t="s">
        <v>132</v>
      </c>
      <c r="K16" s="136" t="s">
        <v>410</v>
      </c>
      <c r="L16" s="136" t="s">
        <v>411</v>
      </c>
      <c r="CA16" s="304"/>
    </row>
    <row r="17" spans="3:79" ht="15.75" thickBot="1">
      <c r="C17" s="137" t="s">
        <v>482</v>
      </c>
      <c r="D17" s="199"/>
      <c r="E17" s="152">
        <v>12</v>
      </c>
      <c r="F17" s="305">
        <f>HLOOKUP($C17,$BZ$2:$CM$3,2,0)</f>
        <v>43674.39</v>
      </c>
      <c r="G17" s="113">
        <f>D17*E17*F17</f>
        <v>0</v>
      </c>
      <c r="H17" s="166"/>
      <c r="I17" s="114" t="s">
        <v>496</v>
      </c>
      <c r="J17" s="114" t="str">
        <f>VLOOKUP(I17,Presupuesto!$B$11:$C$565,2,0)</f>
        <v>SUELDOS Y SALARIOS PERMANENTES</v>
      </c>
      <c r="K17" s="219" t="s">
        <v>1516</v>
      </c>
      <c r="L17" s="98" t="s">
        <v>394</v>
      </c>
      <c r="CA17" s="304"/>
    </row>
    <row r="18" spans="3:79">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73" si="1">$K$17</f>
        <v>Gestión Tecnologías de Información y Comunicación</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c r="C59" s="140" t="s">
        <v>83</v>
      </c>
      <c r="D59" s="199">
        <v>26</v>
      </c>
      <c r="E59" s="152">
        <v>11</v>
      </c>
      <c r="F59" s="502">
        <v>12000</v>
      </c>
      <c r="G59" s="113">
        <f>D59*E59*F59</f>
        <v>3432000</v>
      </c>
      <c r="H59" s="166" t="s">
        <v>1508</v>
      </c>
      <c r="I59" s="114" t="s">
        <v>564</v>
      </c>
      <c r="J59" s="114" t="str">
        <f>VLOOKUP(I59,Presupuesto!$B$11:$C$565,2,0)</f>
        <v>CONTRATOS ESPECIALES</v>
      </c>
      <c r="K59" s="98" t="s">
        <v>1360</v>
      </c>
      <c r="L59" s="98" t="s">
        <v>412</v>
      </c>
    </row>
    <row r="60" spans="3:12">
      <c r="C60" s="171" t="s">
        <v>58</v>
      </c>
      <c r="D60" s="163"/>
      <c r="E60" s="154">
        <v>0</v>
      </c>
      <c r="F60" s="117">
        <f>IF(E59=0,"",(G59/E59)/12*E59)</f>
        <v>286000</v>
      </c>
      <c r="G60" s="97">
        <f>F60</f>
        <v>286000</v>
      </c>
      <c r="H60" s="164" t="s">
        <v>1508</v>
      </c>
      <c r="I60" s="101" t="s">
        <v>550</v>
      </c>
      <c r="J60" s="101" t="str">
        <f>VLOOKUP(I60,Presupuesto!$B$11:$C$565,2,0)</f>
        <v>DECIMO TERCER MES</v>
      </c>
      <c r="K60" s="98" t="s">
        <v>1360</v>
      </c>
      <c r="L60" s="98" t="s">
        <v>404</v>
      </c>
    </row>
    <row r="61" spans="3:12" ht="15.75" thickBot="1">
      <c r="C61" s="172" t="s">
        <v>59</v>
      </c>
      <c r="D61" s="163"/>
      <c r="E61" s="154">
        <v>156000</v>
      </c>
      <c r="F61" s="100">
        <f>IF(E59&lt;6,"",((E59-6)/12)*(G59/E59)+E61)</f>
        <v>286000</v>
      </c>
      <c r="G61" s="120">
        <f>F61</f>
        <v>286000</v>
      </c>
      <c r="H61" s="503" t="s">
        <v>1508</v>
      </c>
      <c r="I61" s="110" t="s">
        <v>552</v>
      </c>
      <c r="J61" s="110" t="str">
        <f>VLOOKUP(I61,Presupuesto!$B$11:$C$565,2,0)</f>
        <v>DECIMOCUARTO MES</v>
      </c>
      <c r="K61" s="98" t="s">
        <v>1360</v>
      </c>
      <c r="L61" s="98" t="s">
        <v>398</v>
      </c>
    </row>
    <row r="62" spans="3:12" s="465" customFormat="1" ht="15.75" thickBot="1">
      <c r="C62" s="140" t="s">
        <v>83</v>
      </c>
      <c r="D62" s="199">
        <v>1</v>
      </c>
      <c r="E62" s="151">
        <v>11</v>
      </c>
      <c r="F62" s="513">
        <v>16000</v>
      </c>
      <c r="G62" s="514">
        <f>D62*E62*F62</f>
        <v>176000</v>
      </c>
      <c r="H62" s="166" t="s">
        <v>1508</v>
      </c>
      <c r="I62" s="114" t="s">
        <v>564</v>
      </c>
      <c r="J62" s="114" t="str">
        <f>VLOOKUP(I62,Presupuesto!$B$11:$C$565,2,0)</f>
        <v>CONTRATOS ESPECIALES</v>
      </c>
      <c r="K62" s="98" t="s">
        <v>1360</v>
      </c>
      <c r="L62" s="98" t="s">
        <v>412</v>
      </c>
    </row>
    <row r="63" spans="3:12" s="465" customFormat="1">
      <c r="C63" s="171" t="s">
        <v>58</v>
      </c>
      <c r="D63" s="163"/>
      <c r="E63" s="154">
        <v>0</v>
      </c>
      <c r="F63" s="100">
        <f>IF(E62=0,"",(G62/E62)/12*E62)</f>
        <v>14666.666666666666</v>
      </c>
      <c r="G63" s="512">
        <f>F63</f>
        <v>14666.666666666666</v>
      </c>
      <c r="H63" s="161" t="s">
        <v>1508</v>
      </c>
      <c r="I63" s="101" t="s">
        <v>550</v>
      </c>
      <c r="J63" s="101" t="str">
        <f>VLOOKUP(I63,Presupuesto!$B$11:$C$565,2,0)</f>
        <v>DECIMO TERCER MES</v>
      </c>
      <c r="K63" s="98" t="s">
        <v>1360</v>
      </c>
      <c r="L63" s="98" t="s">
        <v>404</v>
      </c>
    </row>
    <row r="64" spans="3:12" s="465" customFormat="1" ht="15.75" thickBot="1">
      <c r="C64" s="172" t="s">
        <v>59</v>
      </c>
      <c r="D64" s="163"/>
      <c r="E64" s="154">
        <v>8000</v>
      </c>
      <c r="F64" s="100">
        <f>IF(E62&lt;6,"",((E62-6)/12)*(G62/E62)+E64)</f>
        <v>14666.666666666668</v>
      </c>
      <c r="G64" s="97">
        <f>F64</f>
        <v>14666.666666666668</v>
      </c>
      <c r="H64" s="503" t="s">
        <v>1508</v>
      </c>
      <c r="I64" s="110" t="s">
        <v>552</v>
      </c>
      <c r="J64" s="110" t="str">
        <f>VLOOKUP(I64,Presupuesto!$B$11:$C$565,2,0)</f>
        <v>DECIMOCUARTO MES</v>
      </c>
      <c r="K64" s="98" t="s">
        <v>1360</v>
      </c>
      <c r="L64" s="98" t="s">
        <v>398</v>
      </c>
    </row>
    <row r="65" spans="3:12" s="465" customFormat="1" ht="15.75" thickBot="1">
      <c r="C65" s="140" t="s">
        <v>83</v>
      </c>
      <c r="D65" s="506">
        <v>1</v>
      </c>
      <c r="E65" s="152">
        <v>11</v>
      </c>
      <c r="F65" s="502">
        <v>8000</v>
      </c>
      <c r="G65" s="507">
        <f>D65*E65*F65</f>
        <v>88000</v>
      </c>
      <c r="H65" s="166" t="s">
        <v>1508</v>
      </c>
      <c r="I65" s="114" t="s">
        <v>564</v>
      </c>
      <c r="J65" s="114" t="str">
        <f>VLOOKUP(I65,Presupuesto!$B$11:$C$565,2,0)</f>
        <v>CONTRATOS ESPECIALES</v>
      </c>
      <c r="K65" s="98" t="s">
        <v>1360</v>
      </c>
      <c r="L65" s="98" t="s">
        <v>412</v>
      </c>
    </row>
    <row r="66" spans="3:12" s="465" customFormat="1">
      <c r="C66" s="171" t="s">
        <v>58</v>
      </c>
      <c r="D66" s="163"/>
      <c r="E66" s="154">
        <v>0</v>
      </c>
      <c r="F66" s="117">
        <f>IF(E65=0,"",(G65/E65)/12*E65)</f>
        <v>7333.333333333333</v>
      </c>
      <c r="G66" s="510">
        <f>F66</f>
        <v>7333.333333333333</v>
      </c>
      <c r="H66" s="164" t="s">
        <v>1508</v>
      </c>
      <c r="I66" s="101" t="s">
        <v>550</v>
      </c>
      <c r="J66" s="101" t="str">
        <f>VLOOKUP(I66,Presupuesto!$B$11:$C$565,2,0)</f>
        <v>DECIMO TERCER MES</v>
      </c>
      <c r="K66" s="98" t="s">
        <v>1360</v>
      </c>
      <c r="L66" s="98" t="s">
        <v>404</v>
      </c>
    </row>
    <row r="67" spans="3:12" s="465" customFormat="1" ht="15.75" thickBot="1">
      <c r="C67" s="172" t="s">
        <v>59</v>
      </c>
      <c r="D67" s="163"/>
      <c r="E67" s="154">
        <v>4000</v>
      </c>
      <c r="F67" s="100">
        <f>IF(E65&lt;6,"",((E65-6)/12)*(G65/E65)+E67)</f>
        <v>7333.3333333333339</v>
      </c>
      <c r="G67" s="512">
        <f>F67</f>
        <v>7333.3333333333339</v>
      </c>
      <c r="H67" s="509" t="s">
        <v>1508</v>
      </c>
      <c r="I67" s="110" t="s">
        <v>552</v>
      </c>
      <c r="J67" s="110" t="str">
        <f>VLOOKUP(I67,Presupuesto!$B$11:$C$565,2,0)</f>
        <v>DECIMOCUARTO MES</v>
      </c>
      <c r="K67" s="98" t="s">
        <v>1360</v>
      </c>
      <c r="L67" s="98" t="s">
        <v>398</v>
      </c>
    </row>
    <row r="68" spans="3:12" ht="15.75" thickBot="1">
      <c r="C68" s="140" t="s">
        <v>60</v>
      </c>
      <c r="D68" s="199"/>
      <c r="E68" s="152">
        <v>12</v>
      </c>
      <c r="F68" s="508">
        <v>30000</v>
      </c>
      <c r="G68" s="511">
        <f>D68*E68*F68</f>
        <v>0</v>
      </c>
      <c r="H68" s="166"/>
      <c r="I68" s="114" t="s">
        <v>705</v>
      </c>
      <c r="J68" s="114" t="str">
        <f>VLOOKUP(I68,Presupuesto!$B$11:$C$565,2,0)</f>
        <v>OTROS SERVICIOS TECNICOS Y PROFESIONALES</v>
      </c>
      <c r="K68" s="98" t="str">
        <f t="shared" si="1"/>
        <v>Gestión Tecnologías de Información y Comunicación</v>
      </c>
      <c r="L68" s="98" t="s">
        <v>394</v>
      </c>
    </row>
    <row r="69" spans="3:12">
      <c r="C69" s="171" t="s">
        <v>58</v>
      </c>
      <c r="D69" s="163"/>
      <c r="E69" s="154">
        <v>0</v>
      </c>
      <c r="F69" s="100">
        <v>0</v>
      </c>
      <c r="G69" s="97">
        <f>F69</f>
        <v>0</v>
      </c>
      <c r="H69" s="164"/>
      <c r="I69" s="101" t="s">
        <v>705</v>
      </c>
      <c r="J69" s="101" t="str">
        <f>VLOOKUP(I69,Presupuesto!$B$11:$C$565,2,0)</f>
        <v>OTROS SERVICIOS TECNICOS Y PROFESIONALES</v>
      </c>
      <c r="K69" s="98" t="str">
        <f t="shared" si="1"/>
        <v>Gestión Tecnologías de Información y Comunicación</v>
      </c>
      <c r="L69" s="98" t="s">
        <v>394</v>
      </c>
    </row>
    <row r="70" spans="3:12" ht="15.75" thickBot="1">
      <c r="C70" s="172" t="s">
        <v>59</v>
      </c>
      <c r="D70" s="163"/>
      <c r="E70" s="154">
        <v>0</v>
      </c>
      <c r="F70" s="100">
        <v>0</v>
      </c>
      <c r="G70" s="97">
        <f>F70</f>
        <v>0</v>
      </c>
      <c r="H70" s="164"/>
      <c r="I70" s="101" t="s">
        <v>705</v>
      </c>
      <c r="J70" s="101" t="str">
        <f>VLOOKUP(I70,Presupuesto!$B$11:$C$565,2,0)</f>
        <v>OTROS SERVICIOS TECNICOS Y PROFESIONALES</v>
      </c>
      <c r="K70" s="98" t="str">
        <f t="shared" si="1"/>
        <v>Gestión Tecnologías de Información y Comunicación</v>
      </c>
      <c r="L70" s="98" t="s">
        <v>394</v>
      </c>
    </row>
    <row r="71" spans="3:12" ht="15.75" thickBot="1">
      <c r="C71" s="140" t="s">
        <v>61</v>
      </c>
      <c r="D71" s="199"/>
      <c r="E71" s="151">
        <v>12</v>
      </c>
      <c r="F71" s="513">
        <v>30000</v>
      </c>
      <c r="G71" s="113">
        <f>D71*E71*F71</f>
        <v>0</v>
      </c>
      <c r="H71" s="166"/>
      <c r="I71" s="114" t="s">
        <v>496</v>
      </c>
      <c r="J71" s="114" t="str">
        <f>VLOOKUP(I71,Presupuesto!$B$11:$C$565,2,0)</f>
        <v>SUELDOS Y SALARIOS PERMANENTES</v>
      </c>
      <c r="K71" s="98" t="str">
        <f t="shared" si="1"/>
        <v>Gestión Tecnologías de Información y Comunicación</v>
      </c>
      <c r="L71" s="98" t="s">
        <v>394</v>
      </c>
    </row>
    <row r="72" spans="3:12">
      <c r="C72" s="171" t="s">
        <v>58</v>
      </c>
      <c r="D72" s="169"/>
      <c r="E72" s="131">
        <v>0</v>
      </c>
      <c r="F72" s="119">
        <f>IF(E71=0,"",(G71/E71)/12*E71)</f>
        <v>0</v>
      </c>
      <c r="G72" s="120">
        <f>F72</f>
        <v>0</v>
      </c>
      <c r="H72" s="164"/>
      <c r="I72" s="101" t="s">
        <v>516</v>
      </c>
      <c r="J72" s="101" t="str">
        <f>VLOOKUP(I72,Presupuesto!$B$11:$C$565,2,0)</f>
        <v>AGUINALDO Y DECIMO CUARTO MES</v>
      </c>
      <c r="K72" s="98" t="str">
        <f t="shared" si="1"/>
        <v>Gestión Tecnologías de Información y Comunicación</v>
      </c>
      <c r="L72" s="98" t="s">
        <v>394</v>
      </c>
    </row>
    <row r="73" spans="3:12" ht="15.75" thickBot="1">
      <c r="C73" s="173" t="s">
        <v>59</v>
      </c>
      <c r="D73" s="162"/>
      <c r="E73" s="132">
        <v>0</v>
      </c>
      <c r="F73" s="105">
        <f>IF(E71&lt;6,"",((E71-6)/12)*(G71/E71))</f>
        <v>0</v>
      </c>
      <c r="G73" s="105">
        <f>F73</f>
        <v>0</v>
      </c>
      <c r="H73" s="162"/>
      <c r="I73" s="106" t="s">
        <v>519</v>
      </c>
      <c r="J73" s="124" t="str">
        <f>VLOOKUP(I73,Presupuesto!$B$11:$C$565,2,0)</f>
        <v>DECIMOCUARTO MES</v>
      </c>
      <c r="K73" s="106" t="str">
        <f t="shared" si="1"/>
        <v>Gestión Tecnologías de Información y Comunicación</v>
      </c>
      <c r="L73" s="124" t="s">
        <v>394</v>
      </c>
    </row>
    <row r="75" spans="3:12" ht="15.75" thickBot="1">
      <c r="K75" s="153"/>
    </row>
    <row r="76" spans="3:12" ht="15.75" thickBot="1">
      <c r="C76" s="69" t="s">
        <v>43</v>
      </c>
      <c r="D76" s="30">
        <f>SUM(G83:G136)</f>
        <v>1077267.3333333335</v>
      </c>
      <c r="E76" s="93"/>
      <c r="F76" s="93"/>
      <c r="G76" s="93"/>
      <c r="H76" s="76"/>
      <c r="I76" s="76"/>
      <c r="J76" s="76"/>
      <c r="K76" s="153"/>
    </row>
    <row r="77" spans="3:12">
      <c r="D77" s="31"/>
      <c r="E77" s="93"/>
      <c r="F77" s="93"/>
      <c r="G77" s="93"/>
      <c r="H77" s="76"/>
      <c r="I77" s="76"/>
      <c r="J77" s="76"/>
      <c r="K77" s="153"/>
    </row>
    <row r="78" spans="3:12">
      <c r="D78" s="31"/>
      <c r="E78" s="93"/>
      <c r="F78" s="93"/>
      <c r="G78" s="93"/>
      <c r="H78" s="76"/>
      <c r="I78" s="76"/>
      <c r="J78" s="76"/>
      <c r="K78" s="153"/>
    </row>
    <row r="79" spans="3:12" ht="15.75">
      <c r="C79" s="202" t="s">
        <v>392</v>
      </c>
      <c r="D79" s="370">
        <f>'7. Lo Esencial de la Reforma U.'!E25</f>
        <v>7.18</v>
      </c>
      <c r="E79" s="93"/>
      <c r="F79" s="93"/>
      <c r="G79" s="93"/>
      <c r="H79" s="76"/>
      <c r="I79" s="76"/>
      <c r="J79" s="76"/>
      <c r="K79" s="153"/>
    </row>
    <row r="80" spans="3:12" ht="18.75">
      <c r="C80" s="211" t="str">
        <f>IFERROR(VLOOKUP(D79,'1. Desarrollo e Innov. Curricu.'!$E:$F,2,FALSE),IFERROR(VLOOKUP(D79,'2. Investigación Científica'!$E:$F,2,FALSE),IFERROR(VLOOKUP(D79,'3. Vinculación Univ. Sociedad'!$E:$F,2,FALSE),IFERROR(VLOOKUP(D79,'4. Docencia y Profesorado Univ.'!$E:$F,2,FALSE),IFERROR(VLOOKUP(D79,'5. Estudiantes y Graduados'!$E:$F,2,FALSE),IFERROR(VLOOKUP(D79,'11. Gestion Administrativa'!$E:$F,2,FALSE),IFERROR(VLOOKUP(D79,'13. Gestión Académica'!$E:$F,2,FALSE),IFERROR(VLOOKUP(D79,'8. Asegura. de la Calid. y M'!$E:$F,2,FALSE),IFERROR(VLOOKUP(D79,'6. Gestión del Conocimiento'!$E:$F,2,FALSE),IFERROR(VLOOKUP(D79,'15. Gobernabilidad y Proceso...'!$E:$F,2,FALSE),IFERROR(VLOOKUP(D79,'12. Gestión del Talento Humano'!$E:$F,2,FALSE),IFERROR(VLOOKUP(D79,'14. Internacional... de la E.S.'!$E:$F,2,FALSE),IFERROR(VLOOKUP(D79,'10. Posgrado'!$E:$F,2,FALSE),IFERROR(VLOOKUP(D79,'17. Gestión TIC'!$E:$F,2,FALSE),IFERROR(VLOOKUP(D79,'16. Desa. del Sistema Educ.Sup.'!$E:$F,2,FALSE),IFERROR(VLOOKUP(D79,'9. Cultura de Inno. Insti...'!$E:$F,2,FALSE),VLOOKUP(D79,'7. Lo Esencial de la Reforma U.'!$E:$F,2,0)))))))))))))))))</f>
        <v>Gestionar la contratación de personal para completar la Estructura Orgánica de la Dirección de Cultura</v>
      </c>
      <c r="D80" s="31"/>
      <c r="E80" s="93"/>
      <c r="F80" s="93"/>
      <c r="G80" s="93"/>
      <c r="H80" s="76"/>
      <c r="I80" s="76"/>
      <c r="J80" s="76"/>
      <c r="K80" s="153"/>
    </row>
    <row r="81" spans="3:12" ht="15.75" thickBot="1">
      <c r="C81" s="177"/>
      <c r="D81" s="31"/>
      <c r="E81" s="93"/>
      <c r="F81" s="93"/>
      <c r="G81" s="93"/>
      <c r="H81" s="76"/>
      <c r="I81" s="76"/>
      <c r="J81" s="76"/>
      <c r="K81" s="153"/>
    </row>
    <row r="82" spans="3:12" ht="30.75" thickBot="1">
      <c r="C82" s="134" t="s">
        <v>44</v>
      </c>
      <c r="D82" s="138" t="s">
        <v>55</v>
      </c>
      <c r="E82" s="170" t="s">
        <v>56</v>
      </c>
      <c r="F82" s="138" t="s">
        <v>57</v>
      </c>
      <c r="G82" s="135" t="s">
        <v>27</v>
      </c>
      <c r="H82" s="133" t="s">
        <v>131</v>
      </c>
      <c r="I82" s="136" t="s">
        <v>46</v>
      </c>
      <c r="J82" s="136" t="s">
        <v>132</v>
      </c>
      <c r="K82" s="136" t="s">
        <v>410</v>
      </c>
      <c r="L82" s="136" t="s">
        <v>411</v>
      </c>
    </row>
    <row r="83" spans="3:12" ht="15.75" thickBot="1">
      <c r="C83" s="137" t="s">
        <v>482</v>
      </c>
      <c r="D83" s="199"/>
      <c r="E83" s="152">
        <v>12</v>
      </c>
      <c r="F83" s="305">
        <f>HLOOKUP($C83,$BZ$2:$CM$3,2,0)</f>
        <v>43674.39</v>
      </c>
      <c r="G83" s="113">
        <f>D83*E83*F83</f>
        <v>0</v>
      </c>
      <c r="H83" s="166"/>
      <c r="I83" s="114" t="s">
        <v>496</v>
      </c>
      <c r="J83" s="114" t="str">
        <f>VLOOKUP(I83,Presupuesto!$B$11:$C$565,2,0)</f>
        <v>SUELDOS Y SALARIOS PERMANENTES</v>
      </c>
      <c r="K83" s="219" t="s">
        <v>1453</v>
      </c>
      <c r="L83" s="98" t="s">
        <v>394</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ref="K84:K115" si="2">$K$83</f>
        <v>Posgrado</v>
      </c>
      <c r="L84" s="98" t="s">
        <v>412</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c r="C86" s="137" t="s">
        <v>483</v>
      </c>
      <c r="D86" s="199"/>
      <c r="E86" s="152">
        <v>12</v>
      </c>
      <c r="F86" s="305">
        <f>HLOOKUP($C86,$BZ$2:$CM$3,2,0)</f>
        <v>39703.99</v>
      </c>
      <c r="G86" s="113">
        <f>D86*E86*F86</f>
        <v>0</v>
      </c>
      <c r="H86" s="166"/>
      <c r="I86" s="114" t="s">
        <v>496</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c r="C89" s="137" t="s">
        <v>484</v>
      </c>
      <c r="D89" s="199"/>
      <c r="E89" s="152">
        <v>12</v>
      </c>
      <c r="F89" s="305">
        <f>HLOOKUP($C89,$BZ$2:$CM$3,2,0)</f>
        <v>35733.589999999997</v>
      </c>
      <c r="G89" s="113">
        <f>D89*E89*F89</f>
        <v>0</v>
      </c>
      <c r="H89" s="166"/>
      <c r="I89" s="114" t="s">
        <v>496</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c r="C92" s="137" t="s">
        <v>485</v>
      </c>
      <c r="D92" s="199"/>
      <c r="E92" s="152">
        <v>12</v>
      </c>
      <c r="F92" s="305">
        <f>HLOOKUP($C92,$BZ$2:$CM$3,2,0)</f>
        <v>31763.19</v>
      </c>
      <c r="G92" s="113">
        <f>D92*E92*F92</f>
        <v>0</v>
      </c>
      <c r="H92" s="166"/>
      <c r="I92" s="114" t="s">
        <v>496</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c r="C95" s="137" t="s">
        <v>486</v>
      </c>
      <c r="D95" s="199"/>
      <c r="E95" s="152">
        <v>12</v>
      </c>
      <c r="F95" s="305">
        <f>HLOOKUP($C95,$BZ$2:$CM$3,2,0)</f>
        <v>29777.99</v>
      </c>
      <c r="G95" s="113">
        <f>D95*E95*F95</f>
        <v>0</v>
      </c>
      <c r="H95" s="166"/>
      <c r="I95" s="114" t="s">
        <v>496</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c r="C98" s="137" t="s">
        <v>487</v>
      </c>
      <c r="D98" s="199"/>
      <c r="E98" s="152">
        <v>12</v>
      </c>
      <c r="F98" s="305">
        <f>HLOOKUP($C98,$BZ$2:$CM$3,2,0)</f>
        <v>27792.79</v>
      </c>
      <c r="G98" s="113">
        <f>D98*E98*F98</f>
        <v>0</v>
      </c>
      <c r="H98" s="166"/>
      <c r="I98" s="114" t="s">
        <v>496</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c r="C101" s="137" t="s">
        <v>488</v>
      </c>
      <c r="D101" s="199"/>
      <c r="E101" s="152">
        <v>12</v>
      </c>
      <c r="F101" s="305">
        <f>HLOOKUP($C101,$BZ$2:$CM$3,2,0)</f>
        <v>18859.39</v>
      </c>
      <c r="G101" s="113">
        <f>D101*E101*F101</f>
        <v>0</v>
      </c>
      <c r="H101" s="166"/>
      <c r="I101" s="114" t="s">
        <v>496</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c r="C104" s="137" t="s">
        <v>489</v>
      </c>
      <c r="D104" s="199"/>
      <c r="E104" s="152">
        <v>12</v>
      </c>
      <c r="F104" s="305">
        <f>HLOOKUP($C104,$BZ$2:$CM$3,2,0)</f>
        <v>17866.8</v>
      </c>
      <c r="G104" s="113">
        <f>D104*E104*F104</f>
        <v>0</v>
      </c>
      <c r="H104" s="166"/>
      <c r="I104" s="114" t="s">
        <v>496</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c r="C107" s="137" t="s">
        <v>490</v>
      </c>
      <c r="D107" s="199"/>
      <c r="E107" s="152">
        <v>12</v>
      </c>
      <c r="F107" s="305">
        <f>HLOOKUP($C107,$BZ$2:$CM$3,2,0)</f>
        <v>13896.4</v>
      </c>
      <c r="G107" s="113">
        <f>D107*E107*F107</f>
        <v>0</v>
      </c>
      <c r="H107" s="166"/>
      <c r="I107" s="114" t="s">
        <v>496</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c r="C110" s="137" t="s">
        <v>491</v>
      </c>
      <c r="D110" s="199"/>
      <c r="E110" s="152">
        <v>12</v>
      </c>
      <c r="F110" s="305">
        <f>HLOOKUP($C110,$BZ$2:$CM$3,2,0)</f>
        <v>15004.09</v>
      </c>
      <c r="G110" s="113">
        <f>D110*E110*F110</f>
        <v>0</v>
      </c>
      <c r="H110" s="166"/>
      <c r="I110" s="114" t="s">
        <v>496</v>
      </c>
      <c r="J110" s="114" t="str">
        <f>VLOOKUP(I110,Presupuesto!$B$11:$C$565,2,0)</f>
        <v>SUELDOS Y SALARIOS PERMANENTES</v>
      </c>
      <c r="K110" s="98" t="str">
        <f t="shared" si="2"/>
        <v>Posgrado</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2"/>
        <v>Posgrado</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2"/>
        <v>Posgrado</v>
      </c>
      <c r="L112" s="98" t="s">
        <v>395</v>
      </c>
    </row>
    <row r="113" spans="3:12" ht="15.75" thickBot="1">
      <c r="C113" s="137" t="s">
        <v>492</v>
      </c>
      <c r="D113" s="199"/>
      <c r="E113" s="152">
        <v>12</v>
      </c>
      <c r="F113" s="305">
        <f>HLOOKUP($C113,$BZ$2:$CM$3,2,0)</f>
        <v>13238.9</v>
      </c>
      <c r="G113" s="113">
        <f>D113*E113*F113</f>
        <v>0</v>
      </c>
      <c r="H113" s="166"/>
      <c r="I113" s="114" t="s">
        <v>496</v>
      </c>
      <c r="J113" s="114" t="str">
        <f>VLOOKUP(I113,Presupuesto!$B$11:$C$565,2,0)</f>
        <v>SUELDOS Y SALARIOS PERMANENTES</v>
      </c>
      <c r="K113" s="98" t="str">
        <f t="shared" si="2"/>
        <v>Posgrado</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2"/>
        <v>Posgrado</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2"/>
        <v>Posgrado</v>
      </c>
      <c r="L115" s="98" t="s">
        <v>395</v>
      </c>
    </row>
    <row r="116" spans="3:12" ht="15.75" thickBot="1">
      <c r="C116" s="137" t="s">
        <v>493</v>
      </c>
      <c r="D116" s="199"/>
      <c r="E116" s="152">
        <v>12</v>
      </c>
      <c r="F116" s="305">
        <f>HLOOKUP($C116,$BZ$2:$CM$3,2,0)</f>
        <v>12356.31</v>
      </c>
      <c r="G116" s="113">
        <f>D116*E116*F116</f>
        <v>0</v>
      </c>
      <c r="H116" s="166"/>
      <c r="I116" s="114" t="s">
        <v>496</v>
      </c>
      <c r="J116" s="114" t="str">
        <f>VLOOKUP(I116,Presupuesto!$B$11:$C$565,2,0)</f>
        <v>SUELDOS Y SALARIOS PERMANENTES</v>
      </c>
      <c r="K116" s="98" t="str">
        <f t="shared" ref="K116:K130" si="3">$K$83</f>
        <v>Posgrado</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c r="C119" s="137" t="s">
        <v>494</v>
      </c>
      <c r="D119" s="199"/>
      <c r="E119" s="152">
        <v>12</v>
      </c>
      <c r="F119" s="305">
        <f>HLOOKUP($C119,$BZ$2:$CM$3,2,0)</f>
        <v>463.22</v>
      </c>
      <c r="G119" s="113">
        <f>D119*E119*F119</f>
        <v>0</v>
      </c>
      <c r="H119" s="166"/>
      <c r="I119" s="114" t="s">
        <v>496</v>
      </c>
      <c r="J119" s="114" t="str">
        <f>VLOOKUP(I119,Presupuesto!$B$11:$C$565,2,0)</f>
        <v>SUELDOS Y SALARIOS PERMANENTES</v>
      </c>
      <c r="K119" s="98" t="str">
        <f t="shared" si="3"/>
        <v>Posgrado</v>
      </c>
      <c r="L119" s="98" t="s">
        <v>395</v>
      </c>
    </row>
    <row r="120" spans="3:12">
      <c r="C120" s="171" t="s">
        <v>58</v>
      </c>
      <c r="D120" s="163"/>
      <c r="E120" s="154">
        <v>0</v>
      </c>
      <c r="F120" s="100">
        <f>IF(E119=0,"",(G119/E119)/12*E119)</f>
        <v>0</v>
      </c>
      <c r="G120" s="97">
        <f>F120</f>
        <v>0</v>
      </c>
      <c r="H120" s="164"/>
      <c r="I120" s="116" t="s">
        <v>516</v>
      </c>
      <c r="J120" s="116" t="str">
        <f>VLOOKUP(I120,Presupuesto!$B$11:$C$565,2,0)</f>
        <v>AGUINALDO Y DECIMO CUARTO MES</v>
      </c>
      <c r="K120" s="98" t="str">
        <f t="shared" si="3"/>
        <v>Posgrado</v>
      </c>
      <c r="L120" s="98" t="s">
        <v>395</v>
      </c>
    </row>
    <row r="121" spans="3:12" ht="15.75" thickBot="1">
      <c r="C121" s="172" t="s">
        <v>59</v>
      </c>
      <c r="D121" s="163"/>
      <c r="E121" s="154">
        <v>0</v>
      </c>
      <c r="F121" s="117">
        <f>IF(E119&lt;6,"",((E119-6)/12)*(G119/E119))</f>
        <v>0</v>
      </c>
      <c r="G121" s="97">
        <f>F121</f>
        <v>0</v>
      </c>
      <c r="H121" s="164"/>
      <c r="I121" s="101" t="s">
        <v>519</v>
      </c>
      <c r="J121" s="101" t="str">
        <f>VLOOKUP(I121,Presupuesto!$B$11:$C$565,2,0)</f>
        <v>DECIMOCUARTO MES</v>
      </c>
      <c r="K121" s="98" t="str">
        <f t="shared" si="3"/>
        <v>Posgrado</v>
      </c>
      <c r="L121" s="98" t="s">
        <v>395</v>
      </c>
    </row>
    <row r="122" spans="3:12" ht="15.75" thickBot="1">
      <c r="C122" s="137" t="s">
        <v>495</v>
      </c>
      <c r="D122" s="199"/>
      <c r="E122" s="152">
        <v>12</v>
      </c>
      <c r="F122" s="305">
        <f>HLOOKUP($C122,$BZ$2:$CM$3,2,0)</f>
        <v>2007.3</v>
      </c>
      <c r="G122" s="113">
        <f>D122*E122*F122</f>
        <v>0</v>
      </c>
      <c r="H122" s="166"/>
      <c r="I122" s="114" t="s">
        <v>496</v>
      </c>
      <c r="J122" s="114" t="str">
        <f>VLOOKUP(I122,Presupuesto!$B$11:$C$565,2,0)</f>
        <v>SUELDOS Y SALARIOS PERMANENTES</v>
      </c>
      <c r="K122" s="98" t="str">
        <f t="shared" si="3"/>
        <v>Posgrado</v>
      </c>
      <c r="L122" s="98" t="s">
        <v>395</v>
      </c>
    </row>
    <row r="123" spans="3:12">
      <c r="C123" s="171" t="s">
        <v>58</v>
      </c>
      <c r="D123" s="163"/>
      <c r="E123" s="154">
        <v>0</v>
      </c>
      <c r="F123" s="100">
        <f>IF(E122=0,"",(G122/E122)/12*E122)</f>
        <v>0</v>
      </c>
      <c r="G123" s="97">
        <f>F123</f>
        <v>0</v>
      </c>
      <c r="H123" s="164"/>
      <c r="I123" s="116" t="s">
        <v>516</v>
      </c>
      <c r="J123" s="116" t="str">
        <f>VLOOKUP(I123,Presupuesto!$B$11:$C$565,2,0)</f>
        <v>AGUINALDO Y DECIMO CUARTO MES</v>
      </c>
      <c r="K123" s="98" t="str">
        <f t="shared" si="3"/>
        <v>Posgrado</v>
      </c>
      <c r="L123" s="98" t="s">
        <v>395</v>
      </c>
    </row>
    <row r="124" spans="3:12" ht="15.75" thickBot="1">
      <c r="C124" s="172" t="s">
        <v>59</v>
      </c>
      <c r="D124" s="163"/>
      <c r="E124" s="154">
        <v>0</v>
      </c>
      <c r="F124" s="117">
        <f>IF(E122&lt;6,"",((E122-6)/12)*(G122/E122))</f>
        <v>0</v>
      </c>
      <c r="G124" s="97">
        <f>F124</f>
        <v>0</v>
      </c>
      <c r="H124" s="164"/>
      <c r="I124" s="101" t="s">
        <v>519</v>
      </c>
      <c r="J124" s="101" t="str">
        <f>VLOOKUP(I124,Presupuesto!$B$11:$C$565,2,0)</f>
        <v>DECIMOCUARTO MES</v>
      </c>
      <c r="K124" s="98" t="str">
        <f t="shared" si="3"/>
        <v>Posgrado</v>
      </c>
      <c r="L124" s="98" t="s">
        <v>395</v>
      </c>
    </row>
    <row r="125" spans="3:12" ht="15.75" thickBot="1">
      <c r="C125" s="140" t="s">
        <v>83</v>
      </c>
      <c r="D125" s="199"/>
      <c r="E125" s="152">
        <v>12</v>
      </c>
      <c r="F125" s="139">
        <v>30000</v>
      </c>
      <c r="G125" s="113">
        <f>D125*E125*F125</f>
        <v>0</v>
      </c>
      <c r="H125" s="166"/>
      <c r="I125" s="114" t="s">
        <v>564</v>
      </c>
      <c r="J125" s="114" t="str">
        <f>VLOOKUP(I125,Presupuesto!$B$11:$C$565,2,0)</f>
        <v>CONTRATOS ESPECIALES</v>
      </c>
      <c r="K125" s="98" t="str">
        <f t="shared" si="3"/>
        <v>Posgrado</v>
      </c>
      <c r="L125" s="98" t="s">
        <v>395</v>
      </c>
    </row>
    <row r="126" spans="3:12">
      <c r="C126" s="171" t="s">
        <v>58</v>
      </c>
      <c r="D126" s="163"/>
      <c r="E126" s="154">
        <v>0</v>
      </c>
      <c r="F126" s="117">
        <f>IF(E125=0,"",(G125/E125)/12*E125)</f>
        <v>0</v>
      </c>
      <c r="G126" s="97">
        <f>F126</f>
        <v>0</v>
      </c>
      <c r="H126" s="164"/>
      <c r="I126" s="101" t="s">
        <v>564</v>
      </c>
      <c r="J126" s="101" t="str">
        <f>VLOOKUP(I126,Presupuesto!$B$11:$C$565,2,0)</f>
        <v>CONTRATOS ESPECIALES</v>
      </c>
      <c r="K126" s="98" t="str">
        <f t="shared" si="3"/>
        <v>Posgrado</v>
      </c>
      <c r="L126" s="98" t="s">
        <v>394</v>
      </c>
    </row>
    <row r="127" spans="3:12" ht="15.75" thickBot="1">
      <c r="C127" s="172" t="s">
        <v>59</v>
      </c>
      <c r="D127" s="163"/>
      <c r="E127" s="154">
        <v>0</v>
      </c>
      <c r="F127" s="100">
        <f>IF(E125&lt;6,"",((E125-6)/12)*(G125/E125)+E127)</f>
        <v>0</v>
      </c>
      <c r="G127" s="97">
        <f>F127</f>
        <v>0</v>
      </c>
      <c r="H127" s="164"/>
      <c r="I127" s="101" t="s">
        <v>564</v>
      </c>
      <c r="J127" s="101" t="str">
        <f>VLOOKUP(I127,Presupuesto!$B$11:$C$565,2,0)</f>
        <v>CONTRATOS ESPECIALES</v>
      </c>
      <c r="K127" s="98" t="str">
        <f t="shared" si="3"/>
        <v>Posgrado</v>
      </c>
      <c r="L127" s="98" t="s">
        <v>399</v>
      </c>
    </row>
    <row r="128" spans="3:12" ht="15.75" thickBot="1">
      <c r="C128" s="140" t="s">
        <v>60</v>
      </c>
      <c r="D128" s="199"/>
      <c r="E128" s="152">
        <v>12</v>
      </c>
      <c r="F128" s="118">
        <v>30000</v>
      </c>
      <c r="G128" s="113">
        <f>D128*E128*F128</f>
        <v>0</v>
      </c>
      <c r="H128" s="166"/>
      <c r="I128" s="114" t="s">
        <v>705</v>
      </c>
      <c r="J128" s="114" t="str">
        <f>VLOOKUP(I128,Presupuesto!$B$11:$C$565,2,0)</f>
        <v>OTROS SERVICIOS TECNICOS Y PROFESIONALES</v>
      </c>
      <c r="K128" s="98" t="str">
        <f t="shared" si="3"/>
        <v>Posgrado</v>
      </c>
      <c r="L128" s="98" t="s">
        <v>394</v>
      </c>
    </row>
    <row r="129" spans="3:12">
      <c r="C129" s="171" t="s">
        <v>58</v>
      </c>
      <c r="D129" s="163"/>
      <c r="E129" s="154">
        <v>0</v>
      </c>
      <c r="F129" s="100">
        <v>0</v>
      </c>
      <c r="G129" s="97">
        <f>F129</f>
        <v>0</v>
      </c>
      <c r="H129" s="164"/>
      <c r="I129" s="101" t="s">
        <v>705</v>
      </c>
      <c r="J129" s="101" t="str">
        <f>VLOOKUP(I129,Presupuesto!$B$11:$C$565,2,0)</f>
        <v>OTROS SERVICIOS TECNICOS Y PROFESIONALES</v>
      </c>
      <c r="K129" s="98" t="str">
        <f t="shared" si="3"/>
        <v>Posgrado</v>
      </c>
      <c r="L129" s="98" t="s">
        <v>394</v>
      </c>
    </row>
    <row r="130" spans="3:12" ht="15.75" thickBot="1">
      <c r="C130" s="172" t="s">
        <v>59</v>
      </c>
      <c r="D130" s="163"/>
      <c r="E130" s="154">
        <v>0</v>
      </c>
      <c r="F130" s="100">
        <v>0</v>
      </c>
      <c r="G130" s="120">
        <f>F130</f>
        <v>0</v>
      </c>
      <c r="H130" s="503"/>
      <c r="I130" s="110" t="s">
        <v>705</v>
      </c>
      <c r="J130" s="110" t="str">
        <f>VLOOKUP(I130,Presupuesto!$B$11:$C$565,2,0)</f>
        <v>OTROS SERVICIOS TECNICOS Y PROFESIONALES</v>
      </c>
      <c r="K130" s="98" t="str">
        <f t="shared" si="3"/>
        <v>Posgrado</v>
      </c>
      <c r="L130" s="98" t="s">
        <v>394</v>
      </c>
    </row>
    <row r="131" spans="3:12" s="465" customFormat="1" ht="15.75" thickBot="1">
      <c r="C131" s="542" t="s">
        <v>61</v>
      </c>
      <c r="D131" s="199">
        <v>1</v>
      </c>
      <c r="E131" s="152">
        <v>11</v>
      </c>
      <c r="F131" s="118">
        <v>27792</v>
      </c>
      <c r="G131" s="515">
        <f>D131*E131*F131</f>
        <v>305712</v>
      </c>
      <c r="H131" s="516" t="s">
        <v>1508</v>
      </c>
      <c r="I131" s="517" t="s">
        <v>496</v>
      </c>
      <c r="J131" s="518" t="str">
        <f>VLOOKUP(I131,Presupuesto!$B$11:$C$565,2,0)</f>
        <v>SUELDOS Y SALARIOS PERMANENTES</v>
      </c>
      <c r="K131" s="98" t="s">
        <v>1360</v>
      </c>
      <c r="L131" s="98" t="s">
        <v>412</v>
      </c>
    </row>
    <row r="132" spans="3:12" s="465" customFormat="1">
      <c r="C132" s="543" t="s">
        <v>58</v>
      </c>
      <c r="D132" s="546"/>
      <c r="E132" s="154">
        <v>0</v>
      </c>
      <c r="F132" s="100">
        <f>IF(E131=0,"",(G131/E131)/12*E131)</f>
        <v>25476</v>
      </c>
      <c r="G132" s="519">
        <f>F132</f>
        <v>25476</v>
      </c>
      <c r="H132" s="520" t="s">
        <v>1508</v>
      </c>
      <c r="I132" s="521" t="s">
        <v>516</v>
      </c>
      <c r="J132" s="522" t="str">
        <f>VLOOKUP(I132,Presupuesto!$B$11:$C$565,2,0)</f>
        <v>AGUINALDO Y DECIMO CUARTO MES</v>
      </c>
      <c r="K132" s="98" t="s">
        <v>1360</v>
      </c>
      <c r="L132" s="98" t="s">
        <v>404</v>
      </c>
    </row>
    <row r="133" spans="3:12" s="465" customFormat="1" ht="15.75" thickBot="1">
      <c r="C133" s="504" t="s">
        <v>59</v>
      </c>
      <c r="D133" s="163"/>
      <c r="E133" s="154">
        <v>0</v>
      </c>
      <c r="F133" s="100">
        <f>IF(E131&lt;6,"",((E131-6)/12)*(G131/E131))</f>
        <v>11580</v>
      </c>
      <c r="G133" s="523">
        <f>F133</f>
        <v>11580</v>
      </c>
      <c r="H133" s="524" t="s">
        <v>1508</v>
      </c>
      <c r="I133" s="525" t="s">
        <v>519</v>
      </c>
      <c r="J133" s="526" t="str">
        <f>VLOOKUP(I133,Presupuesto!$B$11:$C$565,2,0)</f>
        <v>DECIMOCUARTO MES</v>
      </c>
      <c r="K133" s="98" t="s">
        <v>1360</v>
      </c>
      <c r="L133" s="98" t="s">
        <v>398</v>
      </c>
    </row>
    <row r="134" spans="3:12" s="465" customFormat="1" ht="15.75" thickBot="1">
      <c r="C134" s="527" t="s">
        <v>61</v>
      </c>
      <c r="D134" s="199">
        <v>2</v>
      </c>
      <c r="E134" s="152">
        <v>11</v>
      </c>
      <c r="F134" s="118">
        <v>29777</v>
      </c>
      <c r="G134" s="515">
        <f>D134*E134*F134</f>
        <v>655094</v>
      </c>
      <c r="H134" s="516" t="s">
        <v>1508</v>
      </c>
      <c r="I134" s="517" t="s">
        <v>496</v>
      </c>
      <c r="J134" s="518" t="str">
        <f>VLOOKUP(I134,Presupuesto!$B$11:$C$565,2,0)</f>
        <v>SUELDOS Y SALARIOS PERMANENTES</v>
      </c>
      <c r="K134" s="98" t="s">
        <v>1360</v>
      </c>
      <c r="L134" s="98" t="s">
        <v>412</v>
      </c>
    </row>
    <row r="135" spans="3:12" s="465" customFormat="1" ht="15.75" thickBot="1">
      <c r="C135" s="504" t="s">
        <v>58</v>
      </c>
      <c r="D135" s="169"/>
      <c r="E135" s="131">
        <v>0</v>
      </c>
      <c r="F135" s="119">
        <f>IF(E134=0,"",(G134/E134)/12*E134)</f>
        <v>54591.166666666664</v>
      </c>
      <c r="G135" s="529">
        <f>F135</f>
        <v>54591.166666666664</v>
      </c>
      <c r="H135" s="530" t="s">
        <v>1508</v>
      </c>
      <c r="I135" s="531" t="s">
        <v>516</v>
      </c>
      <c r="J135" s="532" t="str">
        <f>VLOOKUP(I135,Presupuesto!$B$11:$C$565,2,0)</f>
        <v>AGUINALDO Y DECIMO CUARTO MES</v>
      </c>
      <c r="K135" s="505" t="s">
        <v>1360</v>
      </c>
      <c r="L135" s="505" t="s">
        <v>404</v>
      </c>
    </row>
    <row r="136" spans="3:12" s="465" customFormat="1" ht="15.75" thickBot="1">
      <c r="C136" s="533" t="s">
        <v>59</v>
      </c>
      <c r="D136" s="534"/>
      <c r="E136" s="535">
        <v>0</v>
      </c>
      <c r="F136" s="536">
        <f>IF(E134&lt;6,"",((E134-6)/12)*(G134/E134))</f>
        <v>24814.166666666668</v>
      </c>
      <c r="G136" s="537">
        <f>F136</f>
        <v>24814.166666666668</v>
      </c>
      <c r="H136" s="538" t="s">
        <v>1508</v>
      </c>
      <c r="I136" s="539" t="s">
        <v>519</v>
      </c>
      <c r="J136" s="540" t="str">
        <f>VLOOKUP(I136,Presupuesto!$B$11:$C$565,2,0)</f>
        <v>DECIMOCUARTO MES</v>
      </c>
      <c r="K136" s="541" t="s">
        <v>1360</v>
      </c>
      <c r="L136" s="528" t="s">
        <v>398</v>
      </c>
    </row>
    <row r="138" spans="3:12" ht="15.75" thickBot="1">
      <c r="K138" s="153"/>
    </row>
    <row r="139" spans="3:12" ht="15.75" thickBot="1">
      <c r="C139" s="69" t="s">
        <v>43</v>
      </c>
      <c r="D139" s="30">
        <f>SUM(G146:G196)</f>
        <v>0</v>
      </c>
      <c r="E139" s="93"/>
      <c r="F139" s="93"/>
      <c r="G139" s="93"/>
      <c r="H139" s="76"/>
      <c r="I139" s="76"/>
      <c r="J139" s="76"/>
      <c r="K139" s="153"/>
    </row>
    <row r="140" spans="3:12">
      <c r="D140" s="31"/>
      <c r="E140" s="93"/>
      <c r="F140" s="93"/>
      <c r="G140" s="93"/>
      <c r="H140" s="76"/>
      <c r="I140" s="544"/>
      <c r="J140" s="76"/>
      <c r="K140" s="153"/>
    </row>
    <row r="141" spans="3:12">
      <c r="D141" s="31"/>
      <c r="E141" s="93"/>
      <c r="F141" s="93"/>
      <c r="G141" s="93"/>
      <c r="H141" s="76"/>
      <c r="I141" s="76"/>
      <c r="J141" s="76"/>
      <c r="K141" s="153"/>
    </row>
    <row r="142" spans="3:12" ht="15.75">
      <c r="C142" s="202" t="s">
        <v>392</v>
      </c>
      <c r="D142" s="370"/>
      <c r="E142" s="93"/>
      <c r="F142" s="93"/>
      <c r="G142" s="93"/>
      <c r="H142" s="76"/>
      <c r="I142" s="76"/>
      <c r="J142" s="76"/>
      <c r="K142" s="153"/>
    </row>
    <row r="143" spans="3:12"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93"/>
      <c r="F143" s="93"/>
      <c r="G143" s="93"/>
      <c r="H143" s="76"/>
      <c r="I143" s="76"/>
      <c r="J143" s="76"/>
      <c r="K143" s="153"/>
    </row>
    <row r="144" spans="3:12" ht="15.75" thickBot="1">
      <c r="C144" s="177"/>
      <c r="D144" s="31"/>
      <c r="E144" s="93"/>
      <c r="F144" s="93"/>
      <c r="G144" s="93"/>
      <c r="H144" s="76"/>
      <c r="I144" s="76"/>
      <c r="J144" s="76"/>
      <c r="K144" s="153"/>
    </row>
    <row r="145" spans="3:13" ht="30.75" thickBot="1">
      <c r="C145" s="134" t="s">
        <v>44</v>
      </c>
      <c r="D145" s="138" t="s">
        <v>55</v>
      </c>
      <c r="E145" s="170" t="s">
        <v>56</v>
      </c>
      <c r="F145" s="138" t="s">
        <v>57</v>
      </c>
      <c r="G145" s="135" t="s">
        <v>27</v>
      </c>
      <c r="H145" s="133" t="s">
        <v>131</v>
      </c>
      <c r="I145" s="136" t="s">
        <v>46</v>
      </c>
      <c r="J145" s="136" t="s">
        <v>132</v>
      </c>
      <c r="K145" s="136" t="s">
        <v>410</v>
      </c>
      <c r="L145" s="136" t="s">
        <v>411</v>
      </c>
      <c r="M145" s="545"/>
    </row>
    <row r="146" spans="3:13" ht="15.75" thickBot="1">
      <c r="C146" s="137" t="s">
        <v>482</v>
      </c>
      <c r="D146" s="199"/>
      <c r="E146" s="152">
        <v>12</v>
      </c>
      <c r="F146" s="305">
        <f>HLOOKUP($C146,$BZ$2:$CM$3,2,0)</f>
        <v>43674.39</v>
      </c>
      <c r="G146" s="113">
        <f>D146*E146*F146</f>
        <v>0</v>
      </c>
      <c r="H146" s="166"/>
      <c r="I146" s="114" t="s">
        <v>496</v>
      </c>
      <c r="J146" s="114" t="str">
        <f>VLOOKUP(I146,Presupuesto!$B$11:$C$565,2,0)</f>
        <v>SUELDOS Y SALARIOS PERMANENTES</v>
      </c>
      <c r="K146" s="219" t="s">
        <v>1453</v>
      </c>
      <c r="L146" s="98" t="s">
        <v>394</v>
      </c>
    </row>
    <row r="147" spans="3:13">
      <c r="C147" s="171" t="s">
        <v>58</v>
      </c>
      <c r="D147" s="163"/>
      <c r="E147" s="154">
        <v>0</v>
      </c>
      <c r="F147" s="100">
        <f>IF(E146=0,"",(G146/E146)/12*E146)</f>
        <v>0</v>
      </c>
      <c r="G147" s="97">
        <f>F147</f>
        <v>0</v>
      </c>
      <c r="H147" s="164"/>
      <c r="I147" s="116" t="s">
        <v>516</v>
      </c>
      <c r="J147" s="116" t="str">
        <f>VLOOKUP(I147,Presupuesto!$B$11:$C$565,2,0)</f>
        <v>AGUINALDO Y DECIMO CUARTO MES</v>
      </c>
      <c r="K147" s="98" t="str">
        <f t="shared" ref="K147:K178" si="4">$K$146</f>
        <v>Posgrado</v>
      </c>
      <c r="L147" s="98" t="s">
        <v>412</v>
      </c>
    </row>
    <row r="148" spans="3:13"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3" ht="15.75" thickBot="1">
      <c r="C149" s="137" t="s">
        <v>483</v>
      </c>
      <c r="D149" s="199"/>
      <c r="E149" s="152">
        <v>12</v>
      </c>
      <c r="F149" s="305">
        <f>HLOOKUP($C149,$BZ$2:$CM$3,2,0)</f>
        <v>39703.99</v>
      </c>
      <c r="G149" s="113">
        <f>D149*E149*F149</f>
        <v>0</v>
      </c>
      <c r="H149" s="166"/>
      <c r="I149" s="114" t="s">
        <v>496</v>
      </c>
      <c r="J149" s="114" t="str">
        <f>VLOOKUP(I149,Presupuesto!$B$11:$C$565,2,0)</f>
        <v>SUELDOS Y SALARIOS PERMANENTES</v>
      </c>
      <c r="K149" s="98" t="str">
        <f t="shared" si="4"/>
        <v>Posgrado</v>
      </c>
      <c r="L149" s="98" t="s">
        <v>395</v>
      </c>
    </row>
    <row r="150" spans="3:13">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3"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3" ht="15.75" thickBot="1">
      <c r="C152" s="137" t="s">
        <v>484</v>
      </c>
      <c r="D152" s="199"/>
      <c r="E152" s="152">
        <v>12</v>
      </c>
      <c r="F152" s="305">
        <f>HLOOKUP($C152,$BZ$2:$CM$3,2,0)</f>
        <v>35733.589999999997</v>
      </c>
      <c r="G152" s="113">
        <f>D152*E152*F152</f>
        <v>0</v>
      </c>
      <c r="H152" s="166"/>
      <c r="I152" s="114" t="s">
        <v>496</v>
      </c>
      <c r="J152" s="114" t="str">
        <f>VLOOKUP(I152,Presupuesto!$B$11:$C$565,2,0)</f>
        <v>SUELDOS Y SALARIOS PERMANENTES</v>
      </c>
      <c r="K152" s="98" t="str">
        <f t="shared" si="4"/>
        <v>Posgrado</v>
      </c>
      <c r="L152" s="98" t="s">
        <v>395</v>
      </c>
    </row>
    <row r="153" spans="3:13">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3"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3" ht="15.75" thickBot="1">
      <c r="C155" s="137" t="s">
        <v>485</v>
      </c>
      <c r="D155" s="199"/>
      <c r="E155" s="152">
        <v>12</v>
      </c>
      <c r="F155" s="305">
        <f>HLOOKUP($C155,$BZ$2:$CM$3,2,0)</f>
        <v>31763.19</v>
      </c>
      <c r="G155" s="113">
        <f>D155*E155*F155</f>
        <v>0</v>
      </c>
      <c r="H155" s="166"/>
      <c r="I155" s="114" t="s">
        <v>496</v>
      </c>
      <c r="J155" s="114" t="str">
        <f>VLOOKUP(I155,Presupuesto!$B$11:$C$565,2,0)</f>
        <v>SUELDOS Y SALARIOS PERMANENTES</v>
      </c>
      <c r="K155" s="98" t="str">
        <f t="shared" si="4"/>
        <v>Posgrado</v>
      </c>
      <c r="L155" s="98" t="s">
        <v>395</v>
      </c>
    </row>
    <row r="156" spans="3:13">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3"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3" ht="15.75" thickBot="1">
      <c r="C158" s="137" t="s">
        <v>486</v>
      </c>
      <c r="D158" s="199"/>
      <c r="E158" s="152">
        <v>12</v>
      </c>
      <c r="F158" s="305">
        <f>HLOOKUP($C158,$BZ$2:$CM$3,2,0)</f>
        <v>29777.99</v>
      </c>
      <c r="G158" s="113">
        <f>D158*E158*F158</f>
        <v>0</v>
      </c>
      <c r="H158" s="166"/>
      <c r="I158" s="114" t="s">
        <v>496</v>
      </c>
      <c r="J158" s="114" t="str">
        <f>VLOOKUP(I158,Presupuesto!$B$11:$C$565,2,0)</f>
        <v>SUELDOS Y SALARIOS PERMANENTES</v>
      </c>
      <c r="K158" s="98" t="str">
        <f t="shared" si="4"/>
        <v>Posgrado</v>
      </c>
      <c r="L158" s="98" t="s">
        <v>395</v>
      </c>
    </row>
    <row r="159" spans="3:13">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3"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c r="C161" s="137" t="s">
        <v>487</v>
      </c>
      <c r="D161" s="199"/>
      <c r="E161" s="152">
        <v>12</v>
      </c>
      <c r="F161" s="305">
        <f>HLOOKUP($C161,$BZ$2:$CM$3,2,0)</f>
        <v>27792.79</v>
      </c>
      <c r="G161" s="113">
        <f>D161*E161*F161</f>
        <v>0</v>
      </c>
      <c r="H161" s="166"/>
      <c r="I161" s="114" t="s">
        <v>496</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c r="C164" s="137" t="s">
        <v>488</v>
      </c>
      <c r="D164" s="199"/>
      <c r="E164" s="152">
        <v>12</v>
      </c>
      <c r="F164" s="305">
        <f>HLOOKUP($C164,$BZ$2:$CM$3,2,0)</f>
        <v>18859.39</v>
      </c>
      <c r="G164" s="113">
        <f>D164*E164*F164</f>
        <v>0</v>
      </c>
      <c r="H164" s="166"/>
      <c r="I164" s="114" t="s">
        <v>496</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c r="C167" s="137" t="s">
        <v>489</v>
      </c>
      <c r="D167" s="199"/>
      <c r="E167" s="152">
        <v>12</v>
      </c>
      <c r="F167" s="305">
        <f>HLOOKUP($C167,$BZ$2:$CM$3,2,0)</f>
        <v>17866.8</v>
      </c>
      <c r="G167" s="113">
        <f>D167*E167*F167</f>
        <v>0</v>
      </c>
      <c r="H167" s="166"/>
      <c r="I167" s="114" t="s">
        <v>496</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c r="C170" s="137" t="s">
        <v>490</v>
      </c>
      <c r="D170" s="199"/>
      <c r="E170" s="152">
        <v>12</v>
      </c>
      <c r="F170" s="305">
        <f>HLOOKUP($C170,$BZ$2:$CM$3,2,0)</f>
        <v>13896.4</v>
      </c>
      <c r="G170" s="113">
        <f>D170*E170*F170</f>
        <v>0</v>
      </c>
      <c r="H170" s="166"/>
      <c r="I170" s="114" t="s">
        <v>496</v>
      </c>
      <c r="J170" s="114" t="str">
        <f>VLOOKUP(I170,Presupuesto!$B$11:$C$565,2,0)</f>
        <v>SUELDOS Y SALARIOS PERMANENTES</v>
      </c>
      <c r="K170" s="98" t="str">
        <f t="shared" si="4"/>
        <v>Posgrado</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4"/>
        <v>Posgrado</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4"/>
        <v>Posgrado</v>
      </c>
      <c r="L172" s="98" t="s">
        <v>395</v>
      </c>
    </row>
    <row r="173" spans="3:12" ht="15.75" thickBot="1">
      <c r="C173" s="137" t="s">
        <v>491</v>
      </c>
      <c r="D173" s="199"/>
      <c r="E173" s="152">
        <v>12</v>
      </c>
      <c r="F173" s="305">
        <f>HLOOKUP($C173,$BZ$2:$CM$3,2,0)</f>
        <v>15004.09</v>
      </c>
      <c r="G173" s="113">
        <f>D173*E173*F173</f>
        <v>0</v>
      </c>
      <c r="H173" s="166"/>
      <c r="I173" s="114" t="s">
        <v>496</v>
      </c>
      <c r="J173" s="114" t="str">
        <f>VLOOKUP(I173,Presupuesto!$B$11:$C$565,2,0)</f>
        <v>SUELDOS Y SALARIOS PERMANENTES</v>
      </c>
      <c r="K173" s="98" t="str">
        <f t="shared" si="4"/>
        <v>Posgrado</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4"/>
        <v>Posgrado</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4"/>
        <v>Posgrado</v>
      </c>
      <c r="L175" s="98" t="s">
        <v>395</v>
      </c>
    </row>
    <row r="176" spans="3:12" ht="15.75" thickBot="1">
      <c r="C176" s="137" t="s">
        <v>492</v>
      </c>
      <c r="D176" s="199"/>
      <c r="E176" s="152">
        <v>12</v>
      </c>
      <c r="F176" s="305">
        <f>HLOOKUP($C176,$BZ$2:$CM$3,2,0)</f>
        <v>13238.9</v>
      </c>
      <c r="G176" s="113">
        <f>D176*E176*F176</f>
        <v>0</v>
      </c>
      <c r="H176" s="166"/>
      <c r="I176" s="114" t="s">
        <v>496</v>
      </c>
      <c r="J176" s="114" t="str">
        <f>VLOOKUP(I176,Presupuesto!$B$11:$C$565,2,0)</f>
        <v>SUELDOS Y SALARIOS PERMANENTES</v>
      </c>
      <c r="K176" s="98" t="str">
        <f t="shared" si="4"/>
        <v>Posgrado</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4"/>
        <v>Posgrado</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4"/>
        <v>Posgrado</v>
      </c>
      <c r="L178" s="98" t="s">
        <v>395</v>
      </c>
    </row>
    <row r="179" spans="3:12" ht="15.75" thickBot="1">
      <c r="C179" s="137" t="s">
        <v>493</v>
      </c>
      <c r="D179" s="199"/>
      <c r="E179" s="152">
        <v>12</v>
      </c>
      <c r="F179" s="305">
        <f>HLOOKUP($C179,$BZ$2:$CM$3,2,0)</f>
        <v>12356.31</v>
      </c>
      <c r="G179" s="113">
        <f>D179*E179*F179</f>
        <v>0</v>
      </c>
      <c r="H179" s="166"/>
      <c r="I179" s="114" t="s">
        <v>496</v>
      </c>
      <c r="J179" s="114" t="str">
        <f>VLOOKUP(I179,Presupuesto!$B$11:$C$565,2,0)</f>
        <v>SUELDOS Y SALARIOS PERMANENTES</v>
      </c>
      <c r="K179" s="98" t="str">
        <f t="shared" ref="K179:K196" si="5">$K$146</f>
        <v>Posgrado</v>
      </c>
      <c r="L179" s="98" t="s">
        <v>395</v>
      </c>
    </row>
    <row r="180" spans="3:12">
      <c r="C180" s="171" t="s">
        <v>58</v>
      </c>
      <c r="D180" s="163"/>
      <c r="E180" s="154">
        <v>0</v>
      </c>
      <c r="F180" s="100">
        <f>IF(E179=0,"",(G179/E179)/12*E179)</f>
        <v>0</v>
      </c>
      <c r="G180" s="97">
        <f>F180</f>
        <v>0</v>
      </c>
      <c r="H180" s="164"/>
      <c r="I180" s="116" t="s">
        <v>516</v>
      </c>
      <c r="J180" s="116" t="str">
        <f>VLOOKUP(I180,Presupuesto!$B$11:$C$565,2,0)</f>
        <v>AGUINALDO Y DECIMO CUARTO MES</v>
      </c>
      <c r="K180" s="98" t="str">
        <f t="shared" si="5"/>
        <v>Posgrado</v>
      </c>
      <c r="L180" s="98" t="s">
        <v>395</v>
      </c>
    </row>
    <row r="181" spans="3:12" ht="15.75" thickBot="1">
      <c r="C181" s="172" t="s">
        <v>59</v>
      </c>
      <c r="D181" s="163"/>
      <c r="E181" s="154">
        <v>0</v>
      </c>
      <c r="F181" s="117">
        <f>IF(E179&lt;6,"",((E179-6)/12)*(G179/E179))</f>
        <v>0</v>
      </c>
      <c r="G181" s="97">
        <f>F181</f>
        <v>0</v>
      </c>
      <c r="H181" s="164"/>
      <c r="I181" s="101" t="s">
        <v>519</v>
      </c>
      <c r="J181" s="101" t="str">
        <f>VLOOKUP(I181,Presupuesto!$B$11:$C$565,2,0)</f>
        <v>DECIMOCUARTO MES</v>
      </c>
      <c r="K181" s="98" t="str">
        <f t="shared" si="5"/>
        <v>Posgrado</v>
      </c>
      <c r="L181" s="98" t="s">
        <v>395</v>
      </c>
    </row>
    <row r="182" spans="3:12" ht="15.75" thickBot="1">
      <c r="C182" s="137" t="s">
        <v>494</v>
      </c>
      <c r="D182" s="199"/>
      <c r="E182" s="152">
        <v>12</v>
      </c>
      <c r="F182" s="305">
        <f>HLOOKUP($C182,$BZ$2:$CM$3,2,0)</f>
        <v>463.22</v>
      </c>
      <c r="G182" s="113">
        <f>D182*E182*F182</f>
        <v>0</v>
      </c>
      <c r="H182" s="166"/>
      <c r="I182" s="114" t="s">
        <v>496</v>
      </c>
      <c r="J182" s="114" t="str">
        <f>VLOOKUP(I182,Presupuesto!$B$11:$C$565,2,0)</f>
        <v>SUELDOS Y SALARIOS PERMANENTES</v>
      </c>
      <c r="K182" s="98" t="str">
        <f t="shared" si="5"/>
        <v>Posgrado</v>
      </c>
      <c r="L182" s="98" t="s">
        <v>395</v>
      </c>
    </row>
    <row r="183" spans="3:12">
      <c r="C183" s="171" t="s">
        <v>58</v>
      </c>
      <c r="D183" s="163"/>
      <c r="E183" s="154">
        <v>0</v>
      </c>
      <c r="F183" s="100">
        <f>IF(E182=0,"",(G182/E182)/12*E182)</f>
        <v>0</v>
      </c>
      <c r="G183" s="97">
        <f>F183</f>
        <v>0</v>
      </c>
      <c r="H183" s="164"/>
      <c r="I183" s="116" t="s">
        <v>516</v>
      </c>
      <c r="J183" s="116" t="str">
        <f>VLOOKUP(I183,Presupuesto!$B$11:$C$565,2,0)</f>
        <v>AGUINALDO Y DECIMO CUARTO MES</v>
      </c>
      <c r="K183" s="98" t="str">
        <f t="shared" si="5"/>
        <v>Posgrado</v>
      </c>
      <c r="L183" s="98" t="s">
        <v>395</v>
      </c>
    </row>
    <row r="184" spans="3:12" ht="15.75" thickBot="1">
      <c r="C184" s="172" t="s">
        <v>59</v>
      </c>
      <c r="D184" s="163"/>
      <c r="E184" s="154">
        <v>0</v>
      </c>
      <c r="F184" s="117">
        <f>IF(E182&lt;6,"",((E182-6)/12)*(G182/E182))</f>
        <v>0</v>
      </c>
      <c r="G184" s="97">
        <f>F184</f>
        <v>0</v>
      </c>
      <c r="H184" s="164"/>
      <c r="I184" s="101" t="s">
        <v>519</v>
      </c>
      <c r="J184" s="101" t="str">
        <f>VLOOKUP(I184,Presupuesto!$B$11:$C$565,2,0)</f>
        <v>DECIMOCUARTO MES</v>
      </c>
      <c r="K184" s="98" t="str">
        <f t="shared" si="5"/>
        <v>Posgrado</v>
      </c>
      <c r="L184" s="98" t="s">
        <v>395</v>
      </c>
    </row>
    <row r="185" spans="3:12" ht="15.75" thickBot="1">
      <c r="C185" s="137" t="s">
        <v>495</v>
      </c>
      <c r="D185" s="199"/>
      <c r="E185" s="152">
        <v>12</v>
      </c>
      <c r="F185" s="305">
        <f>HLOOKUP($C185,$BZ$2:$CM$3,2,0)</f>
        <v>2007.3</v>
      </c>
      <c r="G185" s="113">
        <f>D185*E185*F185</f>
        <v>0</v>
      </c>
      <c r="H185" s="166"/>
      <c r="I185" s="114" t="s">
        <v>496</v>
      </c>
      <c r="J185" s="114" t="str">
        <f>VLOOKUP(I185,Presupuesto!$B$11:$C$565,2,0)</f>
        <v>SUELDOS Y SALARIOS PERMANENTES</v>
      </c>
      <c r="K185" s="98" t="str">
        <f t="shared" si="5"/>
        <v>Posgrado</v>
      </c>
      <c r="L185" s="98" t="s">
        <v>395</v>
      </c>
    </row>
    <row r="186" spans="3:12">
      <c r="C186" s="171" t="s">
        <v>58</v>
      </c>
      <c r="D186" s="163"/>
      <c r="E186" s="154">
        <v>0</v>
      </c>
      <c r="F186" s="100">
        <f>IF(E185=0,"",(G185/E185)/12*E185)</f>
        <v>0</v>
      </c>
      <c r="G186" s="97">
        <f>F186</f>
        <v>0</v>
      </c>
      <c r="H186" s="164"/>
      <c r="I186" s="116" t="s">
        <v>516</v>
      </c>
      <c r="J186" s="116" t="str">
        <f>VLOOKUP(I186,Presupuesto!$B$11:$C$565,2,0)</f>
        <v>AGUINALDO Y DECIMO CUARTO MES</v>
      </c>
      <c r="K186" s="98" t="str">
        <f t="shared" si="5"/>
        <v>Posgrado</v>
      </c>
      <c r="L186" s="98" t="s">
        <v>395</v>
      </c>
    </row>
    <row r="187" spans="3:12" ht="15.75" thickBot="1">
      <c r="C187" s="172" t="s">
        <v>59</v>
      </c>
      <c r="D187" s="163"/>
      <c r="E187" s="154">
        <v>0</v>
      </c>
      <c r="F187" s="117">
        <f>IF(E185&lt;6,"",((E185-6)/12)*(G185/E185))</f>
        <v>0</v>
      </c>
      <c r="G187" s="97">
        <f>F187</f>
        <v>0</v>
      </c>
      <c r="H187" s="164"/>
      <c r="I187" s="101" t="s">
        <v>519</v>
      </c>
      <c r="J187" s="101" t="str">
        <f>VLOOKUP(I187,Presupuesto!$B$11:$C$565,2,0)</f>
        <v>DECIMOCUARTO MES</v>
      </c>
      <c r="K187" s="98" t="str">
        <f t="shared" si="5"/>
        <v>Posgrado</v>
      </c>
      <c r="L187" s="98" t="s">
        <v>395</v>
      </c>
    </row>
    <row r="188" spans="3:12" ht="15.75" thickBot="1">
      <c r="C188" s="140" t="s">
        <v>83</v>
      </c>
      <c r="D188" s="199"/>
      <c r="E188" s="152">
        <v>12</v>
      </c>
      <c r="F188" s="139">
        <v>30000</v>
      </c>
      <c r="G188" s="113">
        <f>D188*E188*F188</f>
        <v>0</v>
      </c>
      <c r="H188" s="166"/>
      <c r="I188" s="114" t="s">
        <v>564</v>
      </c>
      <c r="J188" s="114" t="str">
        <f>VLOOKUP(I188,Presupuesto!$B$11:$C$565,2,0)</f>
        <v>CONTRATOS ESPECIALES</v>
      </c>
      <c r="K188" s="98" t="str">
        <f t="shared" si="5"/>
        <v>Posgrado</v>
      </c>
      <c r="L188" s="98" t="s">
        <v>395</v>
      </c>
    </row>
    <row r="189" spans="3:12">
      <c r="C189" s="171" t="s">
        <v>58</v>
      </c>
      <c r="D189" s="163"/>
      <c r="E189" s="154">
        <v>0</v>
      </c>
      <c r="F189" s="117">
        <f>IF(E188=0,"",(G188/E188)/12*E188)</f>
        <v>0</v>
      </c>
      <c r="G189" s="97">
        <f>F189</f>
        <v>0</v>
      </c>
      <c r="H189" s="164"/>
      <c r="I189" s="101" t="s">
        <v>564</v>
      </c>
      <c r="J189" s="101" t="str">
        <f>VLOOKUP(I189,Presupuesto!$B$11:$C$565,2,0)</f>
        <v>CONTRATOS ESPECIALES</v>
      </c>
      <c r="K189" s="98" t="str">
        <f t="shared" si="5"/>
        <v>Posgrado</v>
      </c>
      <c r="L189" s="98" t="s">
        <v>394</v>
      </c>
    </row>
    <row r="190" spans="3:12" ht="15.75" thickBot="1">
      <c r="C190" s="172" t="s">
        <v>59</v>
      </c>
      <c r="D190" s="163"/>
      <c r="E190" s="154">
        <v>0</v>
      </c>
      <c r="F190" s="100">
        <f>IF(E188&lt;6,"",((E188-6)/12)*(G188/E188))</f>
        <v>0</v>
      </c>
      <c r="G190" s="97">
        <f>F190</f>
        <v>0</v>
      </c>
      <c r="H190" s="164"/>
      <c r="I190" s="101" t="s">
        <v>564</v>
      </c>
      <c r="J190" s="101" t="str">
        <f>VLOOKUP(I190,Presupuesto!$B$11:$C$565,2,0)</f>
        <v>CONTRATOS ESPECIALES</v>
      </c>
      <c r="K190" s="98" t="str">
        <f t="shared" si="5"/>
        <v>Posgrado</v>
      </c>
      <c r="L190" s="98" t="s">
        <v>399</v>
      </c>
    </row>
    <row r="191" spans="3:12" ht="15.75" thickBot="1">
      <c r="C191" s="140" t="s">
        <v>60</v>
      </c>
      <c r="D191" s="199"/>
      <c r="E191" s="152">
        <v>12</v>
      </c>
      <c r="F191" s="118">
        <v>30000</v>
      </c>
      <c r="G191" s="113">
        <f>D191*E191*F191</f>
        <v>0</v>
      </c>
      <c r="H191" s="166"/>
      <c r="I191" s="114" t="s">
        <v>705</v>
      </c>
      <c r="J191" s="114" t="str">
        <f>VLOOKUP(I191,Presupuesto!$B$11:$C$565,2,0)</f>
        <v>OTROS SERVICIOS TECNICOS Y PROFESIONALES</v>
      </c>
      <c r="K191" s="98" t="str">
        <f t="shared" si="5"/>
        <v>Posgrado</v>
      </c>
      <c r="L191" s="98" t="s">
        <v>394</v>
      </c>
    </row>
    <row r="192" spans="3:12">
      <c r="C192" s="171" t="s">
        <v>58</v>
      </c>
      <c r="D192" s="163"/>
      <c r="E192" s="154">
        <v>0</v>
      </c>
      <c r="F192" s="100">
        <v>0</v>
      </c>
      <c r="G192" s="97">
        <f>F192</f>
        <v>0</v>
      </c>
      <c r="H192" s="164"/>
      <c r="I192" s="101" t="s">
        <v>705</v>
      </c>
      <c r="J192" s="101" t="str">
        <f>VLOOKUP(I192,Presupuesto!$B$11:$C$565,2,0)</f>
        <v>OTROS SERVICIOS TECNICOS Y PROFESIONALES</v>
      </c>
      <c r="K192" s="98" t="str">
        <f t="shared" si="5"/>
        <v>Posgrado</v>
      </c>
      <c r="L192" s="98" t="s">
        <v>394</v>
      </c>
    </row>
    <row r="193" spans="3:12" ht="15.75" thickBot="1">
      <c r="C193" s="172" t="s">
        <v>59</v>
      </c>
      <c r="D193" s="163"/>
      <c r="E193" s="154">
        <v>0</v>
      </c>
      <c r="F193" s="100">
        <v>0</v>
      </c>
      <c r="G193" s="97">
        <f>F193</f>
        <v>0</v>
      </c>
      <c r="H193" s="164"/>
      <c r="I193" s="101" t="s">
        <v>705</v>
      </c>
      <c r="J193" s="101" t="str">
        <f>VLOOKUP(I193,Presupuesto!$B$11:$C$565,2,0)</f>
        <v>OTROS SERVICIOS TECNICOS Y PROFESIONALES</v>
      </c>
      <c r="K193" s="98" t="str">
        <f t="shared" si="5"/>
        <v>Posgrado</v>
      </c>
      <c r="L193" s="98" t="s">
        <v>394</v>
      </c>
    </row>
    <row r="194" spans="3:12" ht="15.75" thickBot="1">
      <c r="C194" s="140" t="s">
        <v>61</v>
      </c>
      <c r="D194" s="199"/>
      <c r="E194" s="152">
        <v>12</v>
      </c>
      <c r="F194" s="118">
        <v>30000</v>
      </c>
      <c r="G194" s="113">
        <f>D194*E194*F194</f>
        <v>0</v>
      </c>
      <c r="H194" s="166"/>
      <c r="I194" s="114" t="s">
        <v>496</v>
      </c>
      <c r="J194" s="114" t="str">
        <f>VLOOKUP(I194,Presupuesto!$B$11:$C$565,2,0)</f>
        <v>SUELDOS Y SALARIOS PERMANENTES</v>
      </c>
      <c r="K194" s="98" t="str">
        <f t="shared" si="5"/>
        <v>Posgrado</v>
      </c>
      <c r="L194" s="98" t="s">
        <v>394</v>
      </c>
    </row>
    <row r="195" spans="3:12">
      <c r="C195" s="171" t="s">
        <v>58</v>
      </c>
      <c r="D195" s="169"/>
      <c r="E195" s="131">
        <v>0</v>
      </c>
      <c r="F195" s="119">
        <f>IF(E194=0,"",(G194/E194)/12*E194)</f>
        <v>0</v>
      </c>
      <c r="G195" s="120">
        <f>F195</f>
        <v>0</v>
      </c>
      <c r="H195" s="164"/>
      <c r="I195" s="101" t="s">
        <v>516</v>
      </c>
      <c r="J195" s="101" t="str">
        <f>VLOOKUP(I195,Presupuesto!$B$11:$C$565,2,0)</f>
        <v>AGUINALDO Y DECIMO CUARTO MES</v>
      </c>
      <c r="K195" s="98" t="str">
        <f t="shared" si="5"/>
        <v>Posgrado</v>
      </c>
      <c r="L195" s="98" t="s">
        <v>394</v>
      </c>
    </row>
    <row r="196" spans="3:12" ht="15.75" thickBot="1">
      <c r="C196" s="173" t="s">
        <v>59</v>
      </c>
      <c r="D196" s="162"/>
      <c r="E196" s="132">
        <v>0</v>
      </c>
      <c r="F196" s="105">
        <f>IF(E194&lt;6,"",((E194-6)/12)*(G194/E194))</f>
        <v>0</v>
      </c>
      <c r="G196" s="105">
        <f>F196</f>
        <v>0</v>
      </c>
      <c r="H196" s="162"/>
      <c r="I196" s="106" t="s">
        <v>519</v>
      </c>
      <c r="J196" s="124" t="str">
        <f>VLOOKUP(I196,Presupuesto!$B$11:$C$565,2,0)</f>
        <v>DECIMOCUARTO MES</v>
      </c>
      <c r="K196" s="106" t="str">
        <f t="shared" si="5"/>
        <v>Posgrado</v>
      </c>
      <c r="L196" s="124" t="s">
        <v>394</v>
      </c>
    </row>
    <row r="198" spans="3:12" ht="15.75" thickBot="1">
      <c r="K198" s="153"/>
    </row>
    <row r="199" spans="3:12" ht="15.75" thickBot="1">
      <c r="C199" s="69" t="s">
        <v>43</v>
      </c>
      <c r="D199" s="30">
        <f>SUM(G206:G256)</f>
        <v>0</v>
      </c>
      <c r="E199" s="93"/>
      <c r="F199" s="93"/>
      <c r="G199" s="93"/>
      <c r="H199" s="76"/>
      <c r="I199" s="76"/>
      <c r="J199" s="76"/>
      <c r="K199" s="153"/>
    </row>
    <row r="200" spans="3:12">
      <c r="D200" s="31"/>
      <c r="E200" s="93"/>
      <c r="F200" s="93"/>
      <c r="G200" s="93"/>
      <c r="H200" s="76"/>
      <c r="I200" s="76"/>
      <c r="J200" s="76"/>
      <c r="K200" s="153"/>
    </row>
    <row r="201" spans="3:12">
      <c r="D201" s="31"/>
      <c r="E201" s="93"/>
      <c r="F201" s="93"/>
      <c r="G201" s="93"/>
      <c r="H201" s="76"/>
      <c r="I201" s="76"/>
      <c r="J201" s="76"/>
      <c r="K201" s="153"/>
    </row>
    <row r="202" spans="3:12" ht="15.75">
      <c r="C202" s="202" t="s">
        <v>392</v>
      </c>
      <c r="D202" s="370"/>
      <c r="E202" s="93"/>
      <c r="F202" s="93"/>
      <c r="G202" s="93"/>
      <c r="H202" s="76"/>
      <c r="I202" s="76"/>
      <c r="J202" s="76"/>
      <c r="K202" s="153"/>
    </row>
    <row r="203" spans="3:12" ht="18.75">
      <c r="C203" s="211"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#N/A</v>
      </c>
      <c r="D203" s="31"/>
      <c r="E203" s="93"/>
      <c r="F203" s="93"/>
      <c r="G203" s="93"/>
      <c r="H203" s="76"/>
      <c r="I203" s="76"/>
      <c r="J203" s="76"/>
      <c r="K203" s="153"/>
    </row>
    <row r="204" spans="3:12" ht="15.75" thickBot="1">
      <c r="C204" s="177"/>
      <c r="D204" s="31"/>
      <c r="E204" s="93"/>
      <c r="F204" s="93"/>
      <c r="G204" s="93"/>
      <c r="H204" s="76"/>
      <c r="I204" s="76"/>
      <c r="J204" s="76"/>
      <c r="K204" s="153"/>
    </row>
    <row r="205" spans="3:12" ht="30.75" thickBot="1">
      <c r="C205" s="134" t="s">
        <v>44</v>
      </c>
      <c r="D205" s="138" t="s">
        <v>55</v>
      </c>
      <c r="E205" s="170" t="s">
        <v>56</v>
      </c>
      <c r="F205" s="138" t="s">
        <v>57</v>
      </c>
      <c r="G205" s="135" t="s">
        <v>27</v>
      </c>
      <c r="H205" s="133" t="s">
        <v>131</v>
      </c>
      <c r="I205" s="136" t="s">
        <v>46</v>
      </c>
      <c r="J205" s="136" t="s">
        <v>132</v>
      </c>
      <c r="K205" s="136" t="s">
        <v>410</v>
      </c>
      <c r="L205" s="136" t="s">
        <v>411</v>
      </c>
    </row>
    <row r="206" spans="3:12" ht="15.75" thickBot="1">
      <c r="C206" s="137" t="s">
        <v>482</v>
      </c>
      <c r="D206" s="199"/>
      <c r="E206" s="152">
        <v>12</v>
      </c>
      <c r="F206" s="305">
        <f>HLOOKUP($C206,$BZ$2:$CM$3,2,0)</f>
        <v>43674.39</v>
      </c>
      <c r="G206" s="113">
        <f>D206*E206*F206</f>
        <v>0</v>
      </c>
      <c r="H206" s="166"/>
      <c r="I206" s="114" t="s">
        <v>496</v>
      </c>
      <c r="J206" s="114" t="str">
        <f>VLOOKUP(I206,Presupuesto!$B$11:$C$565,2,0)</f>
        <v>SUELDOS Y SALARIOS PERMANENTES</v>
      </c>
      <c r="K206" s="219" t="s">
        <v>1453</v>
      </c>
      <c r="L206" s="98" t="s">
        <v>394</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ref="K207:K238" si="6">$K$206</f>
        <v>Posgrado</v>
      </c>
      <c r="L207" s="98" t="s">
        <v>412</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c r="C209" s="137" t="s">
        <v>483</v>
      </c>
      <c r="D209" s="199"/>
      <c r="E209" s="152">
        <v>12</v>
      </c>
      <c r="F209" s="305">
        <f>HLOOKUP($C209,$BZ$2:$CM$3,2,0)</f>
        <v>39703.99</v>
      </c>
      <c r="G209" s="113">
        <f>D209*E209*F209</f>
        <v>0</v>
      </c>
      <c r="H209" s="166"/>
      <c r="I209" s="114" t="s">
        <v>496</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c r="C212" s="137" t="s">
        <v>484</v>
      </c>
      <c r="D212" s="199"/>
      <c r="E212" s="152">
        <v>12</v>
      </c>
      <c r="F212" s="305">
        <f>HLOOKUP($C212,$BZ$2:$CM$3,2,0)</f>
        <v>35733.589999999997</v>
      </c>
      <c r="G212" s="113">
        <f>D212*E212*F212</f>
        <v>0</v>
      </c>
      <c r="H212" s="166"/>
      <c r="I212" s="114" t="s">
        <v>496</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c r="C215" s="137" t="s">
        <v>485</v>
      </c>
      <c r="D215" s="199"/>
      <c r="E215" s="152">
        <v>12</v>
      </c>
      <c r="F215" s="305">
        <f>HLOOKUP($C215,$BZ$2:$CM$3,2,0)</f>
        <v>31763.19</v>
      </c>
      <c r="G215" s="113">
        <f>D215*E215*F215</f>
        <v>0</v>
      </c>
      <c r="H215" s="166"/>
      <c r="I215" s="114" t="s">
        <v>496</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c r="C218" s="137" t="s">
        <v>486</v>
      </c>
      <c r="D218" s="199"/>
      <c r="E218" s="152">
        <v>12</v>
      </c>
      <c r="F218" s="305">
        <f>HLOOKUP($C218,$BZ$2:$CM$3,2,0)</f>
        <v>29777.99</v>
      </c>
      <c r="G218" s="113">
        <f>D218*E218*F218</f>
        <v>0</v>
      </c>
      <c r="H218" s="166"/>
      <c r="I218" s="114" t="s">
        <v>496</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c r="C221" s="137" t="s">
        <v>487</v>
      </c>
      <c r="D221" s="199"/>
      <c r="E221" s="152">
        <v>12</v>
      </c>
      <c r="F221" s="305">
        <f>HLOOKUP($C221,$BZ$2:$CM$3,2,0)</f>
        <v>27792.79</v>
      </c>
      <c r="G221" s="113">
        <f>D221*E221*F221</f>
        <v>0</v>
      </c>
      <c r="H221" s="166"/>
      <c r="I221" s="114" t="s">
        <v>496</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c r="C224" s="137" t="s">
        <v>488</v>
      </c>
      <c r="D224" s="199"/>
      <c r="E224" s="152">
        <v>12</v>
      </c>
      <c r="F224" s="305">
        <f>HLOOKUP($C224,$BZ$2:$CM$3,2,0)</f>
        <v>18859.39</v>
      </c>
      <c r="G224" s="113">
        <f>D224*E224*F224</f>
        <v>0</v>
      </c>
      <c r="H224" s="166"/>
      <c r="I224" s="114" t="s">
        <v>496</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c r="C227" s="137" t="s">
        <v>489</v>
      </c>
      <c r="D227" s="199"/>
      <c r="E227" s="152">
        <v>12</v>
      </c>
      <c r="F227" s="305">
        <f>HLOOKUP($C227,$BZ$2:$CM$3,2,0)</f>
        <v>17866.8</v>
      </c>
      <c r="G227" s="113">
        <f>D227*E227*F227</f>
        <v>0</v>
      </c>
      <c r="H227" s="166"/>
      <c r="I227" s="114" t="s">
        <v>496</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c r="C230" s="137" t="s">
        <v>490</v>
      </c>
      <c r="D230" s="199"/>
      <c r="E230" s="152">
        <v>12</v>
      </c>
      <c r="F230" s="305">
        <f>HLOOKUP($C230,$BZ$2:$CM$3,2,0)</f>
        <v>13896.4</v>
      </c>
      <c r="G230" s="113">
        <f>D230*E230*F230</f>
        <v>0</v>
      </c>
      <c r="H230" s="166"/>
      <c r="I230" s="114" t="s">
        <v>496</v>
      </c>
      <c r="J230" s="114" t="str">
        <f>VLOOKUP(I230,Presupuesto!$B$11:$C$565,2,0)</f>
        <v>SUELDOS Y SALARIOS PERMANENTES</v>
      </c>
      <c r="K230" s="98" t="str">
        <f t="shared" si="6"/>
        <v>Posgrado</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6"/>
        <v>Posgrado</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6"/>
        <v>Posgrado</v>
      </c>
      <c r="L232" s="98" t="s">
        <v>395</v>
      </c>
    </row>
    <row r="233" spans="3:12" ht="15.75" thickBot="1">
      <c r="C233" s="137" t="s">
        <v>491</v>
      </c>
      <c r="D233" s="199"/>
      <c r="E233" s="152">
        <v>12</v>
      </c>
      <c r="F233" s="305">
        <f>HLOOKUP($C233,$BZ$2:$CM$3,2,0)</f>
        <v>15004.09</v>
      </c>
      <c r="G233" s="113">
        <f>D233*E233*F233</f>
        <v>0</v>
      </c>
      <c r="H233" s="166"/>
      <c r="I233" s="114" t="s">
        <v>496</v>
      </c>
      <c r="J233" s="114" t="str">
        <f>VLOOKUP(I233,Presupuesto!$B$11:$C$565,2,0)</f>
        <v>SUELDOS Y SALARIOS PERMANENTES</v>
      </c>
      <c r="K233" s="98" t="str">
        <f t="shared" si="6"/>
        <v>Posgrado</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6"/>
        <v>Posgrado</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6"/>
        <v>Posgrado</v>
      </c>
      <c r="L235" s="98" t="s">
        <v>395</v>
      </c>
    </row>
    <row r="236" spans="3:12" ht="15.75" thickBot="1">
      <c r="C236" s="137" t="s">
        <v>492</v>
      </c>
      <c r="D236" s="199"/>
      <c r="E236" s="152">
        <v>12</v>
      </c>
      <c r="F236" s="305">
        <f>HLOOKUP($C236,$BZ$2:$CM$3,2,0)</f>
        <v>13238.9</v>
      </c>
      <c r="G236" s="113">
        <f>D236*E236*F236</f>
        <v>0</v>
      </c>
      <c r="H236" s="166"/>
      <c r="I236" s="114" t="s">
        <v>496</v>
      </c>
      <c r="J236" s="114" t="str">
        <f>VLOOKUP(I236,Presupuesto!$B$11:$C$565,2,0)</f>
        <v>SUELDOS Y SALARIOS PERMANENTES</v>
      </c>
      <c r="K236" s="98" t="str">
        <f t="shared" si="6"/>
        <v>Posgrado</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6"/>
        <v>Posgrado</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6"/>
        <v>Posgrado</v>
      </c>
      <c r="L238" s="98" t="s">
        <v>395</v>
      </c>
    </row>
    <row r="239" spans="3:12" ht="15.75" thickBot="1">
      <c r="C239" s="137" t="s">
        <v>493</v>
      </c>
      <c r="D239" s="199"/>
      <c r="E239" s="152">
        <v>12</v>
      </c>
      <c r="F239" s="305">
        <f>HLOOKUP($C239,$BZ$2:$CM$3,2,0)</f>
        <v>12356.31</v>
      </c>
      <c r="G239" s="113">
        <f>D239*E239*F239</f>
        <v>0</v>
      </c>
      <c r="H239" s="166"/>
      <c r="I239" s="114" t="s">
        <v>496</v>
      </c>
      <c r="J239" s="114" t="str">
        <f>VLOOKUP(I239,Presupuesto!$B$11:$C$565,2,0)</f>
        <v>SUELDOS Y SALARIOS PERMANENTES</v>
      </c>
      <c r="K239" s="98" t="str">
        <f t="shared" ref="K239:K256" si="7">$K$206</f>
        <v>Posgrado</v>
      </c>
      <c r="L239" s="98" t="s">
        <v>395</v>
      </c>
    </row>
    <row r="240" spans="3:12">
      <c r="C240" s="171" t="s">
        <v>58</v>
      </c>
      <c r="D240" s="163"/>
      <c r="E240" s="154">
        <v>0</v>
      </c>
      <c r="F240" s="100">
        <f>IF(E239=0,"",(G239/E239)/12*E239)</f>
        <v>0</v>
      </c>
      <c r="G240" s="97">
        <f>F240</f>
        <v>0</v>
      </c>
      <c r="H240" s="164"/>
      <c r="I240" s="116" t="s">
        <v>516</v>
      </c>
      <c r="J240" s="116" t="str">
        <f>VLOOKUP(I240,Presupuesto!$B$11:$C$565,2,0)</f>
        <v>AGUINALDO Y DECIMO CUARTO MES</v>
      </c>
      <c r="K240" s="98" t="str">
        <f t="shared" si="7"/>
        <v>Posgrado</v>
      </c>
      <c r="L240" s="98" t="s">
        <v>395</v>
      </c>
    </row>
    <row r="241" spans="3:12" ht="15.75" thickBot="1">
      <c r="C241" s="172" t="s">
        <v>59</v>
      </c>
      <c r="D241" s="163"/>
      <c r="E241" s="154">
        <v>0</v>
      </c>
      <c r="F241" s="117">
        <f>IF(E239&lt;6,"",((E239-6)/12)*(G239/E239))</f>
        <v>0</v>
      </c>
      <c r="G241" s="97">
        <f>F241</f>
        <v>0</v>
      </c>
      <c r="H241" s="164"/>
      <c r="I241" s="101" t="s">
        <v>519</v>
      </c>
      <c r="J241" s="101" t="str">
        <f>VLOOKUP(I241,Presupuesto!$B$11:$C$565,2,0)</f>
        <v>DECIMOCUARTO MES</v>
      </c>
      <c r="K241" s="98" t="str">
        <f t="shared" si="7"/>
        <v>Posgrado</v>
      </c>
      <c r="L241" s="98" t="s">
        <v>395</v>
      </c>
    </row>
    <row r="242" spans="3:12" ht="15.75" thickBot="1">
      <c r="C242" s="137" t="s">
        <v>494</v>
      </c>
      <c r="D242" s="199"/>
      <c r="E242" s="152">
        <v>12</v>
      </c>
      <c r="F242" s="305">
        <f>HLOOKUP($C242,$BZ$2:$CM$3,2,0)</f>
        <v>463.22</v>
      </c>
      <c r="G242" s="113">
        <f>D242*E242*F242</f>
        <v>0</v>
      </c>
      <c r="H242" s="166"/>
      <c r="I242" s="114" t="s">
        <v>496</v>
      </c>
      <c r="J242" s="114" t="str">
        <f>VLOOKUP(I242,Presupuesto!$B$11:$C$565,2,0)</f>
        <v>SUELDOS Y SALARIOS PERMANENTES</v>
      </c>
      <c r="K242" s="98" t="str">
        <f t="shared" si="7"/>
        <v>Posgrado</v>
      </c>
      <c r="L242" s="98" t="s">
        <v>395</v>
      </c>
    </row>
    <row r="243" spans="3:12">
      <c r="C243" s="171" t="s">
        <v>58</v>
      </c>
      <c r="D243" s="163"/>
      <c r="E243" s="154">
        <v>0</v>
      </c>
      <c r="F243" s="100">
        <f>IF(E242=0,"",(G242/E242)/12*E242)</f>
        <v>0</v>
      </c>
      <c r="G243" s="97">
        <f>F243</f>
        <v>0</v>
      </c>
      <c r="H243" s="164"/>
      <c r="I243" s="116" t="s">
        <v>516</v>
      </c>
      <c r="J243" s="116" t="str">
        <f>VLOOKUP(I243,Presupuesto!$B$11:$C$565,2,0)</f>
        <v>AGUINALDO Y DECIMO CUARTO MES</v>
      </c>
      <c r="K243" s="98" t="str">
        <f t="shared" si="7"/>
        <v>Posgrado</v>
      </c>
      <c r="L243" s="98" t="s">
        <v>395</v>
      </c>
    </row>
    <row r="244" spans="3:12" ht="15.75" thickBot="1">
      <c r="C244" s="172" t="s">
        <v>59</v>
      </c>
      <c r="D244" s="163"/>
      <c r="E244" s="154">
        <v>0</v>
      </c>
      <c r="F244" s="117">
        <f>IF(E242&lt;6,"",((E242-6)/12)*(G242/E242))</f>
        <v>0</v>
      </c>
      <c r="G244" s="97">
        <f>F244</f>
        <v>0</v>
      </c>
      <c r="H244" s="164"/>
      <c r="I244" s="101" t="s">
        <v>519</v>
      </c>
      <c r="J244" s="101" t="str">
        <f>VLOOKUP(I244,Presupuesto!$B$11:$C$565,2,0)</f>
        <v>DECIMOCUARTO MES</v>
      </c>
      <c r="K244" s="98" t="str">
        <f t="shared" si="7"/>
        <v>Posgrado</v>
      </c>
      <c r="L244" s="98" t="s">
        <v>395</v>
      </c>
    </row>
    <row r="245" spans="3:12" ht="15.75" thickBot="1">
      <c r="C245" s="137" t="s">
        <v>495</v>
      </c>
      <c r="D245" s="199"/>
      <c r="E245" s="152">
        <v>12</v>
      </c>
      <c r="F245" s="305">
        <f>HLOOKUP($C245,$BZ$2:$CM$3,2,0)</f>
        <v>2007.3</v>
      </c>
      <c r="G245" s="113">
        <f>D245*E245*F245</f>
        <v>0</v>
      </c>
      <c r="H245" s="166"/>
      <c r="I245" s="114" t="s">
        <v>496</v>
      </c>
      <c r="J245" s="114" t="str">
        <f>VLOOKUP(I245,Presupuesto!$B$11:$C$565,2,0)</f>
        <v>SUELDOS Y SALARIOS PERMANENTES</v>
      </c>
      <c r="K245" s="98" t="str">
        <f t="shared" si="7"/>
        <v>Posgrado</v>
      </c>
      <c r="L245" s="98" t="s">
        <v>395</v>
      </c>
    </row>
    <row r="246" spans="3:12">
      <c r="C246" s="171" t="s">
        <v>58</v>
      </c>
      <c r="D246" s="163"/>
      <c r="E246" s="154">
        <v>0</v>
      </c>
      <c r="F246" s="100">
        <f>IF(E245=0,"",(G245/E245)/12*E245)</f>
        <v>0</v>
      </c>
      <c r="G246" s="97">
        <f>F246</f>
        <v>0</v>
      </c>
      <c r="H246" s="164"/>
      <c r="I246" s="116" t="s">
        <v>516</v>
      </c>
      <c r="J246" s="116" t="str">
        <f>VLOOKUP(I246,Presupuesto!$B$11:$C$565,2,0)</f>
        <v>AGUINALDO Y DECIMO CUARTO MES</v>
      </c>
      <c r="K246" s="98" t="str">
        <f t="shared" si="7"/>
        <v>Posgrado</v>
      </c>
      <c r="L246" s="98" t="s">
        <v>395</v>
      </c>
    </row>
    <row r="247" spans="3:12" ht="15.75" thickBot="1">
      <c r="C247" s="172" t="s">
        <v>59</v>
      </c>
      <c r="D247" s="163"/>
      <c r="E247" s="154">
        <v>0</v>
      </c>
      <c r="F247" s="117">
        <f>IF(E245&lt;6,"",((E245-6)/12)*(G245/E245))</f>
        <v>0</v>
      </c>
      <c r="G247" s="97">
        <f>F247</f>
        <v>0</v>
      </c>
      <c r="H247" s="164"/>
      <c r="I247" s="101" t="s">
        <v>519</v>
      </c>
      <c r="J247" s="101" t="str">
        <f>VLOOKUP(I247,Presupuesto!$B$11:$C$565,2,0)</f>
        <v>DECIMOCUARTO MES</v>
      </c>
      <c r="K247" s="98" t="str">
        <f t="shared" si="7"/>
        <v>Posgrado</v>
      </c>
      <c r="L247" s="98" t="s">
        <v>395</v>
      </c>
    </row>
    <row r="248" spans="3:12" ht="15.75" thickBot="1">
      <c r="C248" s="140" t="s">
        <v>83</v>
      </c>
      <c r="D248" s="199"/>
      <c r="E248" s="152">
        <v>12</v>
      </c>
      <c r="F248" s="139">
        <v>30000</v>
      </c>
      <c r="G248" s="113">
        <f>D248*E248*F248</f>
        <v>0</v>
      </c>
      <c r="H248" s="166"/>
      <c r="I248" s="114" t="s">
        <v>564</v>
      </c>
      <c r="J248" s="114" t="str">
        <f>VLOOKUP(I248,Presupuesto!$B$11:$C$565,2,0)</f>
        <v>CONTRATOS ESPECIALES</v>
      </c>
      <c r="K248" s="98" t="str">
        <f t="shared" si="7"/>
        <v>Posgrado</v>
      </c>
      <c r="L248" s="98" t="s">
        <v>395</v>
      </c>
    </row>
    <row r="249" spans="3:12">
      <c r="C249" s="171" t="s">
        <v>58</v>
      </c>
      <c r="D249" s="163"/>
      <c r="E249" s="154">
        <v>0</v>
      </c>
      <c r="F249" s="117">
        <f>IF(E248=0,"",(G248/E248)/12*E248)</f>
        <v>0</v>
      </c>
      <c r="G249" s="97">
        <f>F249</f>
        <v>0</v>
      </c>
      <c r="H249" s="164"/>
      <c r="I249" s="101" t="s">
        <v>564</v>
      </c>
      <c r="J249" s="101" t="str">
        <f>VLOOKUP(I249,Presupuesto!$B$11:$C$565,2,0)</f>
        <v>CONTRATOS ESPECIALES</v>
      </c>
      <c r="K249" s="98" t="str">
        <f t="shared" si="7"/>
        <v>Posgrado</v>
      </c>
      <c r="L249" s="98" t="s">
        <v>394</v>
      </c>
    </row>
    <row r="250" spans="3:12" ht="15.75" thickBot="1">
      <c r="C250" s="172" t="s">
        <v>59</v>
      </c>
      <c r="D250" s="163"/>
      <c r="E250" s="154">
        <v>0</v>
      </c>
      <c r="F250" s="100">
        <f>IF(E248&lt;6,"",((E248-6)/12)*(G248/E248))</f>
        <v>0</v>
      </c>
      <c r="G250" s="97">
        <f>F250</f>
        <v>0</v>
      </c>
      <c r="H250" s="164"/>
      <c r="I250" s="101" t="s">
        <v>564</v>
      </c>
      <c r="J250" s="101" t="str">
        <f>VLOOKUP(I250,Presupuesto!$B$11:$C$565,2,0)</f>
        <v>CONTRATOS ESPECIALES</v>
      </c>
      <c r="K250" s="98" t="str">
        <f t="shared" si="7"/>
        <v>Posgrado</v>
      </c>
      <c r="L250" s="98" t="s">
        <v>399</v>
      </c>
    </row>
    <row r="251" spans="3:12" ht="15.75" thickBot="1">
      <c r="C251" s="140" t="s">
        <v>60</v>
      </c>
      <c r="D251" s="199"/>
      <c r="E251" s="152">
        <v>12</v>
      </c>
      <c r="F251" s="118">
        <v>30000</v>
      </c>
      <c r="G251" s="113">
        <f>D251*E251*F251</f>
        <v>0</v>
      </c>
      <c r="H251" s="166"/>
      <c r="I251" s="114" t="s">
        <v>705</v>
      </c>
      <c r="J251" s="114" t="str">
        <f>VLOOKUP(I251,Presupuesto!$B$11:$C$565,2,0)</f>
        <v>OTROS SERVICIOS TECNICOS Y PROFESIONALES</v>
      </c>
      <c r="K251" s="98" t="str">
        <f t="shared" si="7"/>
        <v>Posgrado</v>
      </c>
      <c r="L251" s="98" t="s">
        <v>394</v>
      </c>
    </row>
    <row r="252" spans="3:12">
      <c r="C252" s="171" t="s">
        <v>58</v>
      </c>
      <c r="D252" s="163"/>
      <c r="E252" s="154">
        <v>0</v>
      </c>
      <c r="F252" s="100">
        <v>0</v>
      </c>
      <c r="G252" s="97">
        <f>F252</f>
        <v>0</v>
      </c>
      <c r="H252" s="164"/>
      <c r="I252" s="101" t="s">
        <v>705</v>
      </c>
      <c r="J252" s="101" t="str">
        <f>VLOOKUP(I252,Presupuesto!$B$11:$C$565,2,0)</f>
        <v>OTROS SERVICIOS TECNICOS Y PROFESIONALES</v>
      </c>
      <c r="K252" s="98" t="str">
        <f t="shared" si="7"/>
        <v>Posgrado</v>
      </c>
      <c r="L252" s="98" t="s">
        <v>394</v>
      </c>
    </row>
    <row r="253" spans="3:12" ht="15.75" thickBot="1">
      <c r="C253" s="172" t="s">
        <v>59</v>
      </c>
      <c r="D253" s="163"/>
      <c r="E253" s="154">
        <v>0</v>
      </c>
      <c r="F253" s="100">
        <v>0</v>
      </c>
      <c r="G253" s="97">
        <f>F253</f>
        <v>0</v>
      </c>
      <c r="H253" s="164"/>
      <c r="I253" s="101" t="s">
        <v>705</v>
      </c>
      <c r="J253" s="101" t="str">
        <f>VLOOKUP(I253,Presupuesto!$B$11:$C$565,2,0)</f>
        <v>OTROS SERVICIOS TECNICOS Y PROFESIONALES</v>
      </c>
      <c r="K253" s="98" t="str">
        <f t="shared" si="7"/>
        <v>Posgrado</v>
      </c>
      <c r="L253" s="98" t="s">
        <v>394</v>
      </c>
    </row>
    <row r="254" spans="3:12" ht="15.75" thickBot="1">
      <c r="C254" s="140" t="s">
        <v>61</v>
      </c>
      <c r="D254" s="199"/>
      <c r="E254" s="152">
        <v>12</v>
      </c>
      <c r="F254" s="118">
        <v>30000</v>
      </c>
      <c r="G254" s="113">
        <f>D254*E254*F254</f>
        <v>0</v>
      </c>
      <c r="H254" s="166"/>
      <c r="I254" s="114" t="s">
        <v>496</v>
      </c>
      <c r="J254" s="114" t="str">
        <f>VLOOKUP(I254,Presupuesto!$B$11:$C$565,2,0)</f>
        <v>SUELDOS Y SALARIOS PERMANENTES</v>
      </c>
      <c r="K254" s="98" t="str">
        <f t="shared" si="7"/>
        <v>Posgrado</v>
      </c>
      <c r="L254" s="98" t="s">
        <v>394</v>
      </c>
    </row>
    <row r="255" spans="3:12">
      <c r="C255" s="171" t="s">
        <v>58</v>
      </c>
      <c r="D255" s="169"/>
      <c r="E255" s="131">
        <v>0</v>
      </c>
      <c r="F255" s="119">
        <f>IF(E254=0,"",(G254/E254)/12*E254)</f>
        <v>0</v>
      </c>
      <c r="G255" s="120">
        <f>F255</f>
        <v>0</v>
      </c>
      <c r="H255" s="164"/>
      <c r="I255" s="101" t="s">
        <v>516</v>
      </c>
      <c r="J255" s="101" t="str">
        <f>VLOOKUP(I255,Presupuesto!$B$11:$C$565,2,0)</f>
        <v>AGUINALDO Y DECIMO CUARTO MES</v>
      </c>
      <c r="K255" s="98" t="str">
        <f t="shared" si="7"/>
        <v>Posgrado</v>
      </c>
      <c r="L255" s="98" t="s">
        <v>394</v>
      </c>
    </row>
    <row r="256" spans="3:12" ht="15.75" thickBot="1">
      <c r="C256" s="173" t="s">
        <v>59</v>
      </c>
      <c r="D256" s="162"/>
      <c r="E256" s="132">
        <v>0</v>
      </c>
      <c r="F256" s="105">
        <f>IF(E254&lt;6,"",((E254-6)/12)*(G254/E254))</f>
        <v>0</v>
      </c>
      <c r="G256" s="105">
        <f>F256</f>
        <v>0</v>
      </c>
      <c r="H256" s="162"/>
      <c r="I256" s="106" t="s">
        <v>519</v>
      </c>
      <c r="J256" s="124" t="str">
        <f>VLOOKUP(I256,Presupuesto!$B$11:$C$565,2,0)</f>
        <v>DECIMOCUARTO MES</v>
      </c>
      <c r="K256" s="106" t="str">
        <f t="shared" si="7"/>
        <v>Posgrado</v>
      </c>
      <c r="L256" s="124" t="s">
        <v>394</v>
      </c>
    </row>
    <row r="258" spans="3:12" ht="15.75" thickBot="1">
      <c r="K258" s="153"/>
    </row>
    <row r="259" spans="3:12" ht="15.75" thickBot="1">
      <c r="C259" s="69" t="s">
        <v>43</v>
      </c>
      <c r="D259" s="30">
        <f>SUM(G266:G316)</f>
        <v>0</v>
      </c>
      <c r="E259" s="93"/>
      <c r="F259" s="93"/>
      <c r="G259" s="93"/>
      <c r="H259" s="76"/>
      <c r="I259" s="76"/>
      <c r="J259" s="76"/>
      <c r="K259" s="153"/>
    </row>
    <row r="260" spans="3:12">
      <c r="D260" s="31"/>
      <c r="E260" s="93"/>
      <c r="F260" s="93"/>
      <c r="G260" s="93"/>
      <c r="H260" s="76"/>
      <c r="I260" s="76"/>
      <c r="J260" s="76"/>
      <c r="K260" s="153"/>
    </row>
    <row r="261" spans="3:12">
      <c r="D261" s="31"/>
      <c r="E261" s="93"/>
      <c r="F261" s="93"/>
      <c r="G261" s="93"/>
      <c r="H261" s="76"/>
      <c r="I261" s="76"/>
      <c r="J261" s="76"/>
      <c r="K261" s="153"/>
    </row>
    <row r="262" spans="3:12" ht="15.75">
      <c r="C262" s="202" t="s">
        <v>392</v>
      </c>
      <c r="D262" s="370"/>
      <c r="E262" s="93"/>
      <c r="F262" s="93"/>
      <c r="G262" s="93"/>
      <c r="H262" s="76"/>
      <c r="I262" s="76"/>
      <c r="J262" s="76"/>
      <c r="K262" s="153"/>
    </row>
    <row r="263" spans="3:12" ht="18.75">
      <c r="C263" s="211" t="e">
        <f>IFERROR(VLOOKUP(D262,'1. Desarrollo e Innov. Curricu.'!$E:$F,2,FALSE),IFERROR(VLOOKUP(D262,'2. Investigación Científica'!$E:$F,2,FALSE),IFERROR(VLOOKUP(D262,'3. Vinculación Univ. Sociedad'!$E:$F,2,FALSE),IFERROR(VLOOKUP(D262,'4. Docencia y Profesorado Univ.'!$E:$F,2,FALSE),IFERROR(VLOOKUP(D262,'5. Estudiantes y Graduados'!$E:$F,2,FALSE),IFERROR(VLOOKUP(D262,'11. Gestion Administrativa'!$E:$F,2,FALSE),IFERROR(VLOOKUP(D262,'13. Gestión Académica'!$E:$F,2,FALSE),IFERROR(VLOOKUP(D262,'8. Asegura. de la Calid. y M'!$E:$F,2,FALSE),IFERROR(VLOOKUP(D262,'6. Gestión del Conocimiento'!$E:$F,2,FALSE),IFERROR(VLOOKUP(D262,'15. Gobernabilidad y Proceso...'!$E:$F,2,FALSE),IFERROR(VLOOKUP(D262,'12. Gestión del Talento Humano'!$E:$F,2,FALSE),IFERROR(VLOOKUP(D262,'14. Internacional... de la E.S.'!$E:$F,2,FALSE),IFERROR(VLOOKUP(D262,'10. Posgrado'!$E:$F,2,FALSE),IFERROR(VLOOKUP(D262,'17. Gestión TIC'!$E:$F,2,FALSE),IFERROR(VLOOKUP(D262,'16. Desa. del Sistema Educ.Sup.'!$E:$F,2,FALSE),IFERROR(VLOOKUP(D262,'9. Cultura de Inno. Insti...'!$E:$F,2,FALSE),VLOOKUP(D262,'7. Lo Esencial de la Reforma U.'!$E:$F,2,0)))))))))))))))))</f>
        <v>#N/A</v>
      </c>
      <c r="D263" s="31"/>
      <c r="E263" s="93"/>
      <c r="F263" s="93"/>
      <c r="G263" s="93"/>
      <c r="H263" s="76"/>
      <c r="I263" s="76"/>
      <c r="J263" s="76"/>
      <c r="K263" s="153"/>
    </row>
    <row r="264" spans="3:12" ht="15.75" thickBot="1">
      <c r="C264" s="177"/>
      <c r="D264" s="31"/>
      <c r="E264" s="93"/>
      <c r="F264" s="93"/>
      <c r="G264" s="93"/>
      <c r="H264" s="76"/>
      <c r="I264" s="76"/>
      <c r="J264" s="76"/>
      <c r="K264" s="153"/>
    </row>
    <row r="265" spans="3:12" ht="30.75" thickBot="1">
      <c r="C265" s="134" t="s">
        <v>44</v>
      </c>
      <c r="D265" s="138" t="s">
        <v>55</v>
      </c>
      <c r="E265" s="170" t="s">
        <v>56</v>
      </c>
      <c r="F265" s="138" t="s">
        <v>57</v>
      </c>
      <c r="G265" s="135" t="s">
        <v>27</v>
      </c>
      <c r="H265" s="133" t="s">
        <v>131</v>
      </c>
      <c r="I265" s="136" t="s">
        <v>46</v>
      </c>
      <c r="J265" s="136" t="s">
        <v>132</v>
      </c>
      <c r="K265" s="136" t="s">
        <v>410</v>
      </c>
      <c r="L265" s="136" t="s">
        <v>411</v>
      </c>
    </row>
    <row r="266" spans="3:12" ht="15.75" thickBot="1">
      <c r="C266" s="137" t="s">
        <v>482</v>
      </c>
      <c r="D266" s="199"/>
      <c r="E266" s="152">
        <v>12</v>
      </c>
      <c r="F266" s="305">
        <f>HLOOKUP($C266,$BZ$2:$CM$3,2,0)</f>
        <v>43674.39</v>
      </c>
      <c r="G266" s="113">
        <f>D266*E266*F266</f>
        <v>0</v>
      </c>
      <c r="H266" s="166"/>
      <c r="I266" s="114" t="s">
        <v>496</v>
      </c>
      <c r="J266" s="114" t="str">
        <f>VLOOKUP(I266,Presupuesto!$B$11:$C$565,2,0)</f>
        <v>SUELDOS Y SALARIOS PERMANENTES</v>
      </c>
      <c r="K266" s="219" t="s">
        <v>1453</v>
      </c>
      <c r="L266" s="98" t="s">
        <v>394</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ref="K267:K298" si="8">$K$266</f>
        <v>Posgrado</v>
      </c>
      <c r="L267" s="98" t="s">
        <v>412</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c r="C269" s="137" t="s">
        <v>483</v>
      </c>
      <c r="D269" s="199"/>
      <c r="E269" s="152">
        <v>12</v>
      </c>
      <c r="F269" s="305">
        <f>HLOOKUP($C269,$BZ$2:$CM$3,2,0)</f>
        <v>39703.99</v>
      </c>
      <c r="G269" s="113">
        <f>D269*E269*F269</f>
        <v>0</v>
      </c>
      <c r="H269" s="166"/>
      <c r="I269" s="114" t="s">
        <v>496</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c r="C272" s="137" t="s">
        <v>484</v>
      </c>
      <c r="D272" s="199"/>
      <c r="E272" s="152">
        <v>12</v>
      </c>
      <c r="F272" s="305">
        <f>HLOOKUP($C272,$BZ$2:$CM$3,2,0)</f>
        <v>35733.589999999997</v>
      </c>
      <c r="G272" s="113">
        <f>D272*E272*F272</f>
        <v>0</v>
      </c>
      <c r="H272" s="166"/>
      <c r="I272" s="114" t="s">
        <v>496</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c r="C275" s="137" t="s">
        <v>485</v>
      </c>
      <c r="D275" s="199"/>
      <c r="E275" s="152">
        <v>12</v>
      </c>
      <c r="F275" s="305">
        <f>HLOOKUP($C275,$BZ$2:$CM$3,2,0)</f>
        <v>31763.19</v>
      </c>
      <c r="G275" s="113">
        <f>D275*E275*F275</f>
        <v>0</v>
      </c>
      <c r="H275" s="166"/>
      <c r="I275" s="114" t="s">
        <v>496</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c r="C278" s="137" t="s">
        <v>486</v>
      </c>
      <c r="D278" s="199"/>
      <c r="E278" s="152">
        <v>12</v>
      </c>
      <c r="F278" s="305">
        <f>HLOOKUP($C278,$BZ$2:$CM$3,2,0)</f>
        <v>29777.99</v>
      </c>
      <c r="G278" s="113">
        <f>D278*E278*F278</f>
        <v>0</v>
      </c>
      <c r="H278" s="166"/>
      <c r="I278" s="114" t="s">
        <v>496</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c r="C281" s="137" t="s">
        <v>487</v>
      </c>
      <c r="D281" s="199"/>
      <c r="E281" s="152">
        <v>12</v>
      </c>
      <c r="F281" s="305">
        <f>HLOOKUP($C281,$BZ$2:$CM$3,2,0)</f>
        <v>27792.79</v>
      </c>
      <c r="G281" s="113">
        <f>D281*E281*F281</f>
        <v>0</v>
      </c>
      <c r="H281" s="166"/>
      <c r="I281" s="114" t="s">
        <v>496</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c r="C284" s="137" t="s">
        <v>488</v>
      </c>
      <c r="D284" s="199"/>
      <c r="E284" s="152">
        <v>12</v>
      </c>
      <c r="F284" s="305">
        <f>HLOOKUP($C284,$BZ$2:$CM$3,2,0)</f>
        <v>18859.39</v>
      </c>
      <c r="G284" s="113">
        <f>D284*E284*F284</f>
        <v>0</v>
      </c>
      <c r="H284" s="166"/>
      <c r="I284" s="114" t="s">
        <v>496</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c r="C287" s="137" t="s">
        <v>489</v>
      </c>
      <c r="D287" s="199"/>
      <c r="E287" s="152">
        <v>12</v>
      </c>
      <c r="F287" s="305">
        <f>HLOOKUP($C287,$BZ$2:$CM$3,2,0)</f>
        <v>17866.8</v>
      </c>
      <c r="G287" s="113">
        <f>D287*E287*F287</f>
        <v>0</v>
      </c>
      <c r="H287" s="166"/>
      <c r="I287" s="114" t="s">
        <v>496</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c r="C290" s="137" t="s">
        <v>490</v>
      </c>
      <c r="D290" s="199"/>
      <c r="E290" s="152">
        <v>12</v>
      </c>
      <c r="F290" s="305">
        <f>HLOOKUP($C290,$BZ$2:$CM$3,2,0)</f>
        <v>13896.4</v>
      </c>
      <c r="G290" s="113">
        <f>D290*E290*F290</f>
        <v>0</v>
      </c>
      <c r="H290" s="166"/>
      <c r="I290" s="114" t="s">
        <v>496</v>
      </c>
      <c r="J290" s="114" t="str">
        <f>VLOOKUP(I290,Presupuesto!$B$11:$C$565,2,0)</f>
        <v>SUELDOS Y SALARIOS PERMANENTES</v>
      </c>
      <c r="K290" s="98" t="str">
        <f t="shared" si="8"/>
        <v>Posgrado</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8"/>
        <v>Posgrado</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8"/>
        <v>Posgrado</v>
      </c>
      <c r="L292" s="98" t="s">
        <v>395</v>
      </c>
    </row>
    <row r="293" spans="3:12" ht="15.75" thickBot="1">
      <c r="C293" s="137" t="s">
        <v>491</v>
      </c>
      <c r="D293" s="199"/>
      <c r="E293" s="152">
        <v>12</v>
      </c>
      <c r="F293" s="305">
        <f>HLOOKUP($C293,$BZ$2:$CM$3,2,0)</f>
        <v>15004.09</v>
      </c>
      <c r="G293" s="113">
        <f>D293*E293*F293</f>
        <v>0</v>
      </c>
      <c r="H293" s="166"/>
      <c r="I293" s="114" t="s">
        <v>496</v>
      </c>
      <c r="J293" s="114" t="str">
        <f>VLOOKUP(I293,Presupuesto!$B$11:$C$565,2,0)</f>
        <v>SUELDOS Y SALARIOS PERMANENTES</v>
      </c>
      <c r="K293" s="98" t="str">
        <f t="shared" si="8"/>
        <v>Posgrado</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8"/>
        <v>Posgrado</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8"/>
        <v>Posgrado</v>
      </c>
      <c r="L295" s="98" t="s">
        <v>395</v>
      </c>
    </row>
    <row r="296" spans="3:12" ht="15.75" thickBot="1">
      <c r="C296" s="137" t="s">
        <v>492</v>
      </c>
      <c r="D296" s="199"/>
      <c r="E296" s="152">
        <v>12</v>
      </c>
      <c r="F296" s="305">
        <f>HLOOKUP($C296,$BZ$2:$CM$3,2,0)</f>
        <v>13238.9</v>
      </c>
      <c r="G296" s="113">
        <f>D296*E296*F296</f>
        <v>0</v>
      </c>
      <c r="H296" s="166"/>
      <c r="I296" s="114" t="s">
        <v>496</v>
      </c>
      <c r="J296" s="114" t="str">
        <f>VLOOKUP(I296,Presupuesto!$B$11:$C$565,2,0)</f>
        <v>SUELDOS Y SALARIOS PERMANENTES</v>
      </c>
      <c r="K296" s="98" t="str">
        <f t="shared" si="8"/>
        <v>Posgrado</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8"/>
        <v>Posgrado</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8"/>
        <v>Posgrado</v>
      </c>
      <c r="L298" s="98" t="s">
        <v>395</v>
      </c>
    </row>
    <row r="299" spans="3:12" ht="15.75" thickBot="1">
      <c r="C299" s="137" t="s">
        <v>493</v>
      </c>
      <c r="D299" s="199"/>
      <c r="E299" s="152">
        <v>12</v>
      </c>
      <c r="F299" s="305">
        <f>HLOOKUP($C299,$BZ$2:$CM$3,2,0)</f>
        <v>12356.31</v>
      </c>
      <c r="G299" s="113">
        <f>D299*E299*F299</f>
        <v>0</v>
      </c>
      <c r="H299" s="166"/>
      <c r="I299" s="114" t="s">
        <v>496</v>
      </c>
      <c r="J299" s="114" t="str">
        <f>VLOOKUP(I299,Presupuesto!$B$11:$C$565,2,0)</f>
        <v>SUELDOS Y SALARIOS PERMANENTES</v>
      </c>
      <c r="K299" s="98" t="str">
        <f t="shared" ref="K299:K316" si="9">$K$266</f>
        <v>Posgrado</v>
      </c>
      <c r="L299" s="98" t="s">
        <v>395</v>
      </c>
    </row>
    <row r="300" spans="3:12">
      <c r="C300" s="171" t="s">
        <v>58</v>
      </c>
      <c r="D300" s="163"/>
      <c r="E300" s="154">
        <v>0</v>
      </c>
      <c r="F300" s="100">
        <f>IF(E299=0,"",(G299/E299)/12*E299)</f>
        <v>0</v>
      </c>
      <c r="G300" s="97">
        <f>F300</f>
        <v>0</v>
      </c>
      <c r="H300" s="164"/>
      <c r="I300" s="116" t="s">
        <v>516</v>
      </c>
      <c r="J300" s="116" t="str">
        <f>VLOOKUP(I300,Presupuesto!$B$11:$C$565,2,0)</f>
        <v>AGUINALDO Y DECIMO CUARTO MES</v>
      </c>
      <c r="K300" s="98" t="str">
        <f t="shared" si="9"/>
        <v>Posgrado</v>
      </c>
      <c r="L300" s="98" t="s">
        <v>395</v>
      </c>
    </row>
    <row r="301" spans="3:12" ht="15.75" thickBot="1">
      <c r="C301" s="172" t="s">
        <v>59</v>
      </c>
      <c r="D301" s="163"/>
      <c r="E301" s="154">
        <v>0</v>
      </c>
      <c r="F301" s="117">
        <f>IF(E299&lt;6,"",((E299-6)/12)*(G299/E299))</f>
        <v>0</v>
      </c>
      <c r="G301" s="97">
        <f>F301</f>
        <v>0</v>
      </c>
      <c r="H301" s="164"/>
      <c r="I301" s="101" t="s">
        <v>519</v>
      </c>
      <c r="J301" s="101" t="str">
        <f>VLOOKUP(I301,Presupuesto!$B$11:$C$565,2,0)</f>
        <v>DECIMOCUARTO MES</v>
      </c>
      <c r="K301" s="98" t="str">
        <f t="shared" si="9"/>
        <v>Posgrado</v>
      </c>
      <c r="L301" s="98" t="s">
        <v>395</v>
      </c>
    </row>
    <row r="302" spans="3:12" ht="15.75" thickBot="1">
      <c r="C302" s="137" t="s">
        <v>494</v>
      </c>
      <c r="D302" s="199"/>
      <c r="E302" s="152">
        <v>12</v>
      </c>
      <c r="F302" s="305">
        <f>HLOOKUP($C302,$BZ$2:$CM$3,2,0)</f>
        <v>463.22</v>
      </c>
      <c r="G302" s="113">
        <f>D302*E302*F302</f>
        <v>0</v>
      </c>
      <c r="H302" s="166"/>
      <c r="I302" s="114" t="s">
        <v>496</v>
      </c>
      <c r="J302" s="114" t="str">
        <f>VLOOKUP(I302,Presupuesto!$B$11:$C$565,2,0)</f>
        <v>SUELDOS Y SALARIOS PERMANENTES</v>
      </c>
      <c r="K302" s="98" t="str">
        <f t="shared" si="9"/>
        <v>Posgrado</v>
      </c>
      <c r="L302" s="98" t="s">
        <v>395</v>
      </c>
    </row>
    <row r="303" spans="3:12">
      <c r="C303" s="171" t="s">
        <v>58</v>
      </c>
      <c r="D303" s="163"/>
      <c r="E303" s="154">
        <v>0</v>
      </c>
      <c r="F303" s="100">
        <f>IF(E302=0,"",(G302/E302)/12*E302)</f>
        <v>0</v>
      </c>
      <c r="G303" s="97">
        <f>F303</f>
        <v>0</v>
      </c>
      <c r="H303" s="164"/>
      <c r="I303" s="116" t="s">
        <v>516</v>
      </c>
      <c r="J303" s="116" t="str">
        <f>VLOOKUP(I303,Presupuesto!$B$11:$C$565,2,0)</f>
        <v>AGUINALDO Y DECIMO CUARTO MES</v>
      </c>
      <c r="K303" s="98" t="str">
        <f t="shared" si="9"/>
        <v>Posgrado</v>
      </c>
      <c r="L303" s="98" t="s">
        <v>395</v>
      </c>
    </row>
    <row r="304" spans="3:12" ht="15.75" thickBot="1">
      <c r="C304" s="172" t="s">
        <v>59</v>
      </c>
      <c r="D304" s="163"/>
      <c r="E304" s="154">
        <v>0</v>
      </c>
      <c r="F304" s="117">
        <f>IF(E302&lt;6,"",((E302-6)/12)*(G302/E302))</f>
        <v>0</v>
      </c>
      <c r="G304" s="97">
        <f>F304</f>
        <v>0</v>
      </c>
      <c r="H304" s="164"/>
      <c r="I304" s="101" t="s">
        <v>519</v>
      </c>
      <c r="J304" s="101" t="str">
        <f>VLOOKUP(I304,Presupuesto!$B$11:$C$565,2,0)</f>
        <v>DECIMOCUARTO MES</v>
      </c>
      <c r="K304" s="98" t="str">
        <f t="shared" si="9"/>
        <v>Posgrado</v>
      </c>
      <c r="L304" s="98" t="s">
        <v>395</v>
      </c>
    </row>
    <row r="305" spans="3:12" ht="15.75" thickBot="1">
      <c r="C305" s="137" t="s">
        <v>495</v>
      </c>
      <c r="D305" s="199"/>
      <c r="E305" s="152">
        <v>12</v>
      </c>
      <c r="F305" s="305">
        <f>HLOOKUP($C305,$BZ$2:$CM$3,2,0)</f>
        <v>2007.3</v>
      </c>
      <c r="G305" s="113">
        <f>D305*E305*F305</f>
        <v>0</v>
      </c>
      <c r="H305" s="166"/>
      <c r="I305" s="114" t="s">
        <v>496</v>
      </c>
      <c r="J305" s="114" t="str">
        <f>VLOOKUP(I305,Presupuesto!$B$11:$C$565,2,0)</f>
        <v>SUELDOS Y SALARIOS PERMANENTES</v>
      </c>
      <c r="K305" s="98" t="str">
        <f t="shared" si="9"/>
        <v>Posgrado</v>
      </c>
      <c r="L305" s="98" t="s">
        <v>395</v>
      </c>
    </row>
    <row r="306" spans="3:12">
      <c r="C306" s="171" t="s">
        <v>58</v>
      </c>
      <c r="D306" s="163"/>
      <c r="E306" s="154">
        <v>0</v>
      </c>
      <c r="F306" s="100">
        <f>IF(E305=0,"",(G305/E305)/12*E305)</f>
        <v>0</v>
      </c>
      <c r="G306" s="97">
        <f>F306</f>
        <v>0</v>
      </c>
      <c r="H306" s="164"/>
      <c r="I306" s="116" t="s">
        <v>516</v>
      </c>
      <c r="J306" s="116" t="str">
        <f>VLOOKUP(I306,Presupuesto!$B$11:$C$565,2,0)</f>
        <v>AGUINALDO Y DECIMO CUARTO MES</v>
      </c>
      <c r="K306" s="98" t="str">
        <f t="shared" si="9"/>
        <v>Posgrado</v>
      </c>
      <c r="L306" s="98" t="s">
        <v>395</v>
      </c>
    </row>
    <row r="307" spans="3:12" ht="15.75" thickBot="1">
      <c r="C307" s="172" t="s">
        <v>59</v>
      </c>
      <c r="D307" s="163"/>
      <c r="E307" s="154">
        <v>0</v>
      </c>
      <c r="F307" s="117">
        <f>IF(E305&lt;6,"",((E305-6)/12)*(G305/E305))</f>
        <v>0</v>
      </c>
      <c r="G307" s="97">
        <f>F307</f>
        <v>0</v>
      </c>
      <c r="H307" s="164"/>
      <c r="I307" s="101" t="s">
        <v>519</v>
      </c>
      <c r="J307" s="101" t="str">
        <f>VLOOKUP(I307,Presupuesto!$B$11:$C$565,2,0)</f>
        <v>DECIMOCUARTO MES</v>
      </c>
      <c r="K307" s="98" t="str">
        <f t="shared" si="9"/>
        <v>Posgrado</v>
      </c>
      <c r="L307" s="98" t="s">
        <v>395</v>
      </c>
    </row>
    <row r="308" spans="3:12" ht="15.75" thickBot="1">
      <c r="C308" s="140" t="s">
        <v>83</v>
      </c>
      <c r="D308" s="199"/>
      <c r="E308" s="152">
        <v>12</v>
      </c>
      <c r="F308" s="139">
        <v>30000</v>
      </c>
      <c r="G308" s="113">
        <f>D308*E308*F308</f>
        <v>0</v>
      </c>
      <c r="H308" s="166"/>
      <c r="I308" s="114" t="s">
        <v>564</v>
      </c>
      <c r="J308" s="114" t="str">
        <f>VLOOKUP(I308,Presupuesto!$B$11:$C$565,2,0)</f>
        <v>CONTRATOS ESPECIALES</v>
      </c>
      <c r="K308" s="98" t="str">
        <f t="shared" si="9"/>
        <v>Posgrado</v>
      </c>
      <c r="L308" s="98" t="s">
        <v>395</v>
      </c>
    </row>
    <row r="309" spans="3:12">
      <c r="C309" s="171" t="s">
        <v>58</v>
      </c>
      <c r="D309" s="163"/>
      <c r="E309" s="154">
        <v>0</v>
      </c>
      <c r="F309" s="117">
        <f>IF(E308=0,"",(G308/E308)/12*E308)</f>
        <v>0</v>
      </c>
      <c r="G309" s="97">
        <f>F309</f>
        <v>0</v>
      </c>
      <c r="H309" s="164"/>
      <c r="I309" s="101" t="s">
        <v>564</v>
      </c>
      <c r="J309" s="101" t="str">
        <f>VLOOKUP(I309,Presupuesto!$B$11:$C$565,2,0)</f>
        <v>CONTRATOS ESPECIALES</v>
      </c>
      <c r="K309" s="98" t="str">
        <f t="shared" si="9"/>
        <v>Posgrado</v>
      </c>
      <c r="L309" s="98" t="s">
        <v>394</v>
      </c>
    </row>
    <row r="310" spans="3:12" ht="15.75" thickBot="1">
      <c r="C310" s="172" t="s">
        <v>59</v>
      </c>
      <c r="D310" s="163"/>
      <c r="E310" s="154">
        <v>0</v>
      </c>
      <c r="F310" s="100">
        <f>IF(E308&lt;6,"",((E308-6)/12)*(G308/E308))</f>
        <v>0</v>
      </c>
      <c r="G310" s="97">
        <f>F310</f>
        <v>0</v>
      </c>
      <c r="H310" s="164"/>
      <c r="I310" s="101" t="s">
        <v>564</v>
      </c>
      <c r="J310" s="101" t="str">
        <f>VLOOKUP(I310,Presupuesto!$B$11:$C$565,2,0)</f>
        <v>CONTRATOS ESPECIALES</v>
      </c>
      <c r="K310" s="98" t="str">
        <f t="shared" si="9"/>
        <v>Posgrado</v>
      </c>
      <c r="L310" s="98" t="s">
        <v>399</v>
      </c>
    </row>
    <row r="311" spans="3:12" ht="15.75" thickBot="1">
      <c r="C311" s="140" t="s">
        <v>60</v>
      </c>
      <c r="D311" s="199"/>
      <c r="E311" s="152">
        <v>12</v>
      </c>
      <c r="F311" s="118">
        <v>30000</v>
      </c>
      <c r="G311" s="113">
        <f>D311*E311*F311</f>
        <v>0</v>
      </c>
      <c r="H311" s="166"/>
      <c r="I311" s="114" t="s">
        <v>705</v>
      </c>
      <c r="J311" s="114" t="str">
        <f>VLOOKUP(I311,Presupuesto!$B$11:$C$565,2,0)</f>
        <v>OTROS SERVICIOS TECNICOS Y PROFESIONALES</v>
      </c>
      <c r="K311" s="98" t="str">
        <f t="shared" si="9"/>
        <v>Posgrado</v>
      </c>
      <c r="L311" s="98" t="s">
        <v>394</v>
      </c>
    </row>
    <row r="312" spans="3:12">
      <c r="C312" s="171" t="s">
        <v>58</v>
      </c>
      <c r="D312" s="163"/>
      <c r="E312" s="154">
        <v>0</v>
      </c>
      <c r="F312" s="100">
        <v>0</v>
      </c>
      <c r="G312" s="97">
        <f>F312</f>
        <v>0</v>
      </c>
      <c r="H312" s="164"/>
      <c r="I312" s="101" t="s">
        <v>705</v>
      </c>
      <c r="J312" s="101" t="str">
        <f>VLOOKUP(I312,Presupuesto!$B$11:$C$565,2,0)</f>
        <v>OTROS SERVICIOS TECNICOS Y PROFESIONALES</v>
      </c>
      <c r="K312" s="98" t="str">
        <f t="shared" si="9"/>
        <v>Posgrado</v>
      </c>
      <c r="L312" s="98" t="s">
        <v>394</v>
      </c>
    </row>
    <row r="313" spans="3:12" ht="15.75" thickBot="1">
      <c r="C313" s="172" t="s">
        <v>59</v>
      </c>
      <c r="D313" s="163"/>
      <c r="E313" s="154">
        <v>0</v>
      </c>
      <c r="F313" s="100">
        <v>0</v>
      </c>
      <c r="G313" s="97">
        <f>F313</f>
        <v>0</v>
      </c>
      <c r="H313" s="164"/>
      <c r="I313" s="101" t="s">
        <v>705</v>
      </c>
      <c r="J313" s="101" t="str">
        <f>VLOOKUP(I313,Presupuesto!$B$11:$C$565,2,0)</f>
        <v>OTROS SERVICIOS TECNICOS Y PROFESIONALES</v>
      </c>
      <c r="K313" s="98" t="str">
        <f t="shared" si="9"/>
        <v>Posgrado</v>
      </c>
      <c r="L313" s="98" t="s">
        <v>394</v>
      </c>
    </row>
    <row r="314" spans="3:12" ht="15.75" thickBot="1">
      <c r="C314" s="140" t="s">
        <v>61</v>
      </c>
      <c r="D314" s="199"/>
      <c r="E314" s="152">
        <v>12</v>
      </c>
      <c r="F314" s="118">
        <v>30000</v>
      </c>
      <c r="G314" s="113">
        <f>D314*E314*F314</f>
        <v>0</v>
      </c>
      <c r="H314" s="166"/>
      <c r="I314" s="114" t="s">
        <v>496</v>
      </c>
      <c r="J314" s="114" t="str">
        <f>VLOOKUP(I314,Presupuesto!$B$11:$C$565,2,0)</f>
        <v>SUELDOS Y SALARIOS PERMANENTES</v>
      </c>
      <c r="K314" s="98" t="str">
        <f t="shared" si="9"/>
        <v>Posgrado</v>
      </c>
      <c r="L314" s="98" t="s">
        <v>394</v>
      </c>
    </row>
    <row r="315" spans="3:12">
      <c r="C315" s="171" t="s">
        <v>58</v>
      </c>
      <c r="D315" s="169"/>
      <c r="E315" s="131">
        <v>0</v>
      </c>
      <c r="F315" s="119">
        <f>IF(E314=0,"",(G314/E314)/12*E314)</f>
        <v>0</v>
      </c>
      <c r="G315" s="120">
        <f>F315</f>
        <v>0</v>
      </c>
      <c r="H315" s="164"/>
      <c r="I315" s="101" t="s">
        <v>516</v>
      </c>
      <c r="J315" s="101" t="str">
        <f>VLOOKUP(I315,Presupuesto!$B$11:$C$565,2,0)</f>
        <v>AGUINALDO Y DECIMO CUARTO MES</v>
      </c>
      <c r="K315" s="98" t="str">
        <f t="shared" si="9"/>
        <v>Posgrado</v>
      </c>
      <c r="L315" s="98" t="s">
        <v>394</v>
      </c>
    </row>
    <row r="316" spans="3:12" ht="15.75" thickBot="1">
      <c r="C316" s="173" t="s">
        <v>59</v>
      </c>
      <c r="D316" s="162"/>
      <c r="E316" s="132">
        <v>0</v>
      </c>
      <c r="F316" s="105">
        <f>IF(E314&lt;6,"",((E314-6)/12)*(G314/E314))</f>
        <v>0</v>
      </c>
      <c r="G316" s="105">
        <f>F316</f>
        <v>0</v>
      </c>
      <c r="H316" s="162"/>
      <c r="I316" s="106" t="s">
        <v>519</v>
      </c>
      <c r="J316" s="124" t="str">
        <f>VLOOKUP(I316,Presupuesto!$B$11:$C$565,2,0)</f>
        <v>DECIMOCUARTO MES</v>
      </c>
      <c r="K316" s="106" t="str">
        <f t="shared" si="9"/>
        <v>Posgrado</v>
      </c>
      <c r="L316" s="124" t="s">
        <v>394</v>
      </c>
    </row>
    <row r="318" spans="3:12" ht="15.75" thickBot="1">
      <c r="K318" s="153"/>
    </row>
    <row r="319" spans="3:12" ht="15.75" thickBot="1">
      <c r="C319" s="69" t="s">
        <v>43</v>
      </c>
      <c r="D319" s="30">
        <f>SUM(G326:G376)</f>
        <v>0</v>
      </c>
      <c r="E319" s="93"/>
      <c r="F319" s="93"/>
      <c r="G319" s="93"/>
      <c r="H319" s="76"/>
      <c r="I319" s="76"/>
      <c r="J319" s="76"/>
      <c r="K319" s="153"/>
    </row>
    <row r="320" spans="3:12">
      <c r="D320" s="31"/>
      <c r="E320" s="93"/>
      <c r="F320" s="93"/>
      <c r="G320" s="93"/>
      <c r="H320" s="76"/>
      <c r="I320" s="76"/>
      <c r="J320" s="76"/>
      <c r="K320" s="153"/>
    </row>
    <row r="321" spans="3:12">
      <c r="D321" s="31"/>
      <c r="E321" s="93"/>
      <c r="F321" s="93"/>
      <c r="G321" s="93"/>
      <c r="H321" s="76"/>
      <c r="I321" s="76"/>
      <c r="J321" s="76"/>
      <c r="K321" s="153"/>
    </row>
    <row r="322" spans="3:12" ht="15.75">
      <c r="C322" s="202" t="s">
        <v>392</v>
      </c>
      <c r="D322" s="370"/>
      <c r="E322" s="93"/>
      <c r="F322" s="93"/>
      <c r="G322" s="93"/>
      <c r="H322" s="76"/>
      <c r="I322" s="76"/>
      <c r="J322" s="76"/>
      <c r="K322" s="153"/>
    </row>
    <row r="323" spans="3:12" ht="18.75">
      <c r="C323" s="211" t="e">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#N/A</v>
      </c>
      <c r="D323" s="31"/>
      <c r="E323" s="93"/>
      <c r="F323" s="93"/>
      <c r="G323" s="93"/>
      <c r="H323" s="76"/>
      <c r="I323" s="76"/>
      <c r="J323" s="76"/>
      <c r="K323" s="153"/>
    </row>
    <row r="324" spans="3:12" ht="15.75" thickBot="1">
      <c r="C324" s="177"/>
      <c r="D324" s="31"/>
      <c r="E324" s="93"/>
      <c r="F324" s="93"/>
      <c r="G324" s="93"/>
      <c r="H324" s="76"/>
      <c r="I324" s="76"/>
      <c r="J324" s="76"/>
      <c r="K324" s="153"/>
    </row>
    <row r="325" spans="3:12" ht="30.75" thickBot="1">
      <c r="C325" s="134" t="s">
        <v>44</v>
      </c>
      <c r="D325" s="138" t="s">
        <v>55</v>
      </c>
      <c r="E325" s="170" t="s">
        <v>56</v>
      </c>
      <c r="F325" s="138" t="s">
        <v>57</v>
      </c>
      <c r="G325" s="135" t="s">
        <v>27</v>
      </c>
      <c r="H325" s="133" t="s">
        <v>131</v>
      </c>
      <c r="I325" s="136" t="s">
        <v>46</v>
      </c>
      <c r="J325" s="136" t="s">
        <v>132</v>
      </c>
      <c r="K325" s="136" t="s">
        <v>410</v>
      </c>
      <c r="L325" s="136" t="s">
        <v>411</v>
      </c>
    </row>
    <row r="326" spans="3:12" ht="15.75" thickBot="1">
      <c r="C326" s="137" t="s">
        <v>482</v>
      </c>
      <c r="D326" s="199"/>
      <c r="E326" s="152">
        <v>12</v>
      </c>
      <c r="F326" s="305">
        <f>HLOOKUP($C326,$BZ$2:$CM$3,2,0)</f>
        <v>43674.39</v>
      </c>
      <c r="G326" s="113">
        <f>D326*E326*F326</f>
        <v>0</v>
      </c>
      <c r="H326" s="166"/>
      <c r="I326" s="114" t="s">
        <v>496</v>
      </c>
      <c r="J326" s="114" t="str">
        <f>VLOOKUP(I326,Presupuesto!$B$11:$C$565,2,0)</f>
        <v>SUELDOS Y SALARIOS PERMANENTES</v>
      </c>
      <c r="K326" s="219" t="s">
        <v>1453</v>
      </c>
      <c r="L326" s="98" t="s">
        <v>394</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ref="K327:K358" si="10">$K$326</f>
        <v>Posgrado</v>
      </c>
      <c r="L327" s="98" t="s">
        <v>412</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c r="C329" s="137" t="s">
        <v>483</v>
      </c>
      <c r="D329" s="199"/>
      <c r="E329" s="152">
        <v>12</v>
      </c>
      <c r="F329" s="305">
        <f>HLOOKUP($C329,$BZ$2:$CM$3,2,0)</f>
        <v>39703.99</v>
      </c>
      <c r="G329" s="113">
        <f>D329*E329*F329</f>
        <v>0</v>
      </c>
      <c r="H329" s="166"/>
      <c r="I329" s="114" t="s">
        <v>496</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c r="C332" s="137" t="s">
        <v>484</v>
      </c>
      <c r="D332" s="199"/>
      <c r="E332" s="152">
        <v>12</v>
      </c>
      <c r="F332" s="305">
        <f>HLOOKUP($C332,$BZ$2:$CM$3,2,0)</f>
        <v>35733.589999999997</v>
      </c>
      <c r="G332" s="113">
        <f>D332*E332*F332</f>
        <v>0</v>
      </c>
      <c r="H332" s="166"/>
      <c r="I332" s="114" t="s">
        <v>496</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c r="C335" s="137" t="s">
        <v>485</v>
      </c>
      <c r="D335" s="199"/>
      <c r="E335" s="152">
        <v>12</v>
      </c>
      <c r="F335" s="305">
        <f>HLOOKUP($C335,$BZ$2:$CM$3,2,0)</f>
        <v>31763.19</v>
      </c>
      <c r="G335" s="113">
        <f>D335*E335*F335</f>
        <v>0</v>
      </c>
      <c r="H335" s="166"/>
      <c r="I335" s="114" t="s">
        <v>496</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c r="C338" s="137" t="s">
        <v>486</v>
      </c>
      <c r="D338" s="199"/>
      <c r="E338" s="152">
        <v>12</v>
      </c>
      <c r="F338" s="305">
        <f>HLOOKUP($C338,$BZ$2:$CM$3,2,0)</f>
        <v>29777.99</v>
      </c>
      <c r="G338" s="113">
        <f>D338*E338*F338</f>
        <v>0</v>
      </c>
      <c r="H338" s="166"/>
      <c r="I338" s="114" t="s">
        <v>496</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c r="C341" s="137" t="s">
        <v>487</v>
      </c>
      <c r="D341" s="199"/>
      <c r="E341" s="152">
        <v>12</v>
      </c>
      <c r="F341" s="305">
        <f>HLOOKUP($C341,$BZ$2:$CM$3,2,0)</f>
        <v>27792.79</v>
      </c>
      <c r="G341" s="113">
        <f>D341*E341*F341</f>
        <v>0</v>
      </c>
      <c r="H341" s="166"/>
      <c r="I341" s="114" t="s">
        <v>496</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c r="C344" s="137" t="s">
        <v>488</v>
      </c>
      <c r="D344" s="199"/>
      <c r="E344" s="152">
        <v>12</v>
      </c>
      <c r="F344" s="305">
        <f>HLOOKUP($C344,$BZ$2:$CM$3,2,0)</f>
        <v>18859.39</v>
      </c>
      <c r="G344" s="113">
        <f>D344*E344*F344</f>
        <v>0</v>
      </c>
      <c r="H344" s="166"/>
      <c r="I344" s="114" t="s">
        <v>496</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c r="C347" s="137" t="s">
        <v>489</v>
      </c>
      <c r="D347" s="199"/>
      <c r="E347" s="152">
        <v>12</v>
      </c>
      <c r="F347" s="305">
        <f>HLOOKUP($C347,$BZ$2:$CM$3,2,0)</f>
        <v>17866.8</v>
      </c>
      <c r="G347" s="113">
        <f>D347*E347*F347</f>
        <v>0</v>
      </c>
      <c r="H347" s="166"/>
      <c r="I347" s="114" t="s">
        <v>496</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c r="C350" s="137" t="s">
        <v>490</v>
      </c>
      <c r="D350" s="199"/>
      <c r="E350" s="152">
        <v>12</v>
      </c>
      <c r="F350" s="305">
        <f>HLOOKUP($C350,$BZ$2:$CM$3,2,0)</f>
        <v>13896.4</v>
      </c>
      <c r="G350" s="113">
        <f>D350*E350*F350</f>
        <v>0</v>
      </c>
      <c r="H350" s="166"/>
      <c r="I350" s="114" t="s">
        <v>496</v>
      </c>
      <c r="J350" s="114" t="str">
        <f>VLOOKUP(I350,Presupuesto!$B$11:$C$565,2,0)</f>
        <v>SUELDOS Y SALARIOS PERMANENTES</v>
      </c>
      <c r="K350" s="98" t="str">
        <f t="shared" si="10"/>
        <v>Posgrado</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0"/>
        <v>Posgrado</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0"/>
        <v>Posgrado</v>
      </c>
      <c r="L352" s="98" t="s">
        <v>395</v>
      </c>
    </row>
    <row r="353" spans="3:12" ht="15.75" thickBot="1">
      <c r="C353" s="137" t="s">
        <v>491</v>
      </c>
      <c r="D353" s="199"/>
      <c r="E353" s="152">
        <v>12</v>
      </c>
      <c r="F353" s="305">
        <f>HLOOKUP($C353,$BZ$2:$CM$3,2,0)</f>
        <v>15004.09</v>
      </c>
      <c r="G353" s="113">
        <f>D353*E353*F353</f>
        <v>0</v>
      </c>
      <c r="H353" s="166"/>
      <c r="I353" s="114" t="s">
        <v>496</v>
      </c>
      <c r="J353" s="114" t="str">
        <f>VLOOKUP(I353,Presupuesto!$B$11:$C$565,2,0)</f>
        <v>SUELDOS Y SALARIOS PERMANENTES</v>
      </c>
      <c r="K353" s="98" t="str">
        <f t="shared" si="10"/>
        <v>Posgrado</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0"/>
        <v>Posgrado</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0"/>
        <v>Posgrado</v>
      </c>
      <c r="L355" s="98" t="s">
        <v>395</v>
      </c>
    </row>
    <row r="356" spans="3:12" ht="15.75" thickBot="1">
      <c r="C356" s="137" t="s">
        <v>492</v>
      </c>
      <c r="D356" s="199"/>
      <c r="E356" s="152">
        <v>12</v>
      </c>
      <c r="F356" s="305">
        <f>HLOOKUP($C356,$BZ$2:$CM$3,2,0)</f>
        <v>13238.9</v>
      </c>
      <c r="G356" s="113">
        <f>D356*E356*F356</f>
        <v>0</v>
      </c>
      <c r="H356" s="166"/>
      <c r="I356" s="114" t="s">
        <v>496</v>
      </c>
      <c r="J356" s="114" t="str">
        <f>VLOOKUP(I356,Presupuesto!$B$11:$C$565,2,0)</f>
        <v>SUELDOS Y SALARIOS PERMANENTES</v>
      </c>
      <c r="K356" s="98" t="str">
        <f t="shared" si="10"/>
        <v>Posgrado</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0"/>
        <v>Posgrado</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0"/>
        <v>Posgrado</v>
      </c>
      <c r="L358" s="98" t="s">
        <v>395</v>
      </c>
    </row>
    <row r="359" spans="3:12" ht="15.75" thickBot="1">
      <c r="C359" s="137" t="s">
        <v>493</v>
      </c>
      <c r="D359" s="199"/>
      <c r="E359" s="152">
        <v>12</v>
      </c>
      <c r="F359" s="305">
        <f>HLOOKUP($C359,$BZ$2:$CM$3,2,0)</f>
        <v>12356.31</v>
      </c>
      <c r="G359" s="113">
        <f>D359*E359*F359</f>
        <v>0</v>
      </c>
      <c r="H359" s="166"/>
      <c r="I359" s="114" t="s">
        <v>496</v>
      </c>
      <c r="J359" s="114" t="str">
        <f>VLOOKUP(I359,Presupuesto!$B$11:$C$565,2,0)</f>
        <v>SUELDOS Y SALARIOS PERMANENTES</v>
      </c>
      <c r="K359" s="98" t="str">
        <f t="shared" ref="K359:K376" si="11">$K$326</f>
        <v>Posgrado</v>
      </c>
      <c r="L359" s="98" t="s">
        <v>395</v>
      </c>
    </row>
    <row r="360" spans="3:12">
      <c r="C360" s="171" t="s">
        <v>58</v>
      </c>
      <c r="D360" s="163"/>
      <c r="E360" s="154">
        <v>0</v>
      </c>
      <c r="F360" s="100">
        <f>IF(E359=0,"",(G359/E359)/12*E359)</f>
        <v>0</v>
      </c>
      <c r="G360" s="97">
        <f>F360</f>
        <v>0</v>
      </c>
      <c r="H360" s="164"/>
      <c r="I360" s="116" t="s">
        <v>516</v>
      </c>
      <c r="J360" s="116" t="str">
        <f>VLOOKUP(I360,Presupuesto!$B$11:$C$565,2,0)</f>
        <v>AGUINALDO Y DECIMO CUARTO MES</v>
      </c>
      <c r="K360" s="98" t="str">
        <f t="shared" si="11"/>
        <v>Posgrado</v>
      </c>
      <c r="L360" s="98" t="s">
        <v>395</v>
      </c>
    </row>
    <row r="361" spans="3:12" ht="15.75" thickBot="1">
      <c r="C361" s="172" t="s">
        <v>59</v>
      </c>
      <c r="D361" s="163"/>
      <c r="E361" s="154">
        <v>0</v>
      </c>
      <c r="F361" s="117">
        <f>IF(E359&lt;6,"",((E359-6)/12)*(G359/E359))</f>
        <v>0</v>
      </c>
      <c r="G361" s="97">
        <f>F361</f>
        <v>0</v>
      </c>
      <c r="H361" s="164"/>
      <c r="I361" s="101" t="s">
        <v>519</v>
      </c>
      <c r="J361" s="101" t="str">
        <f>VLOOKUP(I361,Presupuesto!$B$11:$C$565,2,0)</f>
        <v>DECIMOCUARTO MES</v>
      </c>
      <c r="K361" s="98" t="str">
        <f t="shared" si="11"/>
        <v>Posgrado</v>
      </c>
      <c r="L361" s="98" t="s">
        <v>395</v>
      </c>
    </row>
    <row r="362" spans="3:12" ht="15.75" thickBot="1">
      <c r="C362" s="137" t="s">
        <v>494</v>
      </c>
      <c r="D362" s="199"/>
      <c r="E362" s="152">
        <v>12</v>
      </c>
      <c r="F362" s="305">
        <f>HLOOKUP($C362,$BZ$2:$CM$3,2,0)</f>
        <v>463.22</v>
      </c>
      <c r="G362" s="113">
        <f>D362*E362*F362</f>
        <v>0</v>
      </c>
      <c r="H362" s="166"/>
      <c r="I362" s="114" t="s">
        <v>496</v>
      </c>
      <c r="J362" s="114" t="str">
        <f>VLOOKUP(I362,Presupuesto!$B$11:$C$565,2,0)</f>
        <v>SUELDOS Y SALARIOS PERMANENTES</v>
      </c>
      <c r="K362" s="98" t="str">
        <f t="shared" si="11"/>
        <v>Posgrado</v>
      </c>
      <c r="L362" s="98" t="s">
        <v>395</v>
      </c>
    </row>
    <row r="363" spans="3:12">
      <c r="C363" s="171" t="s">
        <v>58</v>
      </c>
      <c r="D363" s="163"/>
      <c r="E363" s="154">
        <v>0</v>
      </c>
      <c r="F363" s="100">
        <f>IF(E362=0,"",(G362/E362)/12*E362)</f>
        <v>0</v>
      </c>
      <c r="G363" s="97">
        <f>F363</f>
        <v>0</v>
      </c>
      <c r="H363" s="164"/>
      <c r="I363" s="116" t="s">
        <v>516</v>
      </c>
      <c r="J363" s="116" t="str">
        <f>VLOOKUP(I363,Presupuesto!$B$11:$C$565,2,0)</f>
        <v>AGUINALDO Y DECIMO CUARTO MES</v>
      </c>
      <c r="K363" s="98" t="str">
        <f t="shared" si="11"/>
        <v>Posgrado</v>
      </c>
      <c r="L363" s="98" t="s">
        <v>395</v>
      </c>
    </row>
    <row r="364" spans="3:12" ht="15.75" thickBot="1">
      <c r="C364" s="172" t="s">
        <v>59</v>
      </c>
      <c r="D364" s="163"/>
      <c r="E364" s="154">
        <v>0</v>
      </c>
      <c r="F364" s="117">
        <f>IF(E362&lt;6,"",((E362-6)/12)*(G362/E362))</f>
        <v>0</v>
      </c>
      <c r="G364" s="97">
        <f>F364</f>
        <v>0</v>
      </c>
      <c r="H364" s="164"/>
      <c r="I364" s="101" t="s">
        <v>519</v>
      </c>
      <c r="J364" s="101" t="str">
        <f>VLOOKUP(I364,Presupuesto!$B$11:$C$565,2,0)</f>
        <v>DECIMOCUARTO MES</v>
      </c>
      <c r="K364" s="98" t="str">
        <f t="shared" si="11"/>
        <v>Posgrado</v>
      </c>
      <c r="L364" s="98" t="s">
        <v>395</v>
      </c>
    </row>
    <row r="365" spans="3:12" ht="15.75" thickBot="1">
      <c r="C365" s="137" t="s">
        <v>495</v>
      </c>
      <c r="D365" s="199"/>
      <c r="E365" s="152">
        <v>12</v>
      </c>
      <c r="F365" s="305">
        <f>HLOOKUP($C365,$BZ$2:$CM$3,2,0)</f>
        <v>2007.3</v>
      </c>
      <c r="G365" s="113">
        <f>D365*E365*F365</f>
        <v>0</v>
      </c>
      <c r="H365" s="166"/>
      <c r="I365" s="114" t="s">
        <v>496</v>
      </c>
      <c r="J365" s="114" t="str">
        <f>VLOOKUP(I365,Presupuesto!$B$11:$C$565,2,0)</f>
        <v>SUELDOS Y SALARIOS PERMANENTES</v>
      </c>
      <c r="K365" s="98" t="str">
        <f t="shared" si="11"/>
        <v>Posgrado</v>
      </c>
      <c r="L365" s="98" t="s">
        <v>395</v>
      </c>
    </row>
    <row r="366" spans="3:12">
      <c r="C366" s="171" t="s">
        <v>58</v>
      </c>
      <c r="D366" s="163"/>
      <c r="E366" s="154">
        <v>0</v>
      </c>
      <c r="F366" s="100">
        <f>IF(E365=0,"",(G365/E365)/12*E365)</f>
        <v>0</v>
      </c>
      <c r="G366" s="97">
        <f>F366</f>
        <v>0</v>
      </c>
      <c r="H366" s="164"/>
      <c r="I366" s="116" t="s">
        <v>516</v>
      </c>
      <c r="J366" s="116" t="str">
        <f>VLOOKUP(I366,Presupuesto!$B$11:$C$565,2,0)</f>
        <v>AGUINALDO Y DECIMO CUARTO MES</v>
      </c>
      <c r="K366" s="98" t="str">
        <f t="shared" si="11"/>
        <v>Posgrado</v>
      </c>
      <c r="L366" s="98" t="s">
        <v>395</v>
      </c>
    </row>
    <row r="367" spans="3:12" ht="15.75" thickBot="1">
      <c r="C367" s="172" t="s">
        <v>59</v>
      </c>
      <c r="D367" s="163"/>
      <c r="E367" s="154">
        <v>0</v>
      </c>
      <c r="F367" s="117">
        <f>IF(E365&lt;6,"",((E365-6)/12)*(G365/E365))</f>
        <v>0</v>
      </c>
      <c r="G367" s="97">
        <f>F367</f>
        <v>0</v>
      </c>
      <c r="H367" s="164"/>
      <c r="I367" s="101" t="s">
        <v>519</v>
      </c>
      <c r="J367" s="101" t="str">
        <f>VLOOKUP(I367,Presupuesto!$B$11:$C$565,2,0)</f>
        <v>DECIMOCUARTO MES</v>
      </c>
      <c r="K367" s="98" t="str">
        <f t="shared" si="11"/>
        <v>Posgrado</v>
      </c>
      <c r="L367" s="98" t="s">
        <v>395</v>
      </c>
    </row>
    <row r="368" spans="3:12" ht="15.75" thickBot="1">
      <c r="C368" s="140" t="s">
        <v>83</v>
      </c>
      <c r="D368" s="199"/>
      <c r="E368" s="152">
        <v>12</v>
      </c>
      <c r="F368" s="139">
        <v>30000</v>
      </c>
      <c r="G368" s="113">
        <f>D368*E368*F368</f>
        <v>0</v>
      </c>
      <c r="H368" s="166"/>
      <c r="I368" s="114" t="s">
        <v>564</v>
      </c>
      <c r="J368" s="114" t="str">
        <f>VLOOKUP(I368,Presupuesto!$B$11:$C$565,2,0)</f>
        <v>CONTRATOS ESPECIALES</v>
      </c>
      <c r="K368" s="98" t="str">
        <f t="shared" si="11"/>
        <v>Posgrado</v>
      </c>
      <c r="L368" s="98" t="s">
        <v>395</v>
      </c>
    </row>
    <row r="369" spans="3:12">
      <c r="C369" s="171" t="s">
        <v>58</v>
      </c>
      <c r="D369" s="163"/>
      <c r="E369" s="154">
        <v>0</v>
      </c>
      <c r="F369" s="117">
        <f>IF(E368=0,"",(G368/E368)/12*E368)</f>
        <v>0</v>
      </c>
      <c r="G369" s="97">
        <f>F369</f>
        <v>0</v>
      </c>
      <c r="H369" s="164"/>
      <c r="I369" s="101" t="s">
        <v>564</v>
      </c>
      <c r="J369" s="101" t="str">
        <f>VLOOKUP(I369,Presupuesto!$B$11:$C$565,2,0)</f>
        <v>CONTRATOS ESPECIALES</v>
      </c>
      <c r="K369" s="98" t="str">
        <f t="shared" si="11"/>
        <v>Posgrado</v>
      </c>
      <c r="L369" s="98" t="s">
        <v>394</v>
      </c>
    </row>
    <row r="370" spans="3:12" ht="15.75" thickBot="1">
      <c r="C370" s="172" t="s">
        <v>59</v>
      </c>
      <c r="D370" s="163"/>
      <c r="E370" s="154">
        <v>0</v>
      </c>
      <c r="F370" s="100">
        <f>IF(E368&lt;6,"",((E368-6)/12)*(G368/E368))</f>
        <v>0</v>
      </c>
      <c r="G370" s="97">
        <f>F370</f>
        <v>0</v>
      </c>
      <c r="H370" s="164"/>
      <c r="I370" s="101" t="s">
        <v>564</v>
      </c>
      <c r="J370" s="101" t="str">
        <f>VLOOKUP(I370,Presupuesto!$B$11:$C$565,2,0)</f>
        <v>CONTRATOS ESPECIALES</v>
      </c>
      <c r="K370" s="98" t="str">
        <f t="shared" si="11"/>
        <v>Posgrado</v>
      </c>
      <c r="L370" s="98" t="s">
        <v>399</v>
      </c>
    </row>
    <row r="371" spans="3:12" ht="15.75" thickBot="1">
      <c r="C371" s="140" t="s">
        <v>60</v>
      </c>
      <c r="D371" s="199"/>
      <c r="E371" s="152">
        <v>12</v>
      </c>
      <c r="F371" s="118">
        <v>30000</v>
      </c>
      <c r="G371" s="113">
        <f>D371*E371*F371</f>
        <v>0</v>
      </c>
      <c r="H371" s="166"/>
      <c r="I371" s="114" t="s">
        <v>705</v>
      </c>
      <c r="J371" s="114" t="str">
        <f>VLOOKUP(I371,Presupuesto!$B$11:$C$565,2,0)</f>
        <v>OTROS SERVICIOS TECNICOS Y PROFESIONALES</v>
      </c>
      <c r="K371" s="98" t="str">
        <f t="shared" si="11"/>
        <v>Posgrado</v>
      </c>
      <c r="L371" s="98" t="s">
        <v>394</v>
      </c>
    </row>
    <row r="372" spans="3:12">
      <c r="C372" s="171" t="s">
        <v>58</v>
      </c>
      <c r="D372" s="163"/>
      <c r="E372" s="154">
        <v>0</v>
      </c>
      <c r="F372" s="100">
        <v>0</v>
      </c>
      <c r="G372" s="97">
        <f>F372</f>
        <v>0</v>
      </c>
      <c r="H372" s="164"/>
      <c r="I372" s="101" t="s">
        <v>705</v>
      </c>
      <c r="J372" s="101" t="str">
        <f>VLOOKUP(I372,Presupuesto!$B$11:$C$565,2,0)</f>
        <v>OTROS SERVICIOS TECNICOS Y PROFESIONALES</v>
      </c>
      <c r="K372" s="98" t="str">
        <f t="shared" si="11"/>
        <v>Posgrado</v>
      </c>
      <c r="L372" s="98" t="s">
        <v>394</v>
      </c>
    </row>
    <row r="373" spans="3:12" ht="15.75" thickBot="1">
      <c r="C373" s="172" t="s">
        <v>59</v>
      </c>
      <c r="D373" s="163"/>
      <c r="E373" s="154">
        <v>0</v>
      </c>
      <c r="F373" s="100">
        <v>0</v>
      </c>
      <c r="G373" s="97">
        <f>F373</f>
        <v>0</v>
      </c>
      <c r="H373" s="164"/>
      <c r="I373" s="101" t="s">
        <v>705</v>
      </c>
      <c r="J373" s="101" t="str">
        <f>VLOOKUP(I373,Presupuesto!$B$11:$C$565,2,0)</f>
        <v>OTROS SERVICIOS TECNICOS Y PROFESIONALES</v>
      </c>
      <c r="K373" s="98" t="str">
        <f t="shared" si="11"/>
        <v>Posgrado</v>
      </c>
      <c r="L373" s="98" t="s">
        <v>394</v>
      </c>
    </row>
    <row r="374" spans="3:12" ht="15.75" thickBot="1">
      <c r="C374" s="140" t="s">
        <v>61</v>
      </c>
      <c r="D374" s="199"/>
      <c r="E374" s="152">
        <v>12</v>
      </c>
      <c r="F374" s="118">
        <v>30000</v>
      </c>
      <c r="G374" s="113">
        <f>D374*E374*F374</f>
        <v>0</v>
      </c>
      <c r="H374" s="166"/>
      <c r="I374" s="114" t="s">
        <v>496</v>
      </c>
      <c r="J374" s="114" t="str">
        <f>VLOOKUP(I374,Presupuesto!$B$11:$C$565,2,0)</f>
        <v>SUELDOS Y SALARIOS PERMANENTES</v>
      </c>
      <c r="K374" s="98" t="str">
        <f t="shared" si="11"/>
        <v>Posgrado</v>
      </c>
      <c r="L374" s="98" t="s">
        <v>394</v>
      </c>
    </row>
    <row r="375" spans="3:12">
      <c r="C375" s="171" t="s">
        <v>58</v>
      </c>
      <c r="D375" s="169"/>
      <c r="E375" s="131">
        <v>0</v>
      </c>
      <c r="F375" s="119">
        <f>IF(E374=0,"",(G374/E374)/12*E374)</f>
        <v>0</v>
      </c>
      <c r="G375" s="120">
        <f>F375</f>
        <v>0</v>
      </c>
      <c r="H375" s="164"/>
      <c r="I375" s="101" t="s">
        <v>516</v>
      </c>
      <c r="J375" s="101" t="str">
        <f>VLOOKUP(I375,Presupuesto!$B$11:$C$565,2,0)</f>
        <v>AGUINALDO Y DECIMO CUARTO MES</v>
      </c>
      <c r="K375" s="98" t="str">
        <f t="shared" si="11"/>
        <v>Posgrado</v>
      </c>
      <c r="L375" s="98" t="s">
        <v>394</v>
      </c>
    </row>
    <row r="376" spans="3:12" ht="15.75" thickBot="1">
      <c r="C376" s="173" t="s">
        <v>59</v>
      </c>
      <c r="D376" s="162"/>
      <c r="E376" s="132">
        <v>0</v>
      </c>
      <c r="F376" s="105">
        <f>IF(E374&lt;6,"",((E374-6)/12)*(G374/E374))</f>
        <v>0</v>
      </c>
      <c r="G376" s="105">
        <f>F376</f>
        <v>0</v>
      </c>
      <c r="H376" s="162"/>
      <c r="I376" s="106" t="s">
        <v>519</v>
      </c>
      <c r="J376" s="124" t="str">
        <f>VLOOKUP(I376,Presupuesto!$B$11:$C$565,2,0)</f>
        <v>DECIMOCUARTO MES</v>
      </c>
      <c r="K376" s="106" t="str">
        <f t="shared" si="11"/>
        <v>Posgrado</v>
      </c>
      <c r="L376" s="124" t="s">
        <v>394</v>
      </c>
    </row>
    <row r="378" spans="3:12" ht="15.75" thickBot="1">
      <c r="K378" s="153"/>
    </row>
    <row r="379" spans="3:12" ht="15.75" thickBot="1">
      <c r="C379" s="69" t="s">
        <v>43</v>
      </c>
      <c r="D379" s="30">
        <f>SUM(G386:G436)</f>
        <v>0</v>
      </c>
      <c r="E379" s="93"/>
      <c r="F379" s="93"/>
      <c r="G379" s="93"/>
      <c r="H379" s="76"/>
      <c r="I379" s="76"/>
      <c r="J379" s="76"/>
      <c r="K379" s="153"/>
    </row>
    <row r="380" spans="3:12">
      <c r="D380" s="31"/>
      <c r="E380" s="93"/>
      <c r="F380" s="93"/>
      <c r="G380" s="93"/>
      <c r="H380" s="76"/>
      <c r="I380" s="76"/>
      <c r="J380" s="76"/>
      <c r="K380" s="153"/>
    </row>
    <row r="381" spans="3:12">
      <c r="D381" s="31"/>
      <c r="E381" s="93"/>
      <c r="F381" s="93"/>
      <c r="G381" s="93"/>
      <c r="H381" s="76"/>
      <c r="I381" s="76"/>
      <c r="J381" s="76"/>
      <c r="K381" s="153"/>
    </row>
    <row r="382" spans="3:12" ht="15.75">
      <c r="C382" s="202" t="s">
        <v>392</v>
      </c>
      <c r="D382" s="370"/>
      <c r="E382" s="93"/>
      <c r="F382" s="93"/>
      <c r="G382" s="93"/>
      <c r="H382" s="76"/>
      <c r="I382" s="76"/>
      <c r="J382" s="76"/>
      <c r="K382" s="153"/>
    </row>
    <row r="383" spans="3:12" ht="18.75">
      <c r="C383" s="211" t="e">
        <f>IFERROR(VLOOKUP(D382,'1. Desarrollo e Innov. Curricu.'!$E:$F,2,FALSE),IFERROR(VLOOKUP(D382,'2. Investigación Científica'!$E:$F,2,FALSE),IFERROR(VLOOKUP(D382,'3. Vinculación Univ. Sociedad'!$E:$F,2,FALSE),IFERROR(VLOOKUP(D382,'4. Docencia y Profesorado Univ.'!$E:$F,2,FALSE),IFERROR(VLOOKUP(D382,'5. Estudiantes y Graduados'!$E:$F,2,FALSE),IFERROR(VLOOKUP(D382,'11. Gestion Administrativa'!$E:$F,2,FALSE),IFERROR(VLOOKUP(D382,'13. Gestión Académica'!$E:$F,2,FALSE),IFERROR(VLOOKUP(D382,'8. Asegura. de la Calid. y M'!$E:$F,2,FALSE),IFERROR(VLOOKUP(D382,'6. Gestión del Conocimiento'!$E:$F,2,FALSE),IFERROR(VLOOKUP(D382,'15. Gobernabilidad y Proceso...'!$E:$F,2,FALSE),IFERROR(VLOOKUP(D382,'12. Gestión del Talento Humano'!$E:$F,2,FALSE),IFERROR(VLOOKUP(D382,'14. Internacional... de la E.S.'!$E:$F,2,FALSE),IFERROR(VLOOKUP(D382,'10. Posgrado'!$E:$F,2,FALSE),IFERROR(VLOOKUP(D382,'17. Gestión TIC'!$E:$F,2,FALSE),IFERROR(VLOOKUP(D382,'16. Desa. del Sistema Educ.Sup.'!$E:$F,2,FALSE),IFERROR(VLOOKUP(D382,'9. Cultura de Inno. Insti...'!$E:$F,2,FALSE),VLOOKUP(D382,'7. Lo Esencial de la Reforma U.'!$E:$F,2,0)))))))))))))))))</f>
        <v>#N/A</v>
      </c>
      <c r="D383" s="31"/>
      <c r="E383" s="93"/>
      <c r="F383" s="93"/>
      <c r="G383" s="93"/>
      <c r="H383" s="76"/>
      <c r="I383" s="76"/>
      <c r="J383" s="76"/>
      <c r="K383" s="153"/>
    </row>
    <row r="384" spans="3:12" ht="15.75" thickBot="1">
      <c r="C384" s="177"/>
      <c r="D384" s="31"/>
      <c r="E384" s="93"/>
      <c r="F384" s="93"/>
      <c r="G384" s="93"/>
      <c r="H384" s="76"/>
      <c r="I384" s="76"/>
      <c r="J384" s="76"/>
      <c r="K384" s="153"/>
    </row>
    <row r="385" spans="3:12" ht="30.75" thickBot="1">
      <c r="C385" s="134" t="s">
        <v>44</v>
      </c>
      <c r="D385" s="138" t="s">
        <v>55</v>
      </c>
      <c r="E385" s="170" t="s">
        <v>56</v>
      </c>
      <c r="F385" s="138" t="s">
        <v>57</v>
      </c>
      <c r="G385" s="135" t="s">
        <v>27</v>
      </c>
      <c r="H385" s="133" t="s">
        <v>131</v>
      </c>
      <c r="I385" s="136" t="s">
        <v>46</v>
      </c>
      <c r="J385" s="136" t="s">
        <v>132</v>
      </c>
      <c r="K385" s="136" t="s">
        <v>410</v>
      </c>
      <c r="L385" s="136" t="s">
        <v>411</v>
      </c>
    </row>
    <row r="386" spans="3:12" ht="15.75" thickBot="1">
      <c r="C386" s="137" t="s">
        <v>482</v>
      </c>
      <c r="D386" s="199"/>
      <c r="E386" s="152">
        <v>12</v>
      </c>
      <c r="F386" s="305">
        <f>HLOOKUP($C386,$BZ$2:$CM$3,2,0)</f>
        <v>43674.39</v>
      </c>
      <c r="G386" s="113">
        <f>D386*E386*F386</f>
        <v>0</v>
      </c>
      <c r="H386" s="166"/>
      <c r="I386" s="114" t="s">
        <v>496</v>
      </c>
      <c r="J386" s="114" t="str">
        <f>VLOOKUP(I386,Presupuesto!$B$11:$C$565,2,0)</f>
        <v>SUELDOS Y SALARIOS PERMANENTES</v>
      </c>
      <c r="K386" s="219" t="s">
        <v>1453</v>
      </c>
      <c r="L386" s="98" t="s">
        <v>394</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ref="K387:K418" si="12">$K$386</f>
        <v>Posgrado</v>
      </c>
      <c r="L387" s="98" t="s">
        <v>412</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c r="C389" s="137" t="s">
        <v>483</v>
      </c>
      <c r="D389" s="199"/>
      <c r="E389" s="152">
        <v>12</v>
      </c>
      <c r="F389" s="305">
        <f>HLOOKUP($C389,$BZ$2:$CM$3,2,0)</f>
        <v>39703.99</v>
      </c>
      <c r="G389" s="113">
        <f>D389*E389*F389</f>
        <v>0</v>
      </c>
      <c r="H389" s="166"/>
      <c r="I389" s="114" t="s">
        <v>496</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c r="C392" s="137" t="s">
        <v>484</v>
      </c>
      <c r="D392" s="199"/>
      <c r="E392" s="152">
        <v>12</v>
      </c>
      <c r="F392" s="305">
        <f>HLOOKUP($C392,$BZ$2:$CM$3,2,0)</f>
        <v>35733.589999999997</v>
      </c>
      <c r="G392" s="113">
        <f>D392*E392*F392</f>
        <v>0</v>
      </c>
      <c r="H392" s="166"/>
      <c r="I392" s="114" t="s">
        <v>496</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c r="C395" s="137" t="s">
        <v>485</v>
      </c>
      <c r="D395" s="199"/>
      <c r="E395" s="152">
        <v>12</v>
      </c>
      <c r="F395" s="305">
        <f>HLOOKUP($C395,$BZ$2:$CM$3,2,0)</f>
        <v>31763.19</v>
      </c>
      <c r="G395" s="113">
        <f>D395*E395*F395</f>
        <v>0</v>
      </c>
      <c r="H395" s="166"/>
      <c r="I395" s="114" t="s">
        <v>496</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c r="C398" s="137" t="s">
        <v>486</v>
      </c>
      <c r="D398" s="199"/>
      <c r="E398" s="152">
        <v>12</v>
      </c>
      <c r="F398" s="305">
        <f>HLOOKUP($C398,$BZ$2:$CM$3,2,0)</f>
        <v>29777.99</v>
      </c>
      <c r="G398" s="113">
        <f>D398*E398*F398</f>
        <v>0</v>
      </c>
      <c r="H398" s="166"/>
      <c r="I398" s="114" t="s">
        <v>496</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c r="C401" s="137" t="s">
        <v>487</v>
      </c>
      <c r="D401" s="199"/>
      <c r="E401" s="152">
        <v>12</v>
      </c>
      <c r="F401" s="305">
        <f>HLOOKUP($C401,$BZ$2:$CM$3,2,0)</f>
        <v>27792.79</v>
      </c>
      <c r="G401" s="113">
        <f>D401*E401*F401</f>
        <v>0</v>
      </c>
      <c r="H401" s="166"/>
      <c r="I401" s="114" t="s">
        <v>496</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c r="C404" s="137" t="s">
        <v>488</v>
      </c>
      <c r="D404" s="199"/>
      <c r="E404" s="152">
        <v>12</v>
      </c>
      <c r="F404" s="305">
        <f>HLOOKUP($C404,$BZ$2:$CM$3,2,0)</f>
        <v>18859.39</v>
      </c>
      <c r="G404" s="113">
        <f>D404*E404*F404</f>
        <v>0</v>
      </c>
      <c r="H404" s="166"/>
      <c r="I404" s="114" t="s">
        <v>496</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c r="C407" s="137" t="s">
        <v>489</v>
      </c>
      <c r="D407" s="199"/>
      <c r="E407" s="152">
        <v>12</v>
      </c>
      <c r="F407" s="305">
        <f>HLOOKUP($C407,$BZ$2:$CM$3,2,0)</f>
        <v>17866.8</v>
      </c>
      <c r="G407" s="113">
        <f>D407*E407*F407</f>
        <v>0</v>
      </c>
      <c r="H407" s="166"/>
      <c r="I407" s="114" t="s">
        <v>496</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c r="C410" s="137" t="s">
        <v>490</v>
      </c>
      <c r="D410" s="199"/>
      <c r="E410" s="152">
        <v>12</v>
      </c>
      <c r="F410" s="305">
        <f>HLOOKUP($C410,$BZ$2:$CM$3,2,0)</f>
        <v>13896.4</v>
      </c>
      <c r="G410" s="113">
        <f>D410*E410*F410</f>
        <v>0</v>
      </c>
      <c r="H410" s="166"/>
      <c r="I410" s="114" t="s">
        <v>496</v>
      </c>
      <c r="J410" s="114" t="str">
        <f>VLOOKUP(I410,Presupuesto!$B$11:$C$565,2,0)</f>
        <v>SUELDOS Y SALARIOS PERMANENTES</v>
      </c>
      <c r="K410" s="98" t="str">
        <f t="shared" si="12"/>
        <v>Posgrado</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2"/>
        <v>Posgrado</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2"/>
        <v>Posgrado</v>
      </c>
      <c r="L412" s="98" t="s">
        <v>395</v>
      </c>
    </row>
    <row r="413" spans="3:12" ht="15.75" thickBot="1">
      <c r="C413" s="137" t="s">
        <v>491</v>
      </c>
      <c r="D413" s="199"/>
      <c r="E413" s="152">
        <v>12</v>
      </c>
      <c r="F413" s="305">
        <f>HLOOKUP($C413,$BZ$2:$CM$3,2,0)</f>
        <v>15004.09</v>
      </c>
      <c r="G413" s="113">
        <f>D413*E413*F413</f>
        <v>0</v>
      </c>
      <c r="H413" s="166"/>
      <c r="I413" s="114" t="s">
        <v>496</v>
      </c>
      <c r="J413" s="114" t="str">
        <f>VLOOKUP(I413,Presupuesto!$B$11:$C$565,2,0)</f>
        <v>SUELDOS Y SALARIOS PERMANENTES</v>
      </c>
      <c r="K413" s="98" t="str">
        <f t="shared" si="12"/>
        <v>Posgrado</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2"/>
        <v>Posgrado</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2"/>
        <v>Posgrado</v>
      </c>
      <c r="L415" s="98" t="s">
        <v>395</v>
      </c>
    </row>
    <row r="416" spans="3:12" ht="15.75" thickBot="1">
      <c r="C416" s="137" t="s">
        <v>492</v>
      </c>
      <c r="D416" s="199"/>
      <c r="E416" s="152">
        <v>12</v>
      </c>
      <c r="F416" s="305">
        <f>HLOOKUP($C416,$BZ$2:$CM$3,2,0)</f>
        <v>13238.9</v>
      </c>
      <c r="G416" s="113">
        <f>D416*E416*F416</f>
        <v>0</v>
      </c>
      <c r="H416" s="166"/>
      <c r="I416" s="114" t="s">
        <v>496</v>
      </c>
      <c r="J416" s="114" t="str">
        <f>VLOOKUP(I416,Presupuesto!$B$11:$C$565,2,0)</f>
        <v>SUELDOS Y SALARIOS PERMANENTES</v>
      </c>
      <c r="K416" s="98" t="str">
        <f t="shared" si="12"/>
        <v>Posgrado</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2"/>
        <v>Posgrado</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2"/>
        <v>Posgrado</v>
      </c>
      <c r="L418" s="98" t="s">
        <v>395</v>
      </c>
    </row>
    <row r="419" spans="3:12" ht="15.75" thickBot="1">
      <c r="C419" s="137" t="s">
        <v>493</v>
      </c>
      <c r="D419" s="199"/>
      <c r="E419" s="152">
        <v>12</v>
      </c>
      <c r="F419" s="305">
        <f>HLOOKUP($C419,$BZ$2:$CM$3,2,0)</f>
        <v>12356.31</v>
      </c>
      <c r="G419" s="113">
        <f>D419*E419*F419</f>
        <v>0</v>
      </c>
      <c r="H419" s="166"/>
      <c r="I419" s="114" t="s">
        <v>496</v>
      </c>
      <c r="J419" s="114" t="str">
        <f>VLOOKUP(I419,Presupuesto!$B$11:$C$565,2,0)</f>
        <v>SUELDOS Y SALARIOS PERMANENTES</v>
      </c>
      <c r="K419" s="98" t="str">
        <f t="shared" ref="K419:K436" si="13">$K$386</f>
        <v>Posgrado</v>
      </c>
      <c r="L419" s="98" t="s">
        <v>395</v>
      </c>
    </row>
    <row r="420" spans="3:12">
      <c r="C420" s="171" t="s">
        <v>58</v>
      </c>
      <c r="D420" s="163"/>
      <c r="E420" s="154">
        <v>0</v>
      </c>
      <c r="F420" s="100">
        <f>IF(E419=0,"",(G419/E419)/12*E419)</f>
        <v>0</v>
      </c>
      <c r="G420" s="97">
        <f>F420</f>
        <v>0</v>
      </c>
      <c r="H420" s="164"/>
      <c r="I420" s="116" t="s">
        <v>516</v>
      </c>
      <c r="J420" s="116" t="str">
        <f>VLOOKUP(I420,Presupuesto!$B$11:$C$565,2,0)</f>
        <v>AGUINALDO Y DECIMO CUARTO MES</v>
      </c>
      <c r="K420" s="98" t="str">
        <f t="shared" si="13"/>
        <v>Posgrado</v>
      </c>
      <c r="L420" s="98" t="s">
        <v>395</v>
      </c>
    </row>
    <row r="421" spans="3:12" ht="15.75" thickBot="1">
      <c r="C421" s="172" t="s">
        <v>59</v>
      </c>
      <c r="D421" s="163"/>
      <c r="E421" s="154">
        <v>0</v>
      </c>
      <c r="F421" s="117">
        <f>IF(E419&lt;6,"",((E419-6)/12)*(G419/E419))</f>
        <v>0</v>
      </c>
      <c r="G421" s="97">
        <f>F421</f>
        <v>0</v>
      </c>
      <c r="H421" s="164"/>
      <c r="I421" s="101" t="s">
        <v>519</v>
      </c>
      <c r="J421" s="101" t="str">
        <f>VLOOKUP(I421,Presupuesto!$B$11:$C$565,2,0)</f>
        <v>DECIMOCUARTO MES</v>
      </c>
      <c r="K421" s="98" t="str">
        <f t="shared" si="13"/>
        <v>Posgrado</v>
      </c>
      <c r="L421" s="98" t="s">
        <v>395</v>
      </c>
    </row>
    <row r="422" spans="3:12" ht="15.75" thickBot="1">
      <c r="C422" s="137" t="s">
        <v>494</v>
      </c>
      <c r="D422" s="199"/>
      <c r="E422" s="152">
        <v>12</v>
      </c>
      <c r="F422" s="305">
        <f>HLOOKUP($C422,$BZ$2:$CM$3,2,0)</f>
        <v>463.22</v>
      </c>
      <c r="G422" s="113">
        <f>D422*E422*F422</f>
        <v>0</v>
      </c>
      <c r="H422" s="166"/>
      <c r="I422" s="114" t="s">
        <v>496</v>
      </c>
      <c r="J422" s="114" t="str">
        <f>VLOOKUP(I422,Presupuesto!$B$11:$C$565,2,0)</f>
        <v>SUELDOS Y SALARIOS PERMANENTES</v>
      </c>
      <c r="K422" s="98" t="str">
        <f t="shared" si="13"/>
        <v>Posgrado</v>
      </c>
      <c r="L422" s="98" t="s">
        <v>395</v>
      </c>
    </row>
    <row r="423" spans="3:12">
      <c r="C423" s="171" t="s">
        <v>58</v>
      </c>
      <c r="D423" s="163"/>
      <c r="E423" s="154">
        <v>0</v>
      </c>
      <c r="F423" s="100">
        <f>IF(E422=0,"",(G422/E422)/12*E422)</f>
        <v>0</v>
      </c>
      <c r="G423" s="97">
        <f>F423</f>
        <v>0</v>
      </c>
      <c r="H423" s="164"/>
      <c r="I423" s="116" t="s">
        <v>516</v>
      </c>
      <c r="J423" s="116" t="str">
        <f>VLOOKUP(I423,Presupuesto!$B$11:$C$565,2,0)</f>
        <v>AGUINALDO Y DECIMO CUARTO MES</v>
      </c>
      <c r="K423" s="98" t="str">
        <f t="shared" si="13"/>
        <v>Posgrado</v>
      </c>
      <c r="L423" s="98" t="s">
        <v>395</v>
      </c>
    </row>
    <row r="424" spans="3:12" ht="15.75" thickBot="1">
      <c r="C424" s="172" t="s">
        <v>59</v>
      </c>
      <c r="D424" s="163"/>
      <c r="E424" s="154">
        <v>0</v>
      </c>
      <c r="F424" s="117">
        <f>IF(E422&lt;6,"",((E422-6)/12)*(G422/E422))</f>
        <v>0</v>
      </c>
      <c r="G424" s="97">
        <f>F424</f>
        <v>0</v>
      </c>
      <c r="H424" s="164"/>
      <c r="I424" s="101" t="s">
        <v>519</v>
      </c>
      <c r="J424" s="101" t="str">
        <f>VLOOKUP(I424,Presupuesto!$B$11:$C$565,2,0)</f>
        <v>DECIMOCUARTO MES</v>
      </c>
      <c r="K424" s="98" t="str">
        <f t="shared" si="13"/>
        <v>Posgrado</v>
      </c>
      <c r="L424" s="98" t="s">
        <v>395</v>
      </c>
    </row>
    <row r="425" spans="3:12" ht="15.75" thickBot="1">
      <c r="C425" s="137" t="s">
        <v>495</v>
      </c>
      <c r="D425" s="199"/>
      <c r="E425" s="152">
        <v>12</v>
      </c>
      <c r="F425" s="305">
        <f>HLOOKUP($C425,$BZ$2:$CM$3,2,0)</f>
        <v>2007.3</v>
      </c>
      <c r="G425" s="113">
        <f>D425*E425*F425</f>
        <v>0</v>
      </c>
      <c r="H425" s="166"/>
      <c r="I425" s="114" t="s">
        <v>496</v>
      </c>
      <c r="J425" s="114" t="str">
        <f>VLOOKUP(I425,Presupuesto!$B$11:$C$565,2,0)</f>
        <v>SUELDOS Y SALARIOS PERMANENTES</v>
      </c>
      <c r="K425" s="98" t="str">
        <f t="shared" si="13"/>
        <v>Posgrado</v>
      </c>
      <c r="L425" s="98" t="s">
        <v>395</v>
      </c>
    </row>
    <row r="426" spans="3:12">
      <c r="C426" s="171" t="s">
        <v>58</v>
      </c>
      <c r="D426" s="163"/>
      <c r="E426" s="154">
        <v>0</v>
      </c>
      <c r="F426" s="100">
        <f>IF(E425=0,"",(G425/E425)/12*E425)</f>
        <v>0</v>
      </c>
      <c r="G426" s="97">
        <f>F426</f>
        <v>0</v>
      </c>
      <c r="H426" s="164"/>
      <c r="I426" s="116" t="s">
        <v>516</v>
      </c>
      <c r="J426" s="116" t="str">
        <f>VLOOKUP(I426,Presupuesto!$B$11:$C$565,2,0)</f>
        <v>AGUINALDO Y DECIMO CUARTO MES</v>
      </c>
      <c r="K426" s="98" t="str">
        <f t="shared" si="13"/>
        <v>Posgrado</v>
      </c>
      <c r="L426" s="98" t="s">
        <v>395</v>
      </c>
    </row>
    <row r="427" spans="3:12" ht="15.75" thickBot="1">
      <c r="C427" s="172" t="s">
        <v>59</v>
      </c>
      <c r="D427" s="163"/>
      <c r="E427" s="154">
        <v>0</v>
      </c>
      <c r="F427" s="117">
        <f>IF(E425&lt;6,"",((E425-6)/12)*(G425/E425))</f>
        <v>0</v>
      </c>
      <c r="G427" s="97">
        <f>F427</f>
        <v>0</v>
      </c>
      <c r="H427" s="164"/>
      <c r="I427" s="101" t="s">
        <v>519</v>
      </c>
      <c r="J427" s="101" t="str">
        <f>VLOOKUP(I427,Presupuesto!$B$11:$C$565,2,0)</f>
        <v>DECIMOCUARTO MES</v>
      </c>
      <c r="K427" s="98" t="str">
        <f t="shared" si="13"/>
        <v>Posgrado</v>
      </c>
      <c r="L427" s="98" t="s">
        <v>395</v>
      </c>
    </row>
    <row r="428" spans="3:12" ht="15.75" thickBot="1">
      <c r="C428" s="140" t="s">
        <v>83</v>
      </c>
      <c r="D428" s="199"/>
      <c r="E428" s="152">
        <v>12</v>
      </c>
      <c r="F428" s="139">
        <v>30000</v>
      </c>
      <c r="G428" s="113">
        <f>D428*E428*F428</f>
        <v>0</v>
      </c>
      <c r="H428" s="166"/>
      <c r="I428" s="114" t="s">
        <v>564</v>
      </c>
      <c r="J428" s="114" t="str">
        <f>VLOOKUP(I428,Presupuesto!$B$11:$C$565,2,0)</f>
        <v>CONTRATOS ESPECIALES</v>
      </c>
      <c r="K428" s="98" t="str">
        <f t="shared" si="13"/>
        <v>Posgrado</v>
      </c>
      <c r="L428" s="98" t="s">
        <v>395</v>
      </c>
    </row>
    <row r="429" spans="3:12">
      <c r="C429" s="171" t="s">
        <v>58</v>
      </c>
      <c r="D429" s="163"/>
      <c r="E429" s="154">
        <v>0</v>
      </c>
      <c r="F429" s="117">
        <f>IF(E428=0,"",(G428/E428)/12*E428)</f>
        <v>0</v>
      </c>
      <c r="G429" s="97">
        <f>F429</f>
        <v>0</v>
      </c>
      <c r="H429" s="164"/>
      <c r="I429" s="101" t="s">
        <v>564</v>
      </c>
      <c r="J429" s="101" t="str">
        <f>VLOOKUP(I429,Presupuesto!$B$11:$C$565,2,0)</f>
        <v>CONTRATOS ESPECIALES</v>
      </c>
      <c r="K429" s="98" t="str">
        <f t="shared" si="13"/>
        <v>Posgrado</v>
      </c>
      <c r="L429" s="98" t="s">
        <v>394</v>
      </c>
    </row>
    <row r="430" spans="3:12" ht="15.75" thickBot="1">
      <c r="C430" s="172" t="s">
        <v>59</v>
      </c>
      <c r="D430" s="163"/>
      <c r="E430" s="154">
        <v>0</v>
      </c>
      <c r="F430" s="100">
        <f>IF(E428&lt;6,"",((E428-6)/12)*(G428/E428))</f>
        <v>0</v>
      </c>
      <c r="G430" s="97">
        <f>F430</f>
        <v>0</v>
      </c>
      <c r="H430" s="164"/>
      <c r="I430" s="101" t="s">
        <v>564</v>
      </c>
      <c r="J430" s="101" t="str">
        <f>VLOOKUP(I430,Presupuesto!$B$11:$C$565,2,0)</f>
        <v>CONTRATOS ESPECIALES</v>
      </c>
      <c r="K430" s="98" t="str">
        <f t="shared" si="13"/>
        <v>Posgrado</v>
      </c>
      <c r="L430" s="98" t="s">
        <v>399</v>
      </c>
    </row>
    <row r="431" spans="3:12" ht="15.75" thickBot="1">
      <c r="C431" s="140" t="s">
        <v>60</v>
      </c>
      <c r="D431" s="199"/>
      <c r="E431" s="152">
        <v>12</v>
      </c>
      <c r="F431" s="118">
        <v>30000</v>
      </c>
      <c r="G431" s="113">
        <f>D431*E431*F431</f>
        <v>0</v>
      </c>
      <c r="H431" s="166"/>
      <c r="I431" s="114" t="s">
        <v>705</v>
      </c>
      <c r="J431" s="114" t="str">
        <f>VLOOKUP(I431,Presupuesto!$B$11:$C$565,2,0)</f>
        <v>OTROS SERVICIOS TECNICOS Y PROFESIONALES</v>
      </c>
      <c r="K431" s="98" t="str">
        <f t="shared" si="13"/>
        <v>Posgrado</v>
      </c>
      <c r="L431" s="98" t="s">
        <v>394</v>
      </c>
    </row>
    <row r="432" spans="3:12">
      <c r="C432" s="171" t="s">
        <v>58</v>
      </c>
      <c r="D432" s="163"/>
      <c r="E432" s="154">
        <v>0</v>
      </c>
      <c r="F432" s="100">
        <v>0</v>
      </c>
      <c r="G432" s="97">
        <f>F432</f>
        <v>0</v>
      </c>
      <c r="H432" s="164"/>
      <c r="I432" s="101" t="s">
        <v>705</v>
      </c>
      <c r="J432" s="101" t="str">
        <f>VLOOKUP(I432,Presupuesto!$B$11:$C$565,2,0)</f>
        <v>OTROS SERVICIOS TECNICOS Y PROFESIONALES</v>
      </c>
      <c r="K432" s="98" t="str">
        <f t="shared" si="13"/>
        <v>Posgrado</v>
      </c>
      <c r="L432" s="98" t="s">
        <v>394</v>
      </c>
    </row>
    <row r="433" spans="3:12" ht="15.75" thickBot="1">
      <c r="C433" s="172" t="s">
        <v>59</v>
      </c>
      <c r="D433" s="163"/>
      <c r="E433" s="154">
        <v>0</v>
      </c>
      <c r="F433" s="100">
        <v>0</v>
      </c>
      <c r="G433" s="97">
        <f>F433</f>
        <v>0</v>
      </c>
      <c r="H433" s="164"/>
      <c r="I433" s="101" t="s">
        <v>705</v>
      </c>
      <c r="J433" s="101" t="str">
        <f>VLOOKUP(I433,Presupuesto!$B$11:$C$565,2,0)</f>
        <v>OTROS SERVICIOS TECNICOS Y PROFESIONALES</v>
      </c>
      <c r="K433" s="98" t="str">
        <f t="shared" si="13"/>
        <v>Posgrado</v>
      </c>
      <c r="L433" s="98" t="s">
        <v>394</v>
      </c>
    </row>
    <row r="434" spans="3:12" ht="15.75" thickBot="1">
      <c r="C434" s="140" t="s">
        <v>61</v>
      </c>
      <c r="D434" s="199"/>
      <c r="E434" s="152">
        <v>12</v>
      </c>
      <c r="F434" s="118">
        <v>30000</v>
      </c>
      <c r="G434" s="113">
        <f>D434*E434*F434</f>
        <v>0</v>
      </c>
      <c r="H434" s="166"/>
      <c r="I434" s="114" t="s">
        <v>496</v>
      </c>
      <c r="J434" s="114" t="str">
        <f>VLOOKUP(I434,Presupuesto!$B$11:$C$565,2,0)</f>
        <v>SUELDOS Y SALARIOS PERMANENTES</v>
      </c>
      <c r="K434" s="98" t="str">
        <f t="shared" si="13"/>
        <v>Posgrado</v>
      </c>
      <c r="L434" s="98" t="s">
        <v>394</v>
      </c>
    </row>
    <row r="435" spans="3:12">
      <c r="C435" s="171" t="s">
        <v>58</v>
      </c>
      <c r="D435" s="169"/>
      <c r="E435" s="131">
        <v>0</v>
      </c>
      <c r="F435" s="119">
        <f>IF(E434=0,"",(G434/E434)/12*E434)</f>
        <v>0</v>
      </c>
      <c r="G435" s="120">
        <f>F435</f>
        <v>0</v>
      </c>
      <c r="H435" s="164"/>
      <c r="I435" s="101" t="s">
        <v>516</v>
      </c>
      <c r="J435" s="101" t="str">
        <f>VLOOKUP(I435,Presupuesto!$B$11:$C$565,2,0)</f>
        <v>AGUINALDO Y DECIMO CUARTO MES</v>
      </c>
      <c r="K435" s="98" t="str">
        <f t="shared" si="13"/>
        <v>Posgrado</v>
      </c>
      <c r="L435" s="98" t="s">
        <v>394</v>
      </c>
    </row>
    <row r="436" spans="3:12" ht="15.75" thickBot="1">
      <c r="C436" s="173" t="s">
        <v>59</v>
      </c>
      <c r="D436" s="162"/>
      <c r="E436" s="132">
        <v>0</v>
      </c>
      <c r="F436" s="105">
        <f>IF(E434&lt;6,"",((E434-6)/12)*(G434/E434))</f>
        <v>0</v>
      </c>
      <c r="G436" s="105">
        <f>F436</f>
        <v>0</v>
      </c>
      <c r="H436" s="162"/>
      <c r="I436" s="106" t="s">
        <v>519</v>
      </c>
      <c r="J436" s="124" t="str">
        <f>VLOOKUP(I436,Presupuesto!$B$11:$C$565,2,0)</f>
        <v>DECIMOCUARTO MES</v>
      </c>
      <c r="K436" s="106" t="str">
        <f t="shared" si="13"/>
        <v>Posgrado</v>
      </c>
      <c r="L436" s="124" t="s">
        <v>394</v>
      </c>
    </row>
    <row r="438" spans="3:12" ht="15.75" thickBot="1">
      <c r="K438" s="153"/>
    </row>
    <row r="439" spans="3:12" ht="15.75" thickBot="1">
      <c r="C439" s="69" t="s">
        <v>43</v>
      </c>
      <c r="D439" s="30">
        <f>SUM(G446:G496)</f>
        <v>0</v>
      </c>
      <c r="E439" s="93"/>
      <c r="F439" s="93"/>
      <c r="G439" s="93"/>
      <c r="H439" s="76"/>
      <c r="I439" s="76"/>
      <c r="J439" s="76"/>
      <c r="K439" s="153"/>
    </row>
    <row r="440" spans="3:12">
      <c r="D440" s="31"/>
      <c r="E440" s="93"/>
      <c r="F440" s="93"/>
      <c r="G440" s="93"/>
      <c r="H440" s="76"/>
      <c r="I440" s="76"/>
      <c r="J440" s="76"/>
      <c r="K440" s="153"/>
    </row>
    <row r="441" spans="3:12">
      <c r="D441" s="31"/>
      <c r="E441" s="93"/>
      <c r="F441" s="93"/>
      <c r="G441" s="93"/>
      <c r="H441" s="76"/>
      <c r="I441" s="76"/>
      <c r="J441" s="76"/>
      <c r="K441" s="153"/>
    </row>
    <row r="442" spans="3:12" ht="15.75">
      <c r="C442" s="202" t="s">
        <v>392</v>
      </c>
      <c r="D442" s="370"/>
      <c r="E442" s="93"/>
      <c r="F442" s="93"/>
      <c r="G442" s="93"/>
      <c r="H442" s="76"/>
      <c r="I442" s="76"/>
      <c r="J442" s="76"/>
      <c r="K442" s="153"/>
    </row>
    <row r="443" spans="3:12" ht="18.75">
      <c r="C443" s="211" t="e">
        <f>IFERROR(VLOOKUP(D442,'1. Desarrollo e Innov. Curricu.'!$E:$F,2,FALSE),IFERROR(VLOOKUP(D442,'2. Investigación Científica'!$E:$F,2,FALSE),IFERROR(VLOOKUP(D442,'3. Vinculación Univ. Sociedad'!$E:$F,2,FALSE),IFERROR(VLOOKUP(D442,'4. Docencia y Profesorado Univ.'!$E:$F,2,FALSE),IFERROR(VLOOKUP(D442,'5. Estudiantes y Graduados'!$E:$F,2,FALSE),IFERROR(VLOOKUP(D442,'11. Gestion Administrativa'!$E:$F,2,FALSE),IFERROR(VLOOKUP(D442,'13. Gestión Académica'!$E:$F,2,FALSE),IFERROR(VLOOKUP(D442,'8. Asegura. de la Calid. y M'!$E:$F,2,FALSE),IFERROR(VLOOKUP(D442,'6. Gestión del Conocimiento'!$E:$F,2,FALSE),IFERROR(VLOOKUP(D442,'15. Gobernabilidad y Proceso...'!$E:$F,2,FALSE),IFERROR(VLOOKUP(D442,'12. Gestión del Talento Humano'!$E:$F,2,FALSE),IFERROR(VLOOKUP(D442,'14. Internacional... de la E.S.'!$E:$F,2,FALSE),IFERROR(VLOOKUP(D442,'10. Posgrado'!$E:$F,2,FALSE),IFERROR(VLOOKUP(D442,'17. Gestión TIC'!$E:$F,2,FALSE),IFERROR(VLOOKUP(D442,'16. Desa. del Sistema Educ.Sup.'!$E:$F,2,FALSE),IFERROR(VLOOKUP(D442,'9. Cultura de Inno. Insti...'!$E:$F,2,FALSE),VLOOKUP(D442,'7. Lo Esencial de la Reforma U.'!$E:$F,2,0)))))))))))))))))</f>
        <v>#N/A</v>
      </c>
      <c r="D443" s="31"/>
      <c r="E443" s="93"/>
      <c r="F443" s="93"/>
      <c r="G443" s="93"/>
      <c r="H443" s="76"/>
      <c r="I443" s="76"/>
      <c r="J443" s="76"/>
      <c r="K443" s="153"/>
    </row>
    <row r="444" spans="3:12" ht="15.75" thickBot="1">
      <c r="C444" s="177"/>
      <c r="D444" s="31"/>
      <c r="E444" s="93"/>
      <c r="F444" s="93"/>
      <c r="G444" s="93"/>
      <c r="H444" s="76"/>
      <c r="I444" s="76"/>
      <c r="J444" s="76"/>
      <c r="K444" s="153"/>
    </row>
    <row r="445" spans="3:12" ht="30.75" thickBot="1">
      <c r="C445" s="134" t="s">
        <v>44</v>
      </c>
      <c r="D445" s="138" t="s">
        <v>55</v>
      </c>
      <c r="E445" s="170" t="s">
        <v>56</v>
      </c>
      <c r="F445" s="138" t="s">
        <v>57</v>
      </c>
      <c r="G445" s="135" t="s">
        <v>27</v>
      </c>
      <c r="H445" s="133" t="s">
        <v>131</v>
      </c>
      <c r="I445" s="136" t="s">
        <v>46</v>
      </c>
      <c r="J445" s="136" t="s">
        <v>132</v>
      </c>
      <c r="K445" s="136" t="s">
        <v>410</v>
      </c>
      <c r="L445" s="136" t="s">
        <v>411</v>
      </c>
    </row>
    <row r="446" spans="3:12" ht="15.75" thickBot="1">
      <c r="C446" s="137" t="s">
        <v>482</v>
      </c>
      <c r="D446" s="199"/>
      <c r="E446" s="152">
        <v>12</v>
      </c>
      <c r="F446" s="305">
        <f>HLOOKUP($C446,$BZ$2:$CM$3,2,0)</f>
        <v>43674.39</v>
      </c>
      <c r="G446" s="113">
        <f>D446*E446*F446</f>
        <v>0</v>
      </c>
      <c r="H446" s="166"/>
      <c r="I446" s="114" t="s">
        <v>496</v>
      </c>
      <c r="J446" s="114" t="str">
        <f>VLOOKUP(I446,Presupuesto!$B$11:$C$565,2,0)</f>
        <v>SUELDOS Y SALARIOS PERMANENTES</v>
      </c>
      <c r="K446" s="219" t="s">
        <v>1453</v>
      </c>
      <c r="L446" s="98" t="s">
        <v>394</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ref="K447:K478" si="14">$K$446</f>
        <v>Posgrado</v>
      </c>
      <c r="L447" s="98" t="s">
        <v>412</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c r="C449" s="137" t="s">
        <v>483</v>
      </c>
      <c r="D449" s="199"/>
      <c r="E449" s="152">
        <v>12</v>
      </c>
      <c r="F449" s="305">
        <f>HLOOKUP($C449,$BZ$2:$CM$3,2,0)</f>
        <v>39703.99</v>
      </c>
      <c r="G449" s="113">
        <f>D449*E449*F449</f>
        <v>0</v>
      </c>
      <c r="H449" s="166"/>
      <c r="I449" s="114" t="s">
        <v>496</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c r="C452" s="137" t="s">
        <v>484</v>
      </c>
      <c r="D452" s="199"/>
      <c r="E452" s="152">
        <v>12</v>
      </c>
      <c r="F452" s="305">
        <f>HLOOKUP($C452,$BZ$2:$CM$3,2,0)</f>
        <v>35733.589999999997</v>
      </c>
      <c r="G452" s="113">
        <f>D452*E452*F452</f>
        <v>0</v>
      </c>
      <c r="H452" s="166"/>
      <c r="I452" s="114" t="s">
        <v>496</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c r="C455" s="137" t="s">
        <v>485</v>
      </c>
      <c r="D455" s="199"/>
      <c r="E455" s="152">
        <v>12</v>
      </c>
      <c r="F455" s="305">
        <f>HLOOKUP($C455,$BZ$2:$CM$3,2,0)</f>
        <v>31763.19</v>
      </c>
      <c r="G455" s="113">
        <f>D455*E455*F455</f>
        <v>0</v>
      </c>
      <c r="H455" s="166"/>
      <c r="I455" s="114" t="s">
        <v>496</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c r="C458" s="137" t="s">
        <v>486</v>
      </c>
      <c r="D458" s="199"/>
      <c r="E458" s="152">
        <v>12</v>
      </c>
      <c r="F458" s="305">
        <f>HLOOKUP($C458,$BZ$2:$CM$3,2,0)</f>
        <v>29777.99</v>
      </c>
      <c r="G458" s="113">
        <f>D458*E458*F458</f>
        <v>0</v>
      </c>
      <c r="H458" s="166"/>
      <c r="I458" s="114" t="s">
        <v>496</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c r="C461" s="137" t="s">
        <v>487</v>
      </c>
      <c r="D461" s="199"/>
      <c r="E461" s="152">
        <v>12</v>
      </c>
      <c r="F461" s="305">
        <f>HLOOKUP($C461,$BZ$2:$CM$3,2,0)</f>
        <v>27792.79</v>
      </c>
      <c r="G461" s="113">
        <f>D461*E461*F461</f>
        <v>0</v>
      </c>
      <c r="H461" s="166"/>
      <c r="I461" s="114" t="s">
        <v>496</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c r="C464" s="137" t="s">
        <v>488</v>
      </c>
      <c r="D464" s="199"/>
      <c r="E464" s="152">
        <v>12</v>
      </c>
      <c r="F464" s="305">
        <f>HLOOKUP($C464,$BZ$2:$CM$3,2,0)</f>
        <v>18859.39</v>
      </c>
      <c r="G464" s="113">
        <f>D464*E464*F464</f>
        <v>0</v>
      </c>
      <c r="H464" s="166"/>
      <c r="I464" s="114" t="s">
        <v>496</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c r="C467" s="137" t="s">
        <v>489</v>
      </c>
      <c r="D467" s="199"/>
      <c r="E467" s="152">
        <v>12</v>
      </c>
      <c r="F467" s="305">
        <f>HLOOKUP($C467,$BZ$2:$CM$3,2,0)</f>
        <v>17866.8</v>
      </c>
      <c r="G467" s="113">
        <f>D467*E467*F467</f>
        <v>0</v>
      </c>
      <c r="H467" s="166"/>
      <c r="I467" s="114" t="s">
        <v>496</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c r="C470" s="137" t="s">
        <v>490</v>
      </c>
      <c r="D470" s="199"/>
      <c r="E470" s="152">
        <v>12</v>
      </c>
      <c r="F470" s="305">
        <f>HLOOKUP($C470,$BZ$2:$CM$3,2,0)</f>
        <v>13896.4</v>
      </c>
      <c r="G470" s="113">
        <f>D470*E470*F470</f>
        <v>0</v>
      </c>
      <c r="H470" s="166"/>
      <c r="I470" s="114" t="s">
        <v>496</v>
      </c>
      <c r="J470" s="114" t="str">
        <f>VLOOKUP(I470,Presupuesto!$B$11:$C$565,2,0)</f>
        <v>SUELDOS Y SALARIOS PERMANENTES</v>
      </c>
      <c r="K470" s="98" t="str">
        <f t="shared" si="14"/>
        <v>Posgrado</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4"/>
        <v>Posgrado</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4"/>
        <v>Posgrado</v>
      </c>
      <c r="L472" s="98" t="s">
        <v>395</v>
      </c>
    </row>
    <row r="473" spans="3:12" ht="15.75" thickBot="1">
      <c r="C473" s="137" t="s">
        <v>491</v>
      </c>
      <c r="D473" s="199"/>
      <c r="E473" s="152">
        <v>12</v>
      </c>
      <c r="F473" s="305">
        <f>HLOOKUP($C473,$BZ$2:$CM$3,2,0)</f>
        <v>15004.09</v>
      </c>
      <c r="G473" s="113">
        <f>D473*E473*F473</f>
        <v>0</v>
      </c>
      <c r="H473" s="166"/>
      <c r="I473" s="114" t="s">
        <v>496</v>
      </c>
      <c r="J473" s="114" t="str">
        <f>VLOOKUP(I473,Presupuesto!$B$11:$C$565,2,0)</f>
        <v>SUELDOS Y SALARIOS PERMANENTES</v>
      </c>
      <c r="K473" s="98" t="str">
        <f t="shared" si="14"/>
        <v>Posgrado</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4"/>
        <v>Posgrado</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4"/>
        <v>Posgrado</v>
      </c>
      <c r="L475" s="98" t="s">
        <v>395</v>
      </c>
    </row>
    <row r="476" spans="3:12" ht="15.75" thickBot="1">
      <c r="C476" s="137" t="s">
        <v>492</v>
      </c>
      <c r="D476" s="199"/>
      <c r="E476" s="152">
        <v>12</v>
      </c>
      <c r="F476" s="305">
        <f>HLOOKUP($C476,$BZ$2:$CM$3,2,0)</f>
        <v>13238.9</v>
      </c>
      <c r="G476" s="113">
        <f>D476*E476*F476</f>
        <v>0</v>
      </c>
      <c r="H476" s="166"/>
      <c r="I476" s="114" t="s">
        <v>496</v>
      </c>
      <c r="J476" s="114" t="str">
        <f>VLOOKUP(I476,Presupuesto!$B$11:$C$565,2,0)</f>
        <v>SUELDOS Y SALARIOS PERMANENTES</v>
      </c>
      <c r="K476" s="98" t="str">
        <f t="shared" si="14"/>
        <v>Posgrado</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4"/>
        <v>Posgrado</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4"/>
        <v>Posgrado</v>
      </c>
      <c r="L478" s="98" t="s">
        <v>395</v>
      </c>
    </row>
    <row r="479" spans="3:12" ht="15.75" thickBot="1">
      <c r="C479" s="137" t="s">
        <v>493</v>
      </c>
      <c r="D479" s="199"/>
      <c r="E479" s="152">
        <v>12</v>
      </c>
      <c r="F479" s="305">
        <f>HLOOKUP($C479,$BZ$2:$CM$3,2,0)</f>
        <v>12356.31</v>
      </c>
      <c r="G479" s="113">
        <f>D479*E479*F479</f>
        <v>0</v>
      </c>
      <c r="H479" s="166"/>
      <c r="I479" s="114" t="s">
        <v>496</v>
      </c>
      <c r="J479" s="114" t="str">
        <f>VLOOKUP(I479,Presupuesto!$B$11:$C$565,2,0)</f>
        <v>SUELDOS Y SALARIOS PERMANENTES</v>
      </c>
      <c r="K479" s="98" t="str">
        <f t="shared" ref="K479:K496" si="15">$K$446</f>
        <v>Posgrado</v>
      </c>
      <c r="L479" s="98" t="s">
        <v>395</v>
      </c>
    </row>
    <row r="480" spans="3:12">
      <c r="C480" s="171" t="s">
        <v>58</v>
      </c>
      <c r="D480" s="163"/>
      <c r="E480" s="154">
        <v>0</v>
      </c>
      <c r="F480" s="100">
        <f>IF(E479=0,"",(G479/E479)/12*E479)</f>
        <v>0</v>
      </c>
      <c r="G480" s="97">
        <f>F480</f>
        <v>0</v>
      </c>
      <c r="H480" s="164"/>
      <c r="I480" s="116" t="s">
        <v>516</v>
      </c>
      <c r="J480" s="116" t="str">
        <f>VLOOKUP(I480,Presupuesto!$B$11:$C$565,2,0)</f>
        <v>AGUINALDO Y DECIMO CUARTO MES</v>
      </c>
      <c r="K480" s="98" t="str">
        <f t="shared" si="15"/>
        <v>Posgrado</v>
      </c>
      <c r="L480" s="98" t="s">
        <v>395</v>
      </c>
    </row>
    <row r="481" spans="3:12" ht="15.75" thickBot="1">
      <c r="C481" s="172" t="s">
        <v>59</v>
      </c>
      <c r="D481" s="163"/>
      <c r="E481" s="154">
        <v>0</v>
      </c>
      <c r="F481" s="117">
        <f>IF(E479&lt;6,"",((E479-6)/12)*(G479/E479))</f>
        <v>0</v>
      </c>
      <c r="G481" s="97">
        <f>F481</f>
        <v>0</v>
      </c>
      <c r="H481" s="164"/>
      <c r="I481" s="101" t="s">
        <v>519</v>
      </c>
      <c r="J481" s="101" t="str">
        <f>VLOOKUP(I481,Presupuesto!$B$11:$C$565,2,0)</f>
        <v>DECIMOCUARTO MES</v>
      </c>
      <c r="K481" s="98" t="str">
        <f t="shared" si="15"/>
        <v>Posgrado</v>
      </c>
      <c r="L481" s="98" t="s">
        <v>395</v>
      </c>
    </row>
    <row r="482" spans="3:12" ht="15.75" thickBot="1">
      <c r="C482" s="137" t="s">
        <v>494</v>
      </c>
      <c r="D482" s="199"/>
      <c r="E482" s="152">
        <v>12</v>
      </c>
      <c r="F482" s="305">
        <f>HLOOKUP($C482,$BZ$2:$CM$3,2,0)</f>
        <v>463.22</v>
      </c>
      <c r="G482" s="113">
        <f>D482*E482*F482</f>
        <v>0</v>
      </c>
      <c r="H482" s="166"/>
      <c r="I482" s="114" t="s">
        <v>496</v>
      </c>
      <c r="J482" s="114" t="str">
        <f>VLOOKUP(I482,Presupuesto!$B$11:$C$565,2,0)</f>
        <v>SUELDOS Y SALARIOS PERMANENTES</v>
      </c>
      <c r="K482" s="98" t="str">
        <f t="shared" si="15"/>
        <v>Posgrado</v>
      </c>
      <c r="L482" s="98" t="s">
        <v>395</v>
      </c>
    </row>
    <row r="483" spans="3:12">
      <c r="C483" s="171" t="s">
        <v>58</v>
      </c>
      <c r="D483" s="163"/>
      <c r="E483" s="154">
        <v>0</v>
      </c>
      <c r="F483" s="100">
        <f>IF(E482=0,"",(G482/E482)/12*E482)</f>
        <v>0</v>
      </c>
      <c r="G483" s="97">
        <f>F483</f>
        <v>0</v>
      </c>
      <c r="H483" s="164"/>
      <c r="I483" s="116" t="s">
        <v>516</v>
      </c>
      <c r="J483" s="116" t="str">
        <f>VLOOKUP(I483,Presupuesto!$B$11:$C$565,2,0)</f>
        <v>AGUINALDO Y DECIMO CUARTO MES</v>
      </c>
      <c r="K483" s="98" t="str">
        <f t="shared" si="15"/>
        <v>Posgrado</v>
      </c>
      <c r="L483" s="98" t="s">
        <v>395</v>
      </c>
    </row>
    <row r="484" spans="3:12" ht="15.75" thickBot="1">
      <c r="C484" s="172" t="s">
        <v>59</v>
      </c>
      <c r="D484" s="163"/>
      <c r="E484" s="154">
        <v>0</v>
      </c>
      <c r="F484" s="117">
        <f>IF(E482&lt;6,"",((E482-6)/12)*(G482/E482))</f>
        <v>0</v>
      </c>
      <c r="G484" s="97">
        <f>F484</f>
        <v>0</v>
      </c>
      <c r="H484" s="164"/>
      <c r="I484" s="101" t="s">
        <v>519</v>
      </c>
      <c r="J484" s="101" t="str">
        <f>VLOOKUP(I484,Presupuesto!$B$11:$C$565,2,0)</f>
        <v>DECIMOCUARTO MES</v>
      </c>
      <c r="K484" s="98" t="str">
        <f t="shared" si="15"/>
        <v>Posgrado</v>
      </c>
      <c r="L484" s="98" t="s">
        <v>395</v>
      </c>
    </row>
    <row r="485" spans="3:12" ht="15.75" thickBot="1">
      <c r="C485" s="137" t="s">
        <v>495</v>
      </c>
      <c r="D485" s="199"/>
      <c r="E485" s="152">
        <v>12</v>
      </c>
      <c r="F485" s="305">
        <f>HLOOKUP($C485,$BZ$2:$CM$3,2,0)</f>
        <v>2007.3</v>
      </c>
      <c r="G485" s="113">
        <f>D485*E485*F485</f>
        <v>0</v>
      </c>
      <c r="H485" s="166"/>
      <c r="I485" s="114" t="s">
        <v>496</v>
      </c>
      <c r="J485" s="114" t="str">
        <f>VLOOKUP(I485,Presupuesto!$B$11:$C$565,2,0)</f>
        <v>SUELDOS Y SALARIOS PERMANENTES</v>
      </c>
      <c r="K485" s="98" t="str">
        <f t="shared" si="15"/>
        <v>Posgrado</v>
      </c>
      <c r="L485" s="98" t="s">
        <v>395</v>
      </c>
    </row>
    <row r="486" spans="3:12">
      <c r="C486" s="171" t="s">
        <v>58</v>
      </c>
      <c r="D486" s="163"/>
      <c r="E486" s="154">
        <v>0</v>
      </c>
      <c r="F486" s="100">
        <f>IF(E485=0,"",(G485/E485)/12*E485)</f>
        <v>0</v>
      </c>
      <c r="G486" s="97">
        <f>F486</f>
        <v>0</v>
      </c>
      <c r="H486" s="164"/>
      <c r="I486" s="116" t="s">
        <v>516</v>
      </c>
      <c r="J486" s="116" t="str">
        <f>VLOOKUP(I486,Presupuesto!$B$11:$C$565,2,0)</f>
        <v>AGUINALDO Y DECIMO CUARTO MES</v>
      </c>
      <c r="K486" s="98" t="str">
        <f t="shared" si="15"/>
        <v>Posgrado</v>
      </c>
      <c r="L486" s="98" t="s">
        <v>395</v>
      </c>
    </row>
    <row r="487" spans="3:12" ht="15.75" thickBot="1">
      <c r="C487" s="172" t="s">
        <v>59</v>
      </c>
      <c r="D487" s="163"/>
      <c r="E487" s="154">
        <v>0</v>
      </c>
      <c r="F487" s="117">
        <f>IF(E485&lt;6,"",((E485-6)/12)*(G485/E485))</f>
        <v>0</v>
      </c>
      <c r="G487" s="97">
        <f>F487</f>
        <v>0</v>
      </c>
      <c r="H487" s="164"/>
      <c r="I487" s="101" t="s">
        <v>519</v>
      </c>
      <c r="J487" s="101" t="str">
        <f>VLOOKUP(I487,Presupuesto!$B$11:$C$565,2,0)</f>
        <v>DECIMOCUARTO MES</v>
      </c>
      <c r="K487" s="98" t="str">
        <f t="shared" si="15"/>
        <v>Posgrado</v>
      </c>
      <c r="L487" s="98" t="s">
        <v>395</v>
      </c>
    </row>
    <row r="488" spans="3:12" ht="15.75" thickBot="1">
      <c r="C488" s="140" t="s">
        <v>83</v>
      </c>
      <c r="D488" s="199"/>
      <c r="E488" s="152">
        <v>12</v>
      </c>
      <c r="F488" s="139">
        <v>30000</v>
      </c>
      <c r="G488" s="113">
        <f>D488*E488*F488</f>
        <v>0</v>
      </c>
      <c r="H488" s="166"/>
      <c r="I488" s="114" t="s">
        <v>564</v>
      </c>
      <c r="J488" s="114" t="str">
        <f>VLOOKUP(I488,Presupuesto!$B$11:$C$565,2,0)</f>
        <v>CONTRATOS ESPECIALES</v>
      </c>
      <c r="K488" s="98" t="str">
        <f t="shared" si="15"/>
        <v>Posgrado</v>
      </c>
      <c r="L488" s="98" t="s">
        <v>395</v>
      </c>
    </row>
    <row r="489" spans="3:12">
      <c r="C489" s="171" t="s">
        <v>58</v>
      </c>
      <c r="D489" s="163"/>
      <c r="E489" s="154">
        <v>0</v>
      </c>
      <c r="F489" s="117">
        <f>IF(E488=0,"",(G488/E488)/12*E488)</f>
        <v>0</v>
      </c>
      <c r="G489" s="97">
        <f>F489</f>
        <v>0</v>
      </c>
      <c r="H489" s="164"/>
      <c r="I489" s="101" t="s">
        <v>564</v>
      </c>
      <c r="J489" s="101" t="str">
        <f>VLOOKUP(I489,Presupuesto!$B$11:$C$565,2,0)</f>
        <v>CONTRATOS ESPECIALES</v>
      </c>
      <c r="K489" s="98" t="str">
        <f t="shared" si="15"/>
        <v>Posgrado</v>
      </c>
      <c r="L489" s="98" t="s">
        <v>394</v>
      </c>
    </row>
    <row r="490" spans="3:12" ht="15.75" thickBot="1">
      <c r="C490" s="172" t="s">
        <v>59</v>
      </c>
      <c r="D490" s="163"/>
      <c r="E490" s="154">
        <v>0</v>
      </c>
      <c r="F490" s="100">
        <f>IF(E488&lt;6,"",((E488-6)/12)*(G488/E488))</f>
        <v>0</v>
      </c>
      <c r="G490" s="97">
        <f>F490</f>
        <v>0</v>
      </c>
      <c r="H490" s="164"/>
      <c r="I490" s="101" t="s">
        <v>564</v>
      </c>
      <c r="J490" s="101" t="str">
        <f>VLOOKUP(I490,Presupuesto!$B$11:$C$565,2,0)</f>
        <v>CONTRATOS ESPECIALES</v>
      </c>
      <c r="K490" s="98" t="str">
        <f t="shared" si="15"/>
        <v>Posgrado</v>
      </c>
      <c r="L490" s="98" t="s">
        <v>399</v>
      </c>
    </row>
    <row r="491" spans="3:12" ht="15.75" thickBot="1">
      <c r="C491" s="140" t="s">
        <v>60</v>
      </c>
      <c r="D491" s="199"/>
      <c r="E491" s="152">
        <v>12</v>
      </c>
      <c r="F491" s="118">
        <v>30000</v>
      </c>
      <c r="G491" s="113">
        <f>D491*E491*F491</f>
        <v>0</v>
      </c>
      <c r="H491" s="166"/>
      <c r="I491" s="114" t="s">
        <v>705</v>
      </c>
      <c r="J491" s="114" t="str">
        <f>VLOOKUP(I491,Presupuesto!$B$11:$C$565,2,0)</f>
        <v>OTROS SERVICIOS TECNICOS Y PROFESIONALES</v>
      </c>
      <c r="K491" s="98" t="str">
        <f t="shared" si="15"/>
        <v>Posgrado</v>
      </c>
      <c r="L491" s="98" t="s">
        <v>394</v>
      </c>
    </row>
    <row r="492" spans="3:12">
      <c r="C492" s="171" t="s">
        <v>58</v>
      </c>
      <c r="D492" s="163"/>
      <c r="E492" s="154">
        <v>0</v>
      </c>
      <c r="F492" s="100">
        <v>0</v>
      </c>
      <c r="G492" s="97">
        <f>F492</f>
        <v>0</v>
      </c>
      <c r="H492" s="164"/>
      <c r="I492" s="101" t="s">
        <v>705</v>
      </c>
      <c r="J492" s="101" t="str">
        <f>VLOOKUP(I492,Presupuesto!$B$11:$C$565,2,0)</f>
        <v>OTROS SERVICIOS TECNICOS Y PROFESIONALES</v>
      </c>
      <c r="K492" s="98" t="str">
        <f t="shared" si="15"/>
        <v>Posgrado</v>
      </c>
      <c r="L492" s="98" t="s">
        <v>394</v>
      </c>
    </row>
    <row r="493" spans="3:12" ht="15.75" thickBot="1">
      <c r="C493" s="172" t="s">
        <v>59</v>
      </c>
      <c r="D493" s="163"/>
      <c r="E493" s="154">
        <v>0</v>
      </c>
      <c r="F493" s="100">
        <v>0</v>
      </c>
      <c r="G493" s="97">
        <f>F493</f>
        <v>0</v>
      </c>
      <c r="H493" s="164"/>
      <c r="I493" s="101" t="s">
        <v>705</v>
      </c>
      <c r="J493" s="101" t="str">
        <f>VLOOKUP(I493,Presupuesto!$B$11:$C$565,2,0)</f>
        <v>OTROS SERVICIOS TECNICOS Y PROFESIONALES</v>
      </c>
      <c r="K493" s="98" t="str">
        <f t="shared" si="15"/>
        <v>Posgrado</v>
      </c>
      <c r="L493" s="98" t="s">
        <v>394</v>
      </c>
    </row>
    <row r="494" spans="3:12" ht="15.75" thickBot="1">
      <c r="C494" s="140" t="s">
        <v>61</v>
      </c>
      <c r="D494" s="199"/>
      <c r="E494" s="152">
        <v>12</v>
      </c>
      <c r="F494" s="118">
        <v>30000</v>
      </c>
      <c r="G494" s="113">
        <f>D494*E494*F494</f>
        <v>0</v>
      </c>
      <c r="H494" s="166"/>
      <c r="I494" s="114" t="s">
        <v>496</v>
      </c>
      <c r="J494" s="114" t="str">
        <f>VLOOKUP(I494,Presupuesto!$B$11:$C$565,2,0)</f>
        <v>SUELDOS Y SALARIOS PERMANENTES</v>
      </c>
      <c r="K494" s="98" t="str">
        <f t="shared" si="15"/>
        <v>Posgrado</v>
      </c>
      <c r="L494" s="98" t="s">
        <v>394</v>
      </c>
    </row>
    <row r="495" spans="3:12">
      <c r="C495" s="171" t="s">
        <v>58</v>
      </c>
      <c r="D495" s="169"/>
      <c r="E495" s="131">
        <v>0</v>
      </c>
      <c r="F495" s="119">
        <f>IF(E494=0,"",(G494/E494)/12*E494)</f>
        <v>0</v>
      </c>
      <c r="G495" s="120">
        <f>F495</f>
        <v>0</v>
      </c>
      <c r="H495" s="164"/>
      <c r="I495" s="101" t="s">
        <v>516</v>
      </c>
      <c r="J495" s="101" t="str">
        <f>VLOOKUP(I495,Presupuesto!$B$11:$C$565,2,0)</f>
        <v>AGUINALDO Y DECIMO CUARTO MES</v>
      </c>
      <c r="K495" s="98" t="str">
        <f t="shared" si="15"/>
        <v>Posgrado</v>
      </c>
      <c r="L495" s="98" t="s">
        <v>394</v>
      </c>
    </row>
    <row r="496" spans="3:12" ht="15.75" thickBot="1">
      <c r="C496" s="173" t="s">
        <v>59</v>
      </c>
      <c r="D496" s="162"/>
      <c r="E496" s="132">
        <v>0</v>
      </c>
      <c r="F496" s="105">
        <f>IF(E494&lt;6,"",((E494-6)/12)*(G494/E494))</f>
        <v>0</v>
      </c>
      <c r="G496" s="105">
        <f>F496</f>
        <v>0</v>
      </c>
      <c r="H496" s="162"/>
      <c r="I496" s="106" t="s">
        <v>519</v>
      </c>
      <c r="J496" s="124" t="str">
        <f>VLOOKUP(I496,Presupuesto!$B$11:$C$565,2,0)</f>
        <v>DECIMOCUARTO MES</v>
      </c>
      <c r="K496" s="106" t="str">
        <f t="shared" si="15"/>
        <v>Posgrado</v>
      </c>
      <c r="L496" s="124" t="s">
        <v>394</v>
      </c>
    </row>
    <row r="498" spans="3:12" ht="15.75" thickBot="1">
      <c r="K498" s="153"/>
    </row>
    <row r="499" spans="3:12" ht="15.75" thickBot="1">
      <c r="C499" s="69" t="s">
        <v>43</v>
      </c>
      <c r="D499" s="30">
        <f>SUM(G506:G556)</f>
        <v>0</v>
      </c>
      <c r="E499" s="93"/>
      <c r="F499" s="93"/>
      <c r="G499" s="93"/>
      <c r="H499" s="76"/>
      <c r="I499" s="76"/>
      <c r="J499" s="76"/>
      <c r="K499" s="153"/>
    </row>
    <row r="500" spans="3:12">
      <c r="D500" s="31"/>
      <c r="E500" s="93"/>
      <c r="F500" s="93"/>
      <c r="G500" s="93"/>
      <c r="H500" s="76"/>
      <c r="I500" s="76"/>
      <c r="J500" s="76"/>
      <c r="K500" s="153"/>
    </row>
    <row r="501" spans="3:12">
      <c r="D501" s="31"/>
      <c r="E501" s="93"/>
      <c r="F501" s="93"/>
      <c r="G501" s="93"/>
      <c r="H501" s="76"/>
      <c r="I501" s="76"/>
      <c r="J501" s="76"/>
      <c r="K501" s="153"/>
    </row>
    <row r="502" spans="3:12" ht="15.75">
      <c r="C502" s="202" t="s">
        <v>392</v>
      </c>
      <c r="D502" s="370"/>
      <c r="E502" s="93"/>
      <c r="F502" s="93"/>
      <c r="G502" s="93"/>
      <c r="H502" s="76"/>
      <c r="I502" s="76"/>
      <c r="J502" s="76"/>
      <c r="K502" s="153"/>
    </row>
    <row r="503" spans="3:12" ht="18.75">
      <c r="C503" s="211" t="e">
        <f>IFERROR(VLOOKUP(D502,'1. Desarrollo e Innov. Curricu.'!$E:$F,2,FALSE),IFERROR(VLOOKUP(D502,'2. Investigación Científica'!$E:$F,2,FALSE),IFERROR(VLOOKUP(D502,'3. Vinculación Univ. Sociedad'!$E:$F,2,FALSE),IFERROR(VLOOKUP(D502,'4. Docencia y Profesorado Univ.'!$E:$F,2,FALSE),IFERROR(VLOOKUP(D502,'5. Estudiantes y Graduados'!$E:$F,2,FALSE),IFERROR(VLOOKUP(D502,'11. Gestion Administrativa'!$E:$F,2,FALSE),IFERROR(VLOOKUP(D502,'13. Gestión Académica'!$E:$F,2,FALSE),IFERROR(VLOOKUP(D502,'8. Asegura. de la Calid. y M'!$E:$F,2,FALSE),IFERROR(VLOOKUP(D502,'6. Gestión del Conocimiento'!$E:$F,2,FALSE),IFERROR(VLOOKUP(D502,'15. Gobernabilidad y Proceso...'!$E:$F,2,FALSE),IFERROR(VLOOKUP(D502,'12. Gestión del Talento Humano'!$E:$F,2,FALSE),IFERROR(VLOOKUP(D502,'14. Internacional... de la E.S.'!$E:$F,2,FALSE),IFERROR(VLOOKUP(D502,'10. Posgrado'!$E:$F,2,FALSE),IFERROR(VLOOKUP(D502,'17. Gestión TIC'!$E:$F,2,FALSE),IFERROR(VLOOKUP(D502,'16. Desa. del Sistema Educ.Sup.'!$E:$F,2,FALSE),IFERROR(VLOOKUP(D502,'9. Cultura de Inno. Insti...'!$E:$F,2,FALSE),VLOOKUP(D502,'7. Lo Esencial de la Reforma U.'!$E:$F,2,0)))))))))))))))))</f>
        <v>#N/A</v>
      </c>
      <c r="D503" s="31"/>
      <c r="E503" s="93"/>
      <c r="F503" s="93"/>
      <c r="G503" s="93"/>
      <c r="H503" s="76"/>
      <c r="I503" s="76"/>
      <c r="J503" s="76"/>
      <c r="K503" s="153"/>
    </row>
    <row r="504" spans="3:12" ht="15.75" thickBot="1">
      <c r="C504" s="177"/>
      <c r="D504" s="31"/>
      <c r="E504" s="93"/>
      <c r="F504" s="93"/>
      <c r="G504" s="93"/>
      <c r="H504" s="76"/>
      <c r="I504" s="76"/>
      <c r="J504" s="76"/>
      <c r="K504" s="153"/>
    </row>
    <row r="505" spans="3:12" ht="30.75" thickBot="1">
      <c r="C505" s="134" t="s">
        <v>44</v>
      </c>
      <c r="D505" s="138" t="s">
        <v>55</v>
      </c>
      <c r="E505" s="170" t="s">
        <v>56</v>
      </c>
      <c r="F505" s="138" t="s">
        <v>57</v>
      </c>
      <c r="G505" s="135" t="s">
        <v>27</v>
      </c>
      <c r="H505" s="133" t="s">
        <v>131</v>
      </c>
      <c r="I505" s="136" t="s">
        <v>46</v>
      </c>
      <c r="J505" s="136" t="s">
        <v>132</v>
      </c>
      <c r="K505" s="136" t="s">
        <v>410</v>
      </c>
      <c r="L505" s="136" t="s">
        <v>411</v>
      </c>
    </row>
    <row r="506" spans="3:12" ht="15.75" thickBot="1">
      <c r="C506" s="137" t="s">
        <v>482</v>
      </c>
      <c r="D506" s="199"/>
      <c r="E506" s="152">
        <v>12</v>
      </c>
      <c r="F506" s="305">
        <f>HLOOKUP($C506,$BZ$2:$CM$3,2,0)</f>
        <v>43674.39</v>
      </c>
      <c r="G506" s="113">
        <f>D506*E506*F506</f>
        <v>0</v>
      </c>
      <c r="H506" s="166"/>
      <c r="I506" s="114" t="s">
        <v>496</v>
      </c>
      <c r="J506" s="114" t="str">
        <f>VLOOKUP(I506,Presupuesto!$B$11:$C$565,2,0)</f>
        <v>SUELDOS Y SALARIOS PERMANENTES</v>
      </c>
      <c r="K506" s="219" t="s">
        <v>1453</v>
      </c>
      <c r="L506" s="98" t="s">
        <v>394</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ref="K507:K538" si="16">$K$506</f>
        <v>Posgrado</v>
      </c>
      <c r="L507" s="98" t="s">
        <v>412</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c r="C509" s="137" t="s">
        <v>483</v>
      </c>
      <c r="D509" s="199"/>
      <c r="E509" s="152">
        <v>12</v>
      </c>
      <c r="F509" s="305">
        <f>HLOOKUP($C509,$BZ$2:$CM$3,2,0)</f>
        <v>39703.99</v>
      </c>
      <c r="G509" s="113">
        <f>D509*E509*F509</f>
        <v>0</v>
      </c>
      <c r="H509" s="166"/>
      <c r="I509" s="114" t="s">
        <v>496</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c r="C512" s="137" t="s">
        <v>484</v>
      </c>
      <c r="D512" s="199"/>
      <c r="E512" s="152">
        <v>12</v>
      </c>
      <c r="F512" s="305">
        <f>HLOOKUP($C512,$BZ$2:$CM$3,2,0)</f>
        <v>35733.589999999997</v>
      </c>
      <c r="G512" s="113">
        <f>D512*E512*F512</f>
        <v>0</v>
      </c>
      <c r="H512" s="166"/>
      <c r="I512" s="114" t="s">
        <v>496</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c r="C515" s="137" t="s">
        <v>485</v>
      </c>
      <c r="D515" s="199"/>
      <c r="E515" s="152">
        <v>12</v>
      </c>
      <c r="F515" s="305">
        <f>HLOOKUP($C515,$BZ$2:$CM$3,2,0)</f>
        <v>31763.19</v>
      </c>
      <c r="G515" s="113">
        <f>D515*E515*F515</f>
        <v>0</v>
      </c>
      <c r="H515" s="166"/>
      <c r="I515" s="114" t="s">
        <v>496</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c r="C518" s="137" t="s">
        <v>486</v>
      </c>
      <c r="D518" s="199"/>
      <c r="E518" s="152">
        <v>12</v>
      </c>
      <c r="F518" s="305">
        <f>HLOOKUP($C518,$BZ$2:$CM$3,2,0)</f>
        <v>29777.99</v>
      </c>
      <c r="G518" s="113">
        <f>D518*E518*F518</f>
        <v>0</v>
      </c>
      <c r="H518" s="166"/>
      <c r="I518" s="114" t="s">
        <v>496</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c r="C521" s="137" t="s">
        <v>487</v>
      </c>
      <c r="D521" s="199"/>
      <c r="E521" s="152">
        <v>12</v>
      </c>
      <c r="F521" s="305">
        <f>HLOOKUP($C521,$BZ$2:$CM$3,2,0)</f>
        <v>27792.79</v>
      </c>
      <c r="G521" s="113">
        <f>D521*E521*F521</f>
        <v>0</v>
      </c>
      <c r="H521" s="166"/>
      <c r="I521" s="114" t="s">
        <v>496</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c r="C524" s="137" t="s">
        <v>488</v>
      </c>
      <c r="D524" s="199"/>
      <c r="E524" s="152">
        <v>12</v>
      </c>
      <c r="F524" s="305">
        <f>HLOOKUP($C524,$BZ$2:$CM$3,2,0)</f>
        <v>18859.39</v>
      </c>
      <c r="G524" s="113">
        <f>D524*E524*F524</f>
        <v>0</v>
      </c>
      <c r="H524" s="166"/>
      <c r="I524" s="114" t="s">
        <v>496</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c r="C527" s="137" t="s">
        <v>489</v>
      </c>
      <c r="D527" s="199"/>
      <c r="E527" s="152">
        <v>12</v>
      </c>
      <c r="F527" s="305">
        <f>HLOOKUP($C527,$BZ$2:$CM$3,2,0)</f>
        <v>17866.8</v>
      </c>
      <c r="G527" s="113">
        <f>D527*E527*F527</f>
        <v>0</v>
      </c>
      <c r="H527" s="166"/>
      <c r="I527" s="114" t="s">
        <v>496</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c r="C530" s="137" t="s">
        <v>490</v>
      </c>
      <c r="D530" s="199"/>
      <c r="E530" s="152">
        <v>12</v>
      </c>
      <c r="F530" s="305">
        <f>HLOOKUP($C530,$BZ$2:$CM$3,2,0)</f>
        <v>13896.4</v>
      </c>
      <c r="G530" s="113">
        <f>D530*E530*F530</f>
        <v>0</v>
      </c>
      <c r="H530" s="166"/>
      <c r="I530" s="114" t="s">
        <v>496</v>
      </c>
      <c r="J530" s="114" t="str">
        <f>VLOOKUP(I530,Presupuesto!$B$11:$C$565,2,0)</f>
        <v>SUELDOS Y SALARIOS PERMANENTES</v>
      </c>
      <c r="K530" s="98" t="str">
        <f t="shared" si="16"/>
        <v>Posgrado</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6"/>
        <v>Posgrado</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6"/>
        <v>Posgrado</v>
      </c>
      <c r="L532" s="98" t="s">
        <v>395</v>
      </c>
    </row>
    <row r="533" spans="3:12" ht="15.75" thickBot="1">
      <c r="C533" s="137" t="s">
        <v>491</v>
      </c>
      <c r="D533" s="199"/>
      <c r="E533" s="152">
        <v>12</v>
      </c>
      <c r="F533" s="305">
        <f>HLOOKUP($C533,$BZ$2:$CM$3,2,0)</f>
        <v>15004.09</v>
      </c>
      <c r="G533" s="113">
        <f>D533*E533*F533</f>
        <v>0</v>
      </c>
      <c r="H533" s="166"/>
      <c r="I533" s="114" t="s">
        <v>496</v>
      </c>
      <c r="J533" s="114" t="str">
        <f>VLOOKUP(I533,Presupuesto!$B$11:$C$565,2,0)</f>
        <v>SUELDOS Y SALARIOS PERMANENTES</v>
      </c>
      <c r="K533" s="98" t="str">
        <f t="shared" si="16"/>
        <v>Posgrado</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6"/>
        <v>Posgrado</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6"/>
        <v>Posgrado</v>
      </c>
      <c r="L535" s="98" t="s">
        <v>395</v>
      </c>
    </row>
    <row r="536" spans="3:12" ht="15.75" thickBot="1">
      <c r="C536" s="137" t="s">
        <v>492</v>
      </c>
      <c r="D536" s="199"/>
      <c r="E536" s="152">
        <v>12</v>
      </c>
      <c r="F536" s="305">
        <f>HLOOKUP($C536,$BZ$2:$CM$3,2,0)</f>
        <v>13238.9</v>
      </c>
      <c r="G536" s="113">
        <f>D536*E536*F536</f>
        <v>0</v>
      </c>
      <c r="H536" s="166"/>
      <c r="I536" s="114" t="s">
        <v>496</v>
      </c>
      <c r="J536" s="114" t="str">
        <f>VLOOKUP(I536,Presupuesto!$B$11:$C$565,2,0)</f>
        <v>SUELDOS Y SALARIOS PERMANENTES</v>
      </c>
      <c r="K536" s="98" t="str">
        <f t="shared" si="16"/>
        <v>Posgrado</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6"/>
        <v>Posgrado</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6"/>
        <v>Posgrado</v>
      </c>
      <c r="L538" s="98" t="s">
        <v>395</v>
      </c>
    </row>
    <row r="539" spans="3:12" ht="15.75" thickBot="1">
      <c r="C539" s="137" t="s">
        <v>493</v>
      </c>
      <c r="D539" s="199"/>
      <c r="E539" s="152">
        <v>12</v>
      </c>
      <c r="F539" s="305">
        <f>HLOOKUP($C539,$BZ$2:$CM$3,2,0)</f>
        <v>12356.31</v>
      </c>
      <c r="G539" s="113">
        <f>D539*E539*F539</f>
        <v>0</v>
      </c>
      <c r="H539" s="166"/>
      <c r="I539" s="114" t="s">
        <v>496</v>
      </c>
      <c r="J539" s="114" t="str">
        <f>VLOOKUP(I539,Presupuesto!$B$11:$C$565,2,0)</f>
        <v>SUELDOS Y SALARIOS PERMANENTES</v>
      </c>
      <c r="K539" s="98" t="str">
        <f t="shared" ref="K539:K556" si="17">$K$506</f>
        <v>Posgrado</v>
      </c>
      <c r="L539" s="98" t="s">
        <v>395</v>
      </c>
    </row>
    <row r="540" spans="3:12">
      <c r="C540" s="171" t="s">
        <v>58</v>
      </c>
      <c r="D540" s="163"/>
      <c r="E540" s="154">
        <v>0</v>
      </c>
      <c r="F540" s="100">
        <f>IF(E539=0,"",(G539/E539)/12*E539)</f>
        <v>0</v>
      </c>
      <c r="G540" s="97">
        <f>F540</f>
        <v>0</v>
      </c>
      <c r="H540" s="164"/>
      <c r="I540" s="116" t="s">
        <v>516</v>
      </c>
      <c r="J540" s="116" t="str">
        <f>VLOOKUP(I540,Presupuesto!$B$11:$C$565,2,0)</f>
        <v>AGUINALDO Y DECIMO CUARTO MES</v>
      </c>
      <c r="K540" s="98" t="str">
        <f t="shared" si="17"/>
        <v>Posgrado</v>
      </c>
      <c r="L540" s="98" t="s">
        <v>395</v>
      </c>
    </row>
    <row r="541" spans="3:12" ht="15.75" thickBot="1">
      <c r="C541" s="172" t="s">
        <v>59</v>
      </c>
      <c r="D541" s="163"/>
      <c r="E541" s="154">
        <v>0</v>
      </c>
      <c r="F541" s="117">
        <f>IF(E539&lt;6,"",((E539-6)/12)*(G539/E539))</f>
        <v>0</v>
      </c>
      <c r="G541" s="97">
        <f>F541</f>
        <v>0</v>
      </c>
      <c r="H541" s="164"/>
      <c r="I541" s="101" t="s">
        <v>519</v>
      </c>
      <c r="J541" s="101" t="str">
        <f>VLOOKUP(I541,Presupuesto!$B$11:$C$565,2,0)</f>
        <v>DECIMOCUARTO MES</v>
      </c>
      <c r="K541" s="98" t="str">
        <f t="shared" si="17"/>
        <v>Posgrado</v>
      </c>
      <c r="L541" s="98" t="s">
        <v>395</v>
      </c>
    </row>
    <row r="542" spans="3:12" ht="15.75" thickBot="1">
      <c r="C542" s="137" t="s">
        <v>494</v>
      </c>
      <c r="D542" s="199"/>
      <c r="E542" s="152">
        <v>12</v>
      </c>
      <c r="F542" s="305">
        <f>HLOOKUP($C542,$BZ$2:$CM$3,2,0)</f>
        <v>463.22</v>
      </c>
      <c r="G542" s="113">
        <f>D542*E542*F542</f>
        <v>0</v>
      </c>
      <c r="H542" s="166"/>
      <c r="I542" s="114" t="s">
        <v>496</v>
      </c>
      <c r="J542" s="114" t="str">
        <f>VLOOKUP(I542,Presupuesto!$B$11:$C$565,2,0)</f>
        <v>SUELDOS Y SALARIOS PERMANENTES</v>
      </c>
      <c r="K542" s="98" t="str">
        <f t="shared" si="17"/>
        <v>Posgrado</v>
      </c>
      <c r="L542" s="98" t="s">
        <v>395</v>
      </c>
    </row>
    <row r="543" spans="3:12">
      <c r="C543" s="171" t="s">
        <v>58</v>
      </c>
      <c r="D543" s="163"/>
      <c r="E543" s="154">
        <v>0</v>
      </c>
      <c r="F543" s="100">
        <f>IF(E542=0,"",(G542/E542)/12*E542)</f>
        <v>0</v>
      </c>
      <c r="G543" s="97">
        <f>F543</f>
        <v>0</v>
      </c>
      <c r="H543" s="164"/>
      <c r="I543" s="116" t="s">
        <v>516</v>
      </c>
      <c r="J543" s="116" t="str">
        <f>VLOOKUP(I543,Presupuesto!$B$11:$C$565,2,0)</f>
        <v>AGUINALDO Y DECIMO CUARTO MES</v>
      </c>
      <c r="K543" s="98" t="str">
        <f t="shared" si="17"/>
        <v>Posgrado</v>
      </c>
      <c r="L543" s="98" t="s">
        <v>395</v>
      </c>
    </row>
    <row r="544" spans="3:12" ht="15.75" thickBot="1">
      <c r="C544" s="172" t="s">
        <v>59</v>
      </c>
      <c r="D544" s="163"/>
      <c r="E544" s="154">
        <v>0</v>
      </c>
      <c r="F544" s="117">
        <f>IF(E542&lt;6,"",((E542-6)/12)*(G542/E542))</f>
        <v>0</v>
      </c>
      <c r="G544" s="97">
        <f>F544</f>
        <v>0</v>
      </c>
      <c r="H544" s="164"/>
      <c r="I544" s="101" t="s">
        <v>519</v>
      </c>
      <c r="J544" s="101" t="str">
        <f>VLOOKUP(I544,Presupuesto!$B$11:$C$565,2,0)</f>
        <v>DECIMOCUARTO MES</v>
      </c>
      <c r="K544" s="98" t="str">
        <f t="shared" si="17"/>
        <v>Posgrado</v>
      </c>
      <c r="L544" s="98" t="s">
        <v>395</v>
      </c>
    </row>
    <row r="545" spans="3:12" ht="15.75" thickBot="1">
      <c r="C545" s="137" t="s">
        <v>495</v>
      </c>
      <c r="D545" s="199"/>
      <c r="E545" s="152">
        <v>12</v>
      </c>
      <c r="F545" s="305">
        <f>HLOOKUP($C545,$BZ$2:$CM$3,2,0)</f>
        <v>2007.3</v>
      </c>
      <c r="G545" s="113">
        <f>D545*E545*F545</f>
        <v>0</v>
      </c>
      <c r="H545" s="166"/>
      <c r="I545" s="114" t="s">
        <v>496</v>
      </c>
      <c r="J545" s="114" t="str">
        <f>VLOOKUP(I545,Presupuesto!$B$11:$C$565,2,0)</f>
        <v>SUELDOS Y SALARIOS PERMANENTES</v>
      </c>
      <c r="K545" s="98" t="str">
        <f t="shared" si="17"/>
        <v>Posgrado</v>
      </c>
      <c r="L545" s="98" t="s">
        <v>395</v>
      </c>
    </row>
    <row r="546" spans="3:12">
      <c r="C546" s="171" t="s">
        <v>58</v>
      </c>
      <c r="D546" s="163"/>
      <c r="E546" s="154">
        <v>0</v>
      </c>
      <c r="F546" s="100">
        <f>IF(E545=0,"",(G545/E545)/12*E545)</f>
        <v>0</v>
      </c>
      <c r="G546" s="97">
        <f>F546</f>
        <v>0</v>
      </c>
      <c r="H546" s="164"/>
      <c r="I546" s="116" t="s">
        <v>516</v>
      </c>
      <c r="J546" s="116" t="str">
        <f>VLOOKUP(I546,Presupuesto!$B$11:$C$565,2,0)</f>
        <v>AGUINALDO Y DECIMO CUARTO MES</v>
      </c>
      <c r="K546" s="98" t="str">
        <f t="shared" si="17"/>
        <v>Posgrado</v>
      </c>
      <c r="L546" s="98" t="s">
        <v>395</v>
      </c>
    </row>
    <row r="547" spans="3:12" ht="15.75" thickBot="1">
      <c r="C547" s="172" t="s">
        <v>59</v>
      </c>
      <c r="D547" s="163"/>
      <c r="E547" s="154">
        <v>0</v>
      </c>
      <c r="F547" s="117">
        <f>IF(E545&lt;6,"",((E545-6)/12)*(G545/E545))</f>
        <v>0</v>
      </c>
      <c r="G547" s="97">
        <f>F547</f>
        <v>0</v>
      </c>
      <c r="H547" s="164"/>
      <c r="I547" s="101" t="s">
        <v>519</v>
      </c>
      <c r="J547" s="101" t="str">
        <f>VLOOKUP(I547,Presupuesto!$B$11:$C$565,2,0)</f>
        <v>DECIMOCUARTO MES</v>
      </c>
      <c r="K547" s="98" t="str">
        <f t="shared" si="17"/>
        <v>Posgrado</v>
      </c>
      <c r="L547" s="98" t="s">
        <v>395</v>
      </c>
    </row>
    <row r="548" spans="3:12" ht="15.75" thickBot="1">
      <c r="C548" s="140" t="s">
        <v>83</v>
      </c>
      <c r="D548" s="199"/>
      <c r="E548" s="152">
        <v>12</v>
      </c>
      <c r="F548" s="139">
        <v>30000</v>
      </c>
      <c r="G548" s="113">
        <f>D548*E548*F548</f>
        <v>0</v>
      </c>
      <c r="H548" s="166"/>
      <c r="I548" s="114" t="s">
        <v>564</v>
      </c>
      <c r="J548" s="114" t="str">
        <f>VLOOKUP(I548,Presupuesto!$B$11:$C$565,2,0)</f>
        <v>CONTRATOS ESPECIALES</v>
      </c>
      <c r="K548" s="98" t="str">
        <f t="shared" si="17"/>
        <v>Posgrado</v>
      </c>
      <c r="L548" s="98" t="s">
        <v>395</v>
      </c>
    </row>
    <row r="549" spans="3:12">
      <c r="C549" s="171" t="s">
        <v>58</v>
      </c>
      <c r="D549" s="163"/>
      <c r="E549" s="154">
        <v>0</v>
      </c>
      <c r="F549" s="117">
        <f>IF(E548=0,"",(G548/E548)/12*E548)</f>
        <v>0</v>
      </c>
      <c r="G549" s="97">
        <f>F549</f>
        <v>0</v>
      </c>
      <c r="H549" s="164"/>
      <c r="I549" s="101" t="s">
        <v>564</v>
      </c>
      <c r="J549" s="101" t="str">
        <f>VLOOKUP(I549,Presupuesto!$B$11:$C$565,2,0)</f>
        <v>CONTRATOS ESPECIALES</v>
      </c>
      <c r="K549" s="98" t="str">
        <f t="shared" si="17"/>
        <v>Posgrado</v>
      </c>
      <c r="L549" s="98" t="s">
        <v>394</v>
      </c>
    </row>
    <row r="550" spans="3:12" ht="15.75" thickBot="1">
      <c r="C550" s="172" t="s">
        <v>59</v>
      </c>
      <c r="D550" s="163"/>
      <c r="E550" s="154">
        <v>0</v>
      </c>
      <c r="F550" s="100">
        <f>IF(E548&lt;6,"",((E548-6)/12)*(G548/E548))</f>
        <v>0</v>
      </c>
      <c r="G550" s="97">
        <f>F550</f>
        <v>0</v>
      </c>
      <c r="H550" s="164"/>
      <c r="I550" s="101" t="s">
        <v>564</v>
      </c>
      <c r="J550" s="101" t="str">
        <f>VLOOKUP(I550,Presupuesto!$B$11:$C$565,2,0)</f>
        <v>CONTRATOS ESPECIALES</v>
      </c>
      <c r="K550" s="98" t="str">
        <f t="shared" si="17"/>
        <v>Posgrado</v>
      </c>
      <c r="L550" s="98" t="s">
        <v>399</v>
      </c>
    </row>
    <row r="551" spans="3:12" ht="15.75" thickBot="1">
      <c r="C551" s="140" t="s">
        <v>60</v>
      </c>
      <c r="D551" s="199"/>
      <c r="E551" s="152">
        <v>12</v>
      </c>
      <c r="F551" s="118">
        <v>30000</v>
      </c>
      <c r="G551" s="113">
        <f>D551*E551*F551</f>
        <v>0</v>
      </c>
      <c r="H551" s="166"/>
      <c r="I551" s="114" t="s">
        <v>705</v>
      </c>
      <c r="J551" s="114" t="str">
        <f>VLOOKUP(I551,Presupuesto!$B$11:$C$565,2,0)</f>
        <v>OTROS SERVICIOS TECNICOS Y PROFESIONALES</v>
      </c>
      <c r="K551" s="98" t="str">
        <f t="shared" si="17"/>
        <v>Posgrado</v>
      </c>
      <c r="L551" s="98" t="s">
        <v>394</v>
      </c>
    </row>
    <row r="552" spans="3:12">
      <c r="C552" s="171" t="s">
        <v>58</v>
      </c>
      <c r="D552" s="163"/>
      <c r="E552" s="154">
        <v>0</v>
      </c>
      <c r="F552" s="100">
        <v>0</v>
      </c>
      <c r="G552" s="97">
        <f>F552</f>
        <v>0</v>
      </c>
      <c r="H552" s="164"/>
      <c r="I552" s="101" t="s">
        <v>705</v>
      </c>
      <c r="J552" s="101" t="str">
        <f>VLOOKUP(I552,Presupuesto!$B$11:$C$565,2,0)</f>
        <v>OTROS SERVICIOS TECNICOS Y PROFESIONALES</v>
      </c>
      <c r="K552" s="98" t="str">
        <f t="shared" si="17"/>
        <v>Posgrado</v>
      </c>
      <c r="L552" s="98" t="s">
        <v>394</v>
      </c>
    </row>
    <row r="553" spans="3:12" ht="15.75" thickBot="1">
      <c r="C553" s="172" t="s">
        <v>59</v>
      </c>
      <c r="D553" s="163"/>
      <c r="E553" s="154">
        <v>0</v>
      </c>
      <c r="F553" s="100">
        <v>0</v>
      </c>
      <c r="G553" s="97">
        <f>F553</f>
        <v>0</v>
      </c>
      <c r="H553" s="164"/>
      <c r="I553" s="101" t="s">
        <v>705</v>
      </c>
      <c r="J553" s="101" t="str">
        <f>VLOOKUP(I553,Presupuesto!$B$11:$C$565,2,0)</f>
        <v>OTROS SERVICIOS TECNICOS Y PROFESIONALES</v>
      </c>
      <c r="K553" s="98" t="str">
        <f t="shared" si="17"/>
        <v>Posgrado</v>
      </c>
      <c r="L553" s="98" t="s">
        <v>394</v>
      </c>
    </row>
    <row r="554" spans="3:12" ht="15.75" thickBot="1">
      <c r="C554" s="140" t="s">
        <v>61</v>
      </c>
      <c r="D554" s="199"/>
      <c r="E554" s="152">
        <v>12</v>
      </c>
      <c r="F554" s="118">
        <v>30000</v>
      </c>
      <c r="G554" s="113">
        <f>D554*E554*F554</f>
        <v>0</v>
      </c>
      <c r="H554" s="166"/>
      <c r="I554" s="114" t="s">
        <v>496</v>
      </c>
      <c r="J554" s="114" t="str">
        <f>VLOOKUP(I554,Presupuesto!$B$11:$C$565,2,0)</f>
        <v>SUELDOS Y SALARIOS PERMANENTES</v>
      </c>
      <c r="K554" s="98" t="str">
        <f t="shared" si="17"/>
        <v>Posgrado</v>
      </c>
      <c r="L554" s="98" t="s">
        <v>394</v>
      </c>
    </row>
    <row r="555" spans="3:12">
      <c r="C555" s="171" t="s">
        <v>58</v>
      </c>
      <c r="D555" s="169"/>
      <c r="E555" s="131">
        <v>0</v>
      </c>
      <c r="F555" s="119">
        <f>IF(E554=0,"",(G554/E554)/12*E554)</f>
        <v>0</v>
      </c>
      <c r="G555" s="120">
        <f>F555</f>
        <v>0</v>
      </c>
      <c r="H555" s="164"/>
      <c r="I555" s="101" t="s">
        <v>516</v>
      </c>
      <c r="J555" s="101" t="str">
        <f>VLOOKUP(I555,Presupuesto!$B$11:$C$565,2,0)</f>
        <v>AGUINALDO Y DECIMO CUARTO MES</v>
      </c>
      <c r="K555" s="98" t="str">
        <f t="shared" si="17"/>
        <v>Posgrado</v>
      </c>
      <c r="L555" s="98" t="s">
        <v>394</v>
      </c>
    </row>
    <row r="556" spans="3:12" ht="15.75" thickBot="1">
      <c r="C556" s="173" t="s">
        <v>59</v>
      </c>
      <c r="D556" s="162"/>
      <c r="E556" s="132">
        <v>0</v>
      </c>
      <c r="F556" s="105">
        <f>IF(E554&lt;6,"",((E554-6)/12)*(G554/E554))</f>
        <v>0</v>
      </c>
      <c r="G556" s="105">
        <f>F556</f>
        <v>0</v>
      </c>
      <c r="H556" s="162"/>
      <c r="I556" s="106" t="s">
        <v>519</v>
      </c>
      <c r="J556" s="124" t="str">
        <f>VLOOKUP(I556,Presupuesto!$B$11:$C$565,2,0)</f>
        <v>DECIMOCUARTO MES</v>
      </c>
      <c r="K556" s="106" t="str">
        <f t="shared" si="17"/>
        <v>Posgrado</v>
      </c>
      <c r="L556" s="124" t="s">
        <v>394</v>
      </c>
    </row>
    <row r="558" spans="3:12" ht="15.75" thickBot="1">
      <c r="K558" s="153"/>
    </row>
    <row r="559" spans="3:12" ht="15.75" thickBot="1">
      <c r="C559" s="69" t="s">
        <v>43</v>
      </c>
      <c r="D559" s="30">
        <f>SUM(G566:G616)</f>
        <v>0</v>
      </c>
      <c r="E559" s="93"/>
      <c r="F559" s="93"/>
      <c r="G559" s="93"/>
      <c r="H559" s="76"/>
      <c r="I559" s="76"/>
      <c r="J559" s="76"/>
      <c r="K559" s="153"/>
    </row>
    <row r="560" spans="3:12">
      <c r="D560" s="31"/>
      <c r="E560" s="93"/>
      <c r="F560" s="93"/>
      <c r="G560" s="93"/>
      <c r="H560" s="76"/>
      <c r="I560" s="76"/>
      <c r="J560" s="76"/>
      <c r="K560" s="153"/>
    </row>
    <row r="561" spans="3:12">
      <c r="D561" s="31"/>
      <c r="E561" s="93"/>
      <c r="F561" s="93"/>
      <c r="G561" s="93"/>
      <c r="H561" s="76"/>
      <c r="I561" s="76"/>
      <c r="J561" s="76"/>
      <c r="K561" s="153"/>
    </row>
    <row r="562" spans="3:12" ht="15.75">
      <c r="C562" s="202" t="s">
        <v>392</v>
      </c>
      <c r="D562" s="370"/>
      <c r="E562" s="93"/>
      <c r="F562" s="93"/>
      <c r="G562" s="93"/>
      <c r="H562" s="76"/>
      <c r="I562" s="76"/>
      <c r="J562" s="76"/>
      <c r="K562" s="153"/>
    </row>
    <row r="563" spans="3:12" ht="18.75">
      <c r="C563" s="211" t="e">
        <f>IFERROR(VLOOKUP(D562,'1. Desarrollo e Innov. Curricu.'!$E:$F,2,FALSE),IFERROR(VLOOKUP(D562,'2. Investigación Científica'!$E:$F,2,FALSE),IFERROR(VLOOKUP(D562,'3. Vinculación Univ. Sociedad'!$E:$F,2,FALSE),IFERROR(VLOOKUP(D562,'4. Docencia y Profesorado Univ.'!$E:$F,2,FALSE),IFERROR(VLOOKUP(D562,'5. Estudiantes y Graduados'!$E:$F,2,FALSE),IFERROR(VLOOKUP(D562,'11. Gestion Administrativa'!$E:$F,2,FALSE),IFERROR(VLOOKUP(D562,'13. Gestión Académica'!$E:$F,2,FALSE),IFERROR(VLOOKUP(D562,'8. Asegura. de la Calid. y M'!$E:$F,2,FALSE),IFERROR(VLOOKUP(D562,'6. Gestión del Conocimiento'!$E:$F,2,FALSE),IFERROR(VLOOKUP(D562,'15. Gobernabilidad y Proceso...'!$E:$F,2,FALSE),IFERROR(VLOOKUP(D562,'12. Gestión del Talento Humano'!$E:$F,2,FALSE),IFERROR(VLOOKUP(D562,'14. Internacional... de la E.S.'!$E:$F,2,FALSE),IFERROR(VLOOKUP(D562,'10. Posgrado'!$E:$F,2,FALSE),IFERROR(VLOOKUP(D562,'17. Gestión TIC'!$E:$F,2,FALSE),IFERROR(VLOOKUP(D562,'16. Desa. del Sistema Educ.Sup.'!$E:$F,2,FALSE),IFERROR(VLOOKUP(D562,'9. Cultura de Inno. Insti...'!$E:$F,2,FALSE),VLOOKUP(D562,'7. Lo Esencial de la Reforma U.'!$E:$F,2,0)))))))))))))))))</f>
        <v>#N/A</v>
      </c>
      <c r="D563" s="31"/>
      <c r="E563" s="93"/>
      <c r="F563" s="93"/>
      <c r="G563" s="93"/>
      <c r="H563" s="76"/>
      <c r="I563" s="76"/>
      <c r="J563" s="76"/>
      <c r="K563" s="153"/>
    </row>
    <row r="564" spans="3:12" ht="15.75" thickBot="1">
      <c r="C564" s="177"/>
      <c r="D564" s="31"/>
      <c r="E564" s="93"/>
      <c r="F564" s="93"/>
      <c r="G564" s="93"/>
      <c r="H564" s="76"/>
      <c r="I564" s="76"/>
      <c r="J564" s="76"/>
      <c r="K564" s="153"/>
    </row>
    <row r="565" spans="3:12" ht="30.75" thickBot="1">
      <c r="C565" s="134" t="s">
        <v>44</v>
      </c>
      <c r="D565" s="138" t="s">
        <v>55</v>
      </c>
      <c r="E565" s="170" t="s">
        <v>56</v>
      </c>
      <c r="F565" s="138" t="s">
        <v>57</v>
      </c>
      <c r="G565" s="135" t="s">
        <v>27</v>
      </c>
      <c r="H565" s="133" t="s">
        <v>131</v>
      </c>
      <c r="I565" s="136" t="s">
        <v>46</v>
      </c>
      <c r="J565" s="136" t="s">
        <v>132</v>
      </c>
      <c r="K565" s="136" t="s">
        <v>410</v>
      </c>
      <c r="L565" s="136" t="s">
        <v>411</v>
      </c>
    </row>
    <row r="566" spans="3:12" ht="15.75" thickBot="1">
      <c r="C566" s="137" t="s">
        <v>482</v>
      </c>
      <c r="D566" s="199"/>
      <c r="E566" s="152">
        <v>12</v>
      </c>
      <c r="F566" s="305">
        <f>HLOOKUP($C566,$BZ$2:$CM$3,2,0)</f>
        <v>43674.39</v>
      </c>
      <c r="G566" s="113">
        <f>D566*E566*F566</f>
        <v>0</v>
      </c>
      <c r="H566" s="166"/>
      <c r="I566" s="114" t="s">
        <v>496</v>
      </c>
      <c r="J566" s="114" t="str">
        <f>VLOOKUP(I566,Presupuesto!$B$11:$C$565,2,0)</f>
        <v>SUELDOS Y SALARIOS PERMANENTES</v>
      </c>
      <c r="K566" s="219" t="s">
        <v>1453</v>
      </c>
      <c r="L566" s="98" t="s">
        <v>394</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ref="K567:K598" si="18">$K$566</f>
        <v>Posgrado</v>
      </c>
      <c r="L567" s="98" t="s">
        <v>412</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c r="C569" s="137" t="s">
        <v>483</v>
      </c>
      <c r="D569" s="199"/>
      <c r="E569" s="152">
        <v>12</v>
      </c>
      <c r="F569" s="305">
        <f>HLOOKUP($C569,$BZ$2:$CM$3,2,0)</f>
        <v>39703.99</v>
      </c>
      <c r="G569" s="113">
        <f>D569*E569*F569</f>
        <v>0</v>
      </c>
      <c r="H569" s="166"/>
      <c r="I569" s="114" t="s">
        <v>496</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c r="C572" s="137" t="s">
        <v>484</v>
      </c>
      <c r="D572" s="199"/>
      <c r="E572" s="152">
        <v>12</v>
      </c>
      <c r="F572" s="305">
        <f>HLOOKUP($C572,$BZ$2:$CM$3,2,0)</f>
        <v>35733.589999999997</v>
      </c>
      <c r="G572" s="113">
        <f>D572*E572*F572</f>
        <v>0</v>
      </c>
      <c r="H572" s="166"/>
      <c r="I572" s="114" t="s">
        <v>496</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c r="C575" s="137" t="s">
        <v>485</v>
      </c>
      <c r="D575" s="199"/>
      <c r="E575" s="152">
        <v>12</v>
      </c>
      <c r="F575" s="305">
        <f>HLOOKUP($C575,$BZ$2:$CM$3,2,0)</f>
        <v>31763.19</v>
      </c>
      <c r="G575" s="113">
        <f>D575*E575*F575</f>
        <v>0</v>
      </c>
      <c r="H575" s="166"/>
      <c r="I575" s="114" t="s">
        <v>496</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c r="C578" s="137" t="s">
        <v>486</v>
      </c>
      <c r="D578" s="199"/>
      <c r="E578" s="152">
        <v>12</v>
      </c>
      <c r="F578" s="305">
        <f>HLOOKUP($C578,$BZ$2:$CM$3,2,0)</f>
        <v>29777.99</v>
      </c>
      <c r="G578" s="113">
        <f>D578*E578*F578</f>
        <v>0</v>
      </c>
      <c r="H578" s="166"/>
      <c r="I578" s="114" t="s">
        <v>496</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c r="C581" s="137" t="s">
        <v>487</v>
      </c>
      <c r="D581" s="199"/>
      <c r="E581" s="152">
        <v>12</v>
      </c>
      <c r="F581" s="305">
        <f>HLOOKUP($C581,$BZ$2:$CM$3,2,0)</f>
        <v>27792.79</v>
      </c>
      <c r="G581" s="113">
        <f>D581*E581*F581</f>
        <v>0</v>
      </c>
      <c r="H581" s="166"/>
      <c r="I581" s="114" t="s">
        <v>496</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c r="C584" s="137" t="s">
        <v>488</v>
      </c>
      <c r="D584" s="199"/>
      <c r="E584" s="152">
        <v>12</v>
      </c>
      <c r="F584" s="305">
        <f>HLOOKUP($C584,$BZ$2:$CM$3,2,0)</f>
        <v>18859.39</v>
      </c>
      <c r="G584" s="113">
        <f>D584*E584*F584</f>
        <v>0</v>
      </c>
      <c r="H584" s="166"/>
      <c r="I584" s="114" t="s">
        <v>496</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c r="C587" s="137" t="s">
        <v>489</v>
      </c>
      <c r="D587" s="199"/>
      <c r="E587" s="152">
        <v>12</v>
      </c>
      <c r="F587" s="305">
        <f>HLOOKUP($C587,$BZ$2:$CM$3,2,0)</f>
        <v>17866.8</v>
      </c>
      <c r="G587" s="113">
        <f>D587*E587*F587</f>
        <v>0</v>
      </c>
      <c r="H587" s="166"/>
      <c r="I587" s="114" t="s">
        <v>496</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c r="C590" s="137" t="s">
        <v>490</v>
      </c>
      <c r="D590" s="199"/>
      <c r="E590" s="152">
        <v>12</v>
      </c>
      <c r="F590" s="305">
        <f>HLOOKUP($C590,$BZ$2:$CM$3,2,0)</f>
        <v>13896.4</v>
      </c>
      <c r="G590" s="113">
        <f>D590*E590*F590</f>
        <v>0</v>
      </c>
      <c r="H590" s="166"/>
      <c r="I590" s="114" t="s">
        <v>496</v>
      </c>
      <c r="J590" s="114" t="str">
        <f>VLOOKUP(I590,Presupuesto!$B$11:$C$565,2,0)</f>
        <v>SUELDOS Y SALARIOS PERMANENTES</v>
      </c>
      <c r="K590" s="98" t="str">
        <f t="shared" si="18"/>
        <v>Posgrado</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8"/>
        <v>Posgrado</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8"/>
        <v>Posgrado</v>
      </c>
      <c r="L592" s="98" t="s">
        <v>395</v>
      </c>
    </row>
    <row r="593" spans="3:12" ht="15.75" thickBot="1">
      <c r="C593" s="137" t="s">
        <v>491</v>
      </c>
      <c r="D593" s="199"/>
      <c r="E593" s="152">
        <v>12</v>
      </c>
      <c r="F593" s="305">
        <f>HLOOKUP($C593,$BZ$2:$CM$3,2,0)</f>
        <v>15004.09</v>
      </c>
      <c r="G593" s="113">
        <f>D593*E593*F593</f>
        <v>0</v>
      </c>
      <c r="H593" s="166"/>
      <c r="I593" s="114" t="s">
        <v>496</v>
      </c>
      <c r="J593" s="114" t="str">
        <f>VLOOKUP(I593,Presupuesto!$B$11:$C$565,2,0)</f>
        <v>SUELDOS Y SALARIOS PERMANENTES</v>
      </c>
      <c r="K593" s="98" t="str">
        <f t="shared" si="18"/>
        <v>Posgrado</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8"/>
        <v>Posgrado</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8"/>
        <v>Posgrado</v>
      </c>
      <c r="L595" s="98" t="s">
        <v>395</v>
      </c>
    </row>
    <row r="596" spans="3:12" ht="15.75" thickBot="1">
      <c r="C596" s="137" t="s">
        <v>492</v>
      </c>
      <c r="D596" s="199"/>
      <c r="E596" s="152">
        <v>12</v>
      </c>
      <c r="F596" s="305">
        <f>HLOOKUP($C596,$BZ$2:$CM$3,2,0)</f>
        <v>13238.9</v>
      </c>
      <c r="G596" s="113">
        <f>D596*E596*F596</f>
        <v>0</v>
      </c>
      <c r="H596" s="166"/>
      <c r="I596" s="114" t="s">
        <v>496</v>
      </c>
      <c r="J596" s="114" t="str">
        <f>VLOOKUP(I596,Presupuesto!$B$11:$C$565,2,0)</f>
        <v>SUELDOS Y SALARIOS PERMANENTES</v>
      </c>
      <c r="K596" s="98" t="str">
        <f t="shared" si="18"/>
        <v>Posgrado</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8"/>
        <v>Posgrado</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8"/>
        <v>Posgrado</v>
      </c>
      <c r="L598" s="98" t="s">
        <v>395</v>
      </c>
    </row>
    <row r="599" spans="3:12" ht="15.75" thickBot="1">
      <c r="C599" s="137" t="s">
        <v>493</v>
      </c>
      <c r="D599" s="199"/>
      <c r="E599" s="152">
        <v>12</v>
      </c>
      <c r="F599" s="305">
        <f>HLOOKUP($C599,$BZ$2:$CM$3,2,0)</f>
        <v>12356.31</v>
      </c>
      <c r="G599" s="113">
        <f>D599*E599*F599</f>
        <v>0</v>
      </c>
      <c r="H599" s="166"/>
      <c r="I599" s="114" t="s">
        <v>496</v>
      </c>
      <c r="J599" s="114" t="str">
        <f>VLOOKUP(I599,Presupuesto!$B$11:$C$565,2,0)</f>
        <v>SUELDOS Y SALARIOS PERMANENTES</v>
      </c>
      <c r="K599" s="98" t="str">
        <f t="shared" ref="K599:K616" si="19">$K$566</f>
        <v>Posgrado</v>
      </c>
      <c r="L599" s="98" t="s">
        <v>395</v>
      </c>
    </row>
    <row r="600" spans="3:12">
      <c r="C600" s="171" t="s">
        <v>58</v>
      </c>
      <c r="D600" s="163"/>
      <c r="E600" s="154">
        <v>0</v>
      </c>
      <c r="F600" s="100">
        <f>IF(E599=0,"",(G599/E599)/12*E599)</f>
        <v>0</v>
      </c>
      <c r="G600" s="97">
        <f>F600</f>
        <v>0</v>
      </c>
      <c r="H600" s="164"/>
      <c r="I600" s="116" t="s">
        <v>516</v>
      </c>
      <c r="J600" s="116" t="str">
        <f>VLOOKUP(I600,Presupuesto!$B$11:$C$565,2,0)</f>
        <v>AGUINALDO Y DECIMO CUARTO MES</v>
      </c>
      <c r="K600" s="98" t="str">
        <f t="shared" si="19"/>
        <v>Posgrado</v>
      </c>
      <c r="L600" s="98" t="s">
        <v>395</v>
      </c>
    </row>
    <row r="601" spans="3:12" ht="15.75" thickBot="1">
      <c r="C601" s="172" t="s">
        <v>59</v>
      </c>
      <c r="D601" s="163"/>
      <c r="E601" s="154">
        <v>0</v>
      </c>
      <c r="F601" s="117">
        <f>IF(E599&lt;6,"",((E599-6)/12)*(G599/E599))</f>
        <v>0</v>
      </c>
      <c r="G601" s="97">
        <f>F601</f>
        <v>0</v>
      </c>
      <c r="H601" s="164"/>
      <c r="I601" s="101" t="s">
        <v>519</v>
      </c>
      <c r="J601" s="101" t="str">
        <f>VLOOKUP(I601,Presupuesto!$B$11:$C$565,2,0)</f>
        <v>DECIMOCUARTO MES</v>
      </c>
      <c r="K601" s="98" t="str">
        <f t="shared" si="19"/>
        <v>Posgrado</v>
      </c>
      <c r="L601" s="98" t="s">
        <v>395</v>
      </c>
    </row>
    <row r="602" spans="3:12" ht="15.75" thickBot="1">
      <c r="C602" s="137" t="s">
        <v>494</v>
      </c>
      <c r="D602" s="199"/>
      <c r="E602" s="152">
        <v>12</v>
      </c>
      <c r="F602" s="305">
        <f>HLOOKUP($C602,$BZ$2:$CM$3,2,0)</f>
        <v>463.22</v>
      </c>
      <c r="G602" s="113">
        <f>D602*E602*F602</f>
        <v>0</v>
      </c>
      <c r="H602" s="166"/>
      <c r="I602" s="114" t="s">
        <v>496</v>
      </c>
      <c r="J602" s="114" t="str">
        <f>VLOOKUP(I602,Presupuesto!$B$11:$C$565,2,0)</f>
        <v>SUELDOS Y SALARIOS PERMANENTES</v>
      </c>
      <c r="K602" s="98" t="str">
        <f t="shared" si="19"/>
        <v>Posgrado</v>
      </c>
      <c r="L602" s="98" t="s">
        <v>395</v>
      </c>
    </row>
    <row r="603" spans="3:12">
      <c r="C603" s="171" t="s">
        <v>58</v>
      </c>
      <c r="D603" s="163"/>
      <c r="E603" s="154">
        <v>0</v>
      </c>
      <c r="F603" s="100">
        <f>IF(E602=0,"",(G602/E602)/12*E602)</f>
        <v>0</v>
      </c>
      <c r="G603" s="97">
        <f>F603</f>
        <v>0</v>
      </c>
      <c r="H603" s="164"/>
      <c r="I603" s="116" t="s">
        <v>516</v>
      </c>
      <c r="J603" s="116" t="str">
        <f>VLOOKUP(I603,Presupuesto!$B$11:$C$565,2,0)</f>
        <v>AGUINALDO Y DECIMO CUARTO MES</v>
      </c>
      <c r="K603" s="98" t="str">
        <f t="shared" si="19"/>
        <v>Posgrado</v>
      </c>
      <c r="L603" s="98" t="s">
        <v>395</v>
      </c>
    </row>
    <row r="604" spans="3:12" ht="15.75" thickBot="1">
      <c r="C604" s="172" t="s">
        <v>59</v>
      </c>
      <c r="D604" s="163"/>
      <c r="E604" s="154">
        <v>0</v>
      </c>
      <c r="F604" s="117">
        <f>IF(E602&lt;6,"",((E602-6)/12)*(G602/E602))</f>
        <v>0</v>
      </c>
      <c r="G604" s="97">
        <f>F604</f>
        <v>0</v>
      </c>
      <c r="H604" s="164"/>
      <c r="I604" s="101" t="s">
        <v>519</v>
      </c>
      <c r="J604" s="101" t="str">
        <f>VLOOKUP(I604,Presupuesto!$B$11:$C$565,2,0)</f>
        <v>DECIMOCUARTO MES</v>
      </c>
      <c r="K604" s="98" t="str">
        <f t="shared" si="19"/>
        <v>Posgrado</v>
      </c>
      <c r="L604" s="98" t="s">
        <v>395</v>
      </c>
    </row>
    <row r="605" spans="3:12" ht="15.75" thickBot="1">
      <c r="C605" s="137" t="s">
        <v>495</v>
      </c>
      <c r="D605" s="199"/>
      <c r="E605" s="152">
        <v>12</v>
      </c>
      <c r="F605" s="305">
        <f>HLOOKUP($C605,$BZ$2:$CM$3,2,0)</f>
        <v>2007.3</v>
      </c>
      <c r="G605" s="113">
        <f>D605*E605*F605</f>
        <v>0</v>
      </c>
      <c r="H605" s="166"/>
      <c r="I605" s="114" t="s">
        <v>496</v>
      </c>
      <c r="J605" s="114" t="str">
        <f>VLOOKUP(I605,Presupuesto!$B$11:$C$565,2,0)</f>
        <v>SUELDOS Y SALARIOS PERMANENTES</v>
      </c>
      <c r="K605" s="98" t="str">
        <f t="shared" si="19"/>
        <v>Posgrado</v>
      </c>
      <c r="L605" s="98" t="s">
        <v>395</v>
      </c>
    </row>
    <row r="606" spans="3:12">
      <c r="C606" s="171" t="s">
        <v>58</v>
      </c>
      <c r="D606" s="163"/>
      <c r="E606" s="154">
        <v>0</v>
      </c>
      <c r="F606" s="100">
        <f>IF(E605=0,"",(G605/E605)/12*E605)</f>
        <v>0</v>
      </c>
      <c r="G606" s="97">
        <f>F606</f>
        <v>0</v>
      </c>
      <c r="H606" s="164"/>
      <c r="I606" s="116" t="s">
        <v>516</v>
      </c>
      <c r="J606" s="116" t="str">
        <f>VLOOKUP(I606,Presupuesto!$B$11:$C$565,2,0)</f>
        <v>AGUINALDO Y DECIMO CUARTO MES</v>
      </c>
      <c r="K606" s="98" t="str">
        <f t="shared" si="19"/>
        <v>Posgrado</v>
      </c>
      <c r="L606" s="98" t="s">
        <v>395</v>
      </c>
    </row>
    <row r="607" spans="3:12" ht="15.75" thickBot="1">
      <c r="C607" s="172" t="s">
        <v>59</v>
      </c>
      <c r="D607" s="163"/>
      <c r="E607" s="154">
        <v>0</v>
      </c>
      <c r="F607" s="117">
        <f>IF(E605&lt;6,"",((E605-6)/12)*(G605/E605))</f>
        <v>0</v>
      </c>
      <c r="G607" s="97">
        <f>F607</f>
        <v>0</v>
      </c>
      <c r="H607" s="164"/>
      <c r="I607" s="101" t="s">
        <v>519</v>
      </c>
      <c r="J607" s="101" t="str">
        <f>VLOOKUP(I607,Presupuesto!$B$11:$C$565,2,0)</f>
        <v>DECIMOCUARTO MES</v>
      </c>
      <c r="K607" s="98" t="str">
        <f t="shared" si="19"/>
        <v>Posgrado</v>
      </c>
      <c r="L607" s="98" t="s">
        <v>395</v>
      </c>
    </row>
    <row r="608" spans="3:12" ht="15.75" thickBot="1">
      <c r="C608" s="140" t="s">
        <v>83</v>
      </c>
      <c r="D608" s="199"/>
      <c r="E608" s="152">
        <v>12</v>
      </c>
      <c r="F608" s="139">
        <v>30000</v>
      </c>
      <c r="G608" s="113">
        <f>D608*E608*F608</f>
        <v>0</v>
      </c>
      <c r="H608" s="166"/>
      <c r="I608" s="114" t="s">
        <v>564</v>
      </c>
      <c r="J608" s="114" t="str">
        <f>VLOOKUP(I608,Presupuesto!$B$11:$C$565,2,0)</f>
        <v>CONTRATOS ESPECIALES</v>
      </c>
      <c r="K608" s="98" t="str">
        <f t="shared" si="19"/>
        <v>Posgrado</v>
      </c>
      <c r="L608" s="98" t="s">
        <v>395</v>
      </c>
    </row>
    <row r="609" spans="3:12">
      <c r="C609" s="171" t="s">
        <v>58</v>
      </c>
      <c r="D609" s="163"/>
      <c r="E609" s="154">
        <v>0</v>
      </c>
      <c r="F609" s="117">
        <f>IF(E608=0,"",(G608/E608)/12*E608)</f>
        <v>0</v>
      </c>
      <c r="G609" s="97">
        <f>F609</f>
        <v>0</v>
      </c>
      <c r="H609" s="164"/>
      <c r="I609" s="101" t="s">
        <v>564</v>
      </c>
      <c r="J609" s="101" t="str">
        <f>VLOOKUP(I609,Presupuesto!$B$11:$C$565,2,0)</f>
        <v>CONTRATOS ESPECIALES</v>
      </c>
      <c r="K609" s="98" t="str">
        <f t="shared" si="19"/>
        <v>Posgrado</v>
      </c>
      <c r="L609" s="98" t="s">
        <v>394</v>
      </c>
    </row>
    <row r="610" spans="3:12" ht="15.75" thickBot="1">
      <c r="C610" s="172" t="s">
        <v>59</v>
      </c>
      <c r="D610" s="163"/>
      <c r="E610" s="154">
        <v>0</v>
      </c>
      <c r="F610" s="100">
        <f>IF(E608&lt;6,"",((E608-6)/12)*(G608/E608))</f>
        <v>0</v>
      </c>
      <c r="G610" s="97">
        <f>F610</f>
        <v>0</v>
      </c>
      <c r="H610" s="164"/>
      <c r="I610" s="101" t="s">
        <v>564</v>
      </c>
      <c r="J610" s="101" t="str">
        <f>VLOOKUP(I610,Presupuesto!$B$11:$C$565,2,0)</f>
        <v>CONTRATOS ESPECIALES</v>
      </c>
      <c r="K610" s="98" t="str">
        <f t="shared" si="19"/>
        <v>Posgrado</v>
      </c>
      <c r="L610" s="98" t="s">
        <v>399</v>
      </c>
    </row>
    <row r="611" spans="3:12" ht="15.75" thickBot="1">
      <c r="C611" s="140" t="s">
        <v>60</v>
      </c>
      <c r="D611" s="199"/>
      <c r="E611" s="152">
        <v>12</v>
      </c>
      <c r="F611" s="118">
        <v>30000</v>
      </c>
      <c r="G611" s="113">
        <f>D611*E611*F611</f>
        <v>0</v>
      </c>
      <c r="H611" s="166"/>
      <c r="I611" s="114" t="s">
        <v>705</v>
      </c>
      <c r="J611" s="114" t="str">
        <f>VLOOKUP(I611,Presupuesto!$B$11:$C$565,2,0)</f>
        <v>OTROS SERVICIOS TECNICOS Y PROFESIONALES</v>
      </c>
      <c r="K611" s="98" t="str">
        <f t="shared" si="19"/>
        <v>Posgrado</v>
      </c>
      <c r="L611" s="98" t="s">
        <v>394</v>
      </c>
    </row>
    <row r="612" spans="3:12">
      <c r="C612" s="171" t="s">
        <v>58</v>
      </c>
      <c r="D612" s="163"/>
      <c r="E612" s="154">
        <v>0</v>
      </c>
      <c r="F612" s="100">
        <v>0</v>
      </c>
      <c r="G612" s="97">
        <f>F612</f>
        <v>0</v>
      </c>
      <c r="H612" s="164"/>
      <c r="I612" s="101" t="s">
        <v>705</v>
      </c>
      <c r="J612" s="101" t="str">
        <f>VLOOKUP(I612,Presupuesto!$B$11:$C$565,2,0)</f>
        <v>OTROS SERVICIOS TECNICOS Y PROFESIONALES</v>
      </c>
      <c r="K612" s="98" t="str">
        <f t="shared" si="19"/>
        <v>Posgrado</v>
      </c>
      <c r="L612" s="98" t="s">
        <v>394</v>
      </c>
    </row>
    <row r="613" spans="3:12" ht="15.75" thickBot="1">
      <c r="C613" s="172" t="s">
        <v>59</v>
      </c>
      <c r="D613" s="163"/>
      <c r="E613" s="154">
        <v>0</v>
      </c>
      <c r="F613" s="100">
        <v>0</v>
      </c>
      <c r="G613" s="97">
        <f>F613</f>
        <v>0</v>
      </c>
      <c r="H613" s="164"/>
      <c r="I613" s="101" t="s">
        <v>705</v>
      </c>
      <c r="J613" s="101" t="str">
        <f>VLOOKUP(I613,Presupuesto!$B$11:$C$565,2,0)</f>
        <v>OTROS SERVICIOS TECNICOS Y PROFESIONALES</v>
      </c>
      <c r="K613" s="98" t="str">
        <f t="shared" si="19"/>
        <v>Posgrado</v>
      </c>
      <c r="L613" s="98" t="s">
        <v>394</v>
      </c>
    </row>
    <row r="614" spans="3:12" ht="15.75" thickBot="1">
      <c r="C614" s="140" t="s">
        <v>61</v>
      </c>
      <c r="D614" s="199"/>
      <c r="E614" s="152">
        <v>12</v>
      </c>
      <c r="F614" s="118">
        <v>30000</v>
      </c>
      <c r="G614" s="113">
        <f>D614*E614*F614</f>
        <v>0</v>
      </c>
      <c r="H614" s="166"/>
      <c r="I614" s="114" t="s">
        <v>496</v>
      </c>
      <c r="J614" s="114" t="str">
        <f>VLOOKUP(I614,Presupuesto!$B$11:$C$565,2,0)</f>
        <v>SUELDOS Y SALARIOS PERMANENTES</v>
      </c>
      <c r="K614" s="98" t="str">
        <f t="shared" si="19"/>
        <v>Posgrado</v>
      </c>
      <c r="L614" s="98" t="s">
        <v>394</v>
      </c>
    </row>
    <row r="615" spans="3:12">
      <c r="C615" s="171" t="s">
        <v>58</v>
      </c>
      <c r="D615" s="169"/>
      <c r="E615" s="131">
        <v>0</v>
      </c>
      <c r="F615" s="119">
        <f>IF(E614=0,"",(G614/E614)/12*E614)</f>
        <v>0</v>
      </c>
      <c r="G615" s="120">
        <f>F615</f>
        <v>0</v>
      </c>
      <c r="H615" s="164"/>
      <c r="I615" s="101" t="s">
        <v>516</v>
      </c>
      <c r="J615" s="101" t="str">
        <f>VLOOKUP(I615,Presupuesto!$B$11:$C$565,2,0)</f>
        <v>AGUINALDO Y DECIMO CUARTO MES</v>
      </c>
      <c r="K615" s="98" t="str">
        <f t="shared" si="19"/>
        <v>Posgrado</v>
      </c>
      <c r="L615" s="98" t="s">
        <v>394</v>
      </c>
    </row>
    <row r="616" spans="3:12" ht="15.75" thickBot="1">
      <c r="C616" s="173" t="s">
        <v>59</v>
      </c>
      <c r="D616" s="162"/>
      <c r="E616" s="132">
        <v>0</v>
      </c>
      <c r="F616" s="105">
        <f>IF(E614&lt;6,"",((E614-6)/12)*(G614/E614))</f>
        <v>0</v>
      </c>
      <c r="G616" s="105">
        <f>F616</f>
        <v>0</v>
      </c>
      <c r="H616" s="162"/>
      <c r="I616" s="106" t="s">
        <v>519</v>
      </c>
      <c r="J616" s="124" t="str">
        <f>VLOOKUP(I616,Presupuesto!$B$11:$C$565,2,0)</f>
        <v>DECIMOCUARTO MES</v>
      </c>
      <c r="K616" s="106" t="str">
        <f t="shared" si="19"/>
        <v>Posgrado</v>
      </c>
      <c r="L616" s="124" t="s">
        <v>394</v>
      </c>
    </row>
    <row r="618" spans="3:12" ht="15.75" thickBot="1"/>
    <row r="619" spans="3:12" ht="15.75" thickBot="1">
      <c r="C619" s="69" t="s">
        <v>43</v>
      </c>
      <c r="D619" s="30">
        <f>SUM(G626:G676)</f>
        <v>0</v>
      </c>
      <c r="E619" s="93"/>
      <c r="F619" s="93"/>
      <c r="G619" s="93"/>
      <c r="H619" s="76"/>
      <c r="I619" s="76"/>
      <c r="J619" s="76"/>
      <c r="K619" s="153"/>
    </row>
    <row r="620" spans="3:12">
      <c r="D620" s="31"/>
      <c r="E620" s="93"/>
      <c r="F620" s="93"/>
      <c r="G620" s="93"/>
      <c r="H620" s="76"/>
      <c r="I620" s="76"/>
      <c r="J620" s="76"/>
      <c r="K620" s="153"/>
    </row>
    <row r="621" spans="3:12">
      <c r="D621" s="31"/>
      <c r="E621" s="93"/>
      <c r="F621" s="93"/>
      <c r="G621" s="93"/>
      <c r="H621" s="76"/>
      <c r="I621" s="76"/>
      <c r="J621" s="76"/>
      <c r="K621" s="153"/>
    </row>
    <row r="622" spans="3:12" ht="15.75">
      <c r="C622" s="202" t="s">
        <v>392</v>
      </c>
      <c r="D622" s="370"/>
      <c r="E622" s="93"/>
      <c r="F622" s="93"/>
      <c r="G622" s="93"/>
      <c r="H622" s="76"/>
      <c r="I622" s="76"/>
      <c r="J622" s="76"/>
      <c r="K622" s="153"/>
    </row>
    <row r="623" spans="3:12" ht="18.75">
      <c r="C623" s="211" t="e">
        <f>IFERROR(VLOOKUP(D622,'1. Desarrollo e Innov. Curricu.'!$E:$F,2,FALSE),IFERROR(VLOOKUP(D622,'2. Investigación Científica'!$E:$F,2,FALSE),IFERROR(VLOOKUP(D622,'3. Vinculación Univ. Sociedad'!$E:$F,2,FALSE),IFERROR(VLOOKUP(D622,'4. Docencia y Profesorado Univ.'!$E:$F,2,FALSE),IFERROR(VLOOKUP(D622,'5. Estudiantes y Graduados'!$E:$F,2,FALSE),IFERROR(VLOOKUP(D622,'11. Gestion Administrativa'!$E:$F,2,FALSE),IFERROR(VLOOKUP(D622,'13. Gestión Académica'!$E:$F,2,FALSE),IFERROR(VLOOKUP(D622,'8. Asegura. de la Calid. y M'!$E:$F,2,FALSE),IFERROR(VLOOKUP(D622,'6. Gestión del Conocimiento'!$E:$F,2,FALSE),IFERROR(VLOOKUP(D622,'15. Gobernabilidad y Proceso...'!$E:$F,2,FALSE),IFERROR(VLOOKUP(D622,'12. Gestión del Talento Humano'!$E:$F,2,FALSE),IFERROR(VLOOKUP(D622,'14. Internacional... de la E.S.'!$E:$F,2,FALSE),IFERROR(VLOOKUP(D622,'10. Posgrado'!$E:$F,2,FALSE),IFERROR(VLOOKUP(D622,'17. Gestión TIC'!$E:$F,2,FALSE),IFERROR(VLOOKUP(D622,'16. Desa. del Sistema Educ.Sup.'!$E:$F,2,FALSE),IFERROR(VLOOKUP(D622,'9. Cultura de Inno. Insti...'!$E:$F,2,FALSE),VLOOKUP(D622,'7. Lo Esencial de la Reforma U.'!$E:$F,2,0)))))))))))))))))</f>
        <v>#N/A</v>
      </c>
      <c r="D623" s="31"/>
      <c r="E623" s="93"/>
      <c r="F623" s="93"/>
      <c r="G623" s="93"/>
      <c r="H623" s="76"/>
      <c r="I623" s="76"/>
      <c r="J623" s="76"/>
      <c r="K623" s="153"/>
    </row>
    <row r="624" spans="3:12" ht="15.75" thickBot="1">
      <c r="C624" s="177"/>
      <c r="D624" s="31"/>
      <c r="E624" s="93"/>
      <c r="F624" s="93"/>
      <c r="G624" s="93"/>
      <c r="H624" s="76"/>
      <c r="I624" s="76"/>
      <c r="J624" s="76"/>
      <c r="K624" s="153"/>
    </row>
    <row r="625" spans="3:12" ht="30.75" thickBot="1">
      <c r="C625" s="134" t="s">
        <v>44</v>
      </c>
      <c r="D625" s="138" t="s">
        <v>55</v>
      </c>
      <c r="E625" s="170" t="s">
        <v>56</v>
      </c>
      <c r="F625" s="138" t="s">
        <v>57</v>
      </c>
      <c r="G625" s="135" t="s">
        <v>27</v>
      </c>
      <c r="H625" s="133" t="s">
        <v>131</v>
      </c>
      <c r="I625" s="136" t="s">
        <v>46</v>
      </c>
      <c r="J625" s="136" t="s">
        <v>132</v>
      </c>
      <c r="K625" s="136" t="s">
        <v>410</v>
      </c>
      <c r="L625" s="136" t="s">
        <v>411</v>
      </c>
    </row>
    <row r="626" spans="3:12" ht="15.75" thickBot="1">
      <c r="C626" s="137" t="s">
        <v>482</v>
      </c>
      <c r="D626" s="199"/>
      <c r="E626" s="152">
        <v>12</v>
      </c>
      <c r="F626" s="305">
        <f>HLOOKUP($C626,$BZ$2:$CM$3,2,0)</f>
        <v>43674.39</v>
      </c>
      <c r="G626" s="113">
        <f>D626*E626*F626</f>
        <v>0</v>
      </c>
      <c r="H626" s="166"/>
      <c r="I626" s="114" t="s">
        <v>496</v>
      </c>
      <c r="J626" s="114" t="str">
        <f>VLOOKUP(I626,Presupuesto!$B$11:$C$565,2,0)</f>
        <v>SUELDOS Y SALARIOS PERMANENTES</v>
      </c>
      <c r="K626" s="219" t="s">
        <v>1453</v>
      </c>
      <c r="L626" s="98" t="s">
        <v>394</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ref="K627:K658" si="20">$K$626</f>
        <v>Posgrado</v>
      </c>
      <c r="L627" s="98" t="s">
        <v>412</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c r="C629" s="137" t="s">
        <v>483</v>
      </c>
      <c r="D629" s="199"/>
      <c r="E629" s="152">
        <v>12</v>
      </c>
      <c r="F629" s="305">
        <f>HLOOKUP($C629,$BZ$2:$CM$3,2,0)</f>
        <v>39703.99</v>
      </c>
      <c r="G629" s="113">
        <f>D629*E629*F629</f>
        <v>0</v>
      </c>
      <c r="H629" s="166"/>
      <c r="I629" s="114" t="s">
        <v>496</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c r="C632" s="137" t="s">
        <v>484</v>
      </c>
      <c r="D632" s="199"/>
      <c r="E632" s="152">
        <v>12</v>
      </c>
      <c r="F632" s="305">
        <f>HLOOKUP($C632,$BZ$2:$CM$3,2,0)</f>
        <v>35733.589999999997</v>
      </c>
      <c r="G632" s="113">
        <f>D632*E632*F632</f>
        <v>0</v>
      </c>
      <c r="H632" s="166"/>
      <c r="I632" s="114" t="s">
        <v>496</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c r="C635" s="137" t="s">
        <v>485</v>
      </c>
      <c r="D635" s="199"/>
      <c r="E635" s="152">
        <v>12</v>
      </c>
      <c r="F635" s="305">
        <f>HLOOKUP($C635,$BZ$2:$CM$3,2,0)</f>
        <v>31763.19</v>
      </c>
      <c r="G635" s="113">
        <f>D635*E635*F635</f>
        <v>0</v>
      </c>
      <c r="H635" s="166"/>
      <c r="I635" s="114" t="s">
        <v>496</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c r="C638" s="137" t="s">
        <v>486</v>
      </c>
      <c r="D638" s="199"/>
      <c r="E638" s="152">
        <v>12</v>
      </c>
      <c r="F638" s="305">
        <f>HLOOKUP($C638,$BZ$2:$CM$3,2,0)</f>
        <v>29777.99</v>
      </c>
      <c r="G638" s="113">
        <f>D638*E638*F638</f>
        <v>0</v>
      </c>
      <c r="H638" s="166"/>
      <c r="I638" s="114" t="s">
        <v>496</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c r="C641" s="137" t="s">
        <v>487</v>
      </c>
      <c r="D641" s="199"/>
      <c r="E641" s="152">
        <v>12</v>
      </c>
      <c r="F641" s="305">
        <f>HLOOKUP($C641,$BZ$2:$CM$3,2,0)</f>
        <v>27792.79</v>
      </c>
      <c r="G641" s="113">
        <f>D641*E641*F641</f>
        <v>0</v>
      </c>
      <c r="H641" s="166"/>
      <c r="I641" s="114" t="s">
        <v>496</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c r="C644" s="137" t="s">
        <v>488</v>
      </c>
      <c r="D644" s="199"/>
      <c r="E644" s="152">
        <v>12</v>
      </c>
      <c r="F644" s="305">
        <f>HLOOKUP($C644,$BZ$2:$CM$3,2,0)</f>
        <v>18859.39</v>
      </c>
      <c r="G644" s="113">
        <f>D644*E644*F644</f>
        <v>0</v>
      </c>
      <c r="H644" s="166"/>
      <c r="I644" s="114" t="s">
        <v>496</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c r="C647" s="137" t="s">
        <v>489</v>
      </c>
      <c r="D647" s="199"/>
      <c r="E647" s="152">
        <v>12</v>
      </c>
      <c r="F647" s="305">
        <f>HLOOKUP($C647,$BZ$2:$CM$3,2,0)</f>
        <v>17866.8</v>
      </c>
      <c r="G647" s="113">
        <f>D647*E647*F647</f>
        <v>0</v>
      </c>
      <c r="H647" s="166"/>
      <c r="I647" s="114" t="s">
        <v>496</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c r="C650" s="137" t="s">
        <v>490</v>
      </c>
      <c r="D650" s="199"/>
      <c r="E650" s="152">
        <v>12</v>
      </c>
      <c r="F650" s="305">
        <f>HLOOKUP($C650,$BZ$2:$CM$3,2,0)</f>
        <v>13896.4</v>
      </c>
      <c r="G650" s="113">
        <f>D650*E650*F650</f>
        <v>0</v>
      </c>
      <c r="H650" s="166"/>
      <c r="I650" s="114" t="s">
        <v>496</v>
      </c>
      <c r="J650" s="114" t="str">
        <f>VLOOKUP(I650,Presupuesto!$B$11:$C$565,2,0)</f>
        <v>SUELDOS Y SALARIOS PERMANENTES</v>
      </c>
      <c r="K650" s="98" t="str">
        <f t="shared" si="20"/>
        <v>Posgrado</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0"/>
        <v>Posgrado</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0"/>
        <v>Posgrado</v>
      </c>
      <c r="L652" s="98" t="s">
        <v>395</v>
      </c>
    </row>
    <row r="653" spans="3:12" ht="15.75" thickBot="1">
      <c r="C653" s="137" t="s">
        <v>491</v>
      </c>
      <c r="D653" s="199"/>
      <c r="E653" s="152">
        <v>12</v>
      </c>
      <c r="F653" s="305">
        <f>HLOOKUP($C653,$BZ$2:$CM$3,2,0)</f>
        <v>15004.09</v>
      </c>
      <c r="G653" s="113">
        <f>D653*E653*F653</f>
        <v>0</v>
      </c>
      <c r="H653" s="166"/>
      <c r="I653" s="114" t="s">
        <v>496</v>
      </c>
      <c r="J653" s="114" t="str">
        <f>VLOOKUP(I653,Presupuesto!$B$11:$C$565,2,0)</f>
        <v>SUELDOS Y SALARIOS PERMANENTES</v>
      </c>
      <c r="K653" s="98" t="str">
        <f t="shared" si="20"/>
        <v>Posgrado</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0"/>
        <v>Posgrado</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0"/>
        <v>Posgrado</v>
      </c>
      <c r="L655" s="98" t="s">
        <v>395</v>
      </c>
    </row>
    <row r="656" spans="3:12" ht="15.75" thickBot="1">
      <c r="C656" s="137" t="s">
        <v>492</v>
      </c>
      <c r="D656" s="199"/>
      <c r="E656" s="152">
        <v>12</v>
      </c>
      <c r="F656" s="305">
        <f>HLOOKUP($C656,$BZ$2:$CM$3,2,0)</f>
        <v>13238.9</v>
      </c>
      <c r="G656" s="113">
        <f>D656*E656*F656</f>
        <v>0</v>
      </c>
      <c r="H656" s="166"/>
      <c r="I656" s="114" t="s">
        <v>496</v>
      </c>
      <c r="J656" s="114" t="str">
        <f>VLOOKUP(I656,Presupuesto!$B$11:$C$565,2,0)</f>
        <v>SUELDOS Y SALARIOS PERMANENTES</v>
      </c>
      <c r="K656" s="98" t="str">
        <f t="shared" si="20"/>
        <v>Posgrado</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0"/>
        <v>Posgrado</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0"/>
        <v>Posgrado</v>
      </c>
      <c r="L658" s="98" t="s">
        <v>395</v>
      </c>
    </row>
    <row r="659" spans="3:12" ht="15.75" thickBot="1">
      <c r="C659" s="137" t="s">
        <v>493</v>
      </c>
      <c r="D659" s="199"/>
      <c r="E659" s="152">
        <v>12</v>
      </c>
      <c r="F659" s="305">
        <f>HLOOKUP($C659,$BZ$2:$CM$3,2,0)</f>
        <v>12356.31</v>
      </c>
      <c r="G659" s="113">
        <f>D659*E659*F659</f>
        <v>0</v>
      </c>
      <c r="H659" s="166"/>
      <c r="I659" s="114" t="s">
        <v>496</v>
      </c>
      <c r="J659" s="114" t="str">
        <f>VLOOKUP(I659,Presupuesto!$B$11:$C$565,2,0)</f>
        <v>SUELDOS Y SALARIOS PERMANENTES</v>
      </c>
      <c r="K659" s="98" t="str">
        <f t="shared" ref="K659:K676" si="21">$K$626</f>
        <v>Posgrado</v>
      </c>
      <c r="L659" s="98" t="s">
        <v>395</v>
      </c>
    </row>
    <row r="660" spans="3:12">
      <c r="C660" s="171" t="s">
        <v>58</v>
      </c>
      <c r="D660" s="163"/>
      <c r="E660" s="154">
        <v>0</v>
      </c>
      <c r="F660" s="100">
        <f>IF(E659=0,"",(G659/E659)/12*E659)</f>
        <v>0</v>
      </c>
      <c r="G660" s="97">
        <f>F660</f>
        <v>0</v>
      </c>
      <c r="H660" s="164"/>
      <c r="I660" s="116" t="s">
        <v>516</v>
      </c>
      <c r="J660" s="116" t="str">
        <f>VLOOKUP(I660,Presupuesto!$B$11:$C$565,2,0)</f>
        <v>AGUINALDO Y DECIMO CUARTO MES</v>
      </c>
      <c r="K660" s="98" t="str">
        <f t="shared" si="21"/>
        <v>Posgrado</v>
      </c>
      <c r="L660" s="98" t="s">
        <v>395</v>
      </c>
    </row>
    <row r="661" spans="3:12" ht="15.75" thickBot="1">
      <c r="C661" s="172" t="s">
        <v>59</v>
      </c>
      <c r="D661" s="163"/>
      <c r="E661" s="154">
        <v>0</v>
      </c>
      <c r="F661" s="117">
        <f>IF(E659&lt;6,"",((E659-6)/12)*(G659/E659))</f>
        <v>0</v>
      </c>
      <c r="G661" s="97">
        <f>F661</f>
        <v>0</v>
      </c>
      <c r="H661" s="164"/>
      <c r="I661" s="101" t="s">
        <v>519</v>
      </c>
      <c r="J661" s="101" t="str">
        <f>VLOOKUP(I661,Presupuesto!$B$11:$C$565,2,0)</f>
        <v>DECIMOCUARTO MES</v>
      </c>
      <c r="K661" s="98" t="str">
        <f t="shared" si="21"/>
        <v>Posgrado</v>
      </c>
      <c r="L661" s="98" t="s">
        <v>395</v>
      </c>
    </row>
    <row r="662" spans="3:12" ht="15.75" thickBot="1">
      <c r="C662" s="137" t="s">
        <v>494</v>
      </c>
      <c r="D662" s="199"/>
      <c r="E662" s="152">
        <v>12</v>
      </c>
      <c r="F662" s="305">
        <f>HLOOKUP($C662,$BZ$2:$CM$3,2,0)</f>
        <v>463.22</v>
      </c>
      <c r="G662" s="113">
        <f>D662*E662*F662</f>
        <v>0</v>
      </c>
      <c r="H662" s="166"/>
      <c r="I662" s="114" t="s">
        <v>496</v>
      </c>
      <c r="J662" s="114" t="str">
        <f>VLOOKUP(I662,Presupuesto!$B$11:$C$565,2,0)</f>
        <v>SUELDOS Y SALARIOS PERMANENTES</v>
      </c>
      <c r="K662" s="98" t="str">
        <f t="shared" si="21"/>
        <v>Posgrado</v>
      </c>
      <c r="L662" s="98" t="s">
        <v>395</v>
      </c>
    </row>
    <row r="663" spans="3:12">
      <c r="C663" s="171" t="s">
        <v>58</v>
      </c>
      <c r="D663" s="163"/>
      <c r="E663" s="154">
        <v>0</v>
      </c>
      <c r="F663" s="100">
        <f>IF(E662=0,"",(G662/E662)/12*E662)</f>
        <v>0</v>
      </c>
      <c r="G663" s="97">
        <f>F663</f>
        <v>0</v>
      </c>
      <c r="H663" s="164"/>
      <c r="I663" s="116" t="s">
        <v>516</v>
      </c>
      <c r="J663" s="116" t="str">
        <f>VLOOKUP(I663,Presupuesto!$B$11:$C$565,2,0)</f>
        <v>AGUINALDO Y DECIMO CUARTO MES</v>
      </c>
      <c r="K663" s="98" t="str">
        <f t="shared" si="21"/>
        <v>Posgrado</v>
      </c>
      <c r="L663" s="98" t="s">
        <v>395</v>
      </c>
    </row>
    <row r="664" spans="3:12" ht="15.75" thickBot="1">
      <c r="C664" s="172" t="s">
        <v>59</v>
      </c>
      <c r="D664" s="163"/>
      <c r="E664" s="154">
        <v>0</v>
      </c>
      <c r="F664" s="117">
        <f>IF(E662&lt;6,"",((E662-6)/12)*(G662/E662))</f>
        <v>0</v>
      </c>
      <c r="G664" s="97">
        <f>F664</f>
        <v>0</v>
      </c>
      <c r="H664" s="164"/>
      <c r="I664" s="101" t="s">
        <v>519</v>
      </c>
      <c r="J664" s="101" t="str">
        <f>VLOOKUP(I664,Presupuesto!$B$11:$C$565,2,0)</f>
        <v>DECIMOCUARTO MES</v>
      </c>
      <c r="K664" s="98" t="str">
        <f t="shared" si="21"/>
        <v>Posgrado</v>
      </c>
      <c r="L664" s="98" t="s">
        <v>395</v>
      </c>
    </row>
    <row r="665" spans="3:12" ht="15.75" thickBot="1">
      <c r="C665" s="137" t="s">
        <v>495</v>
      </c>
      <c r="D665" s="199"/>
      <c r="E665" s="152">
        <v>12</v>
      </c>
      <c r="F665" s="305">
        <f>HLOOKUP($C665,$BZ$2:$CM$3,2,0)</f>
        <v>2007.3</v>
      </c>
      <c r="G665" s="113">
        <f>D665*E665*F665</f>
        <v>0</v>
      </c>
      <c r="H665" s="166"/>
      <c r="I665" s="114" t="s">
        <v>496</v>
      </c>
      <c r="J665" s="114" t="str">
        <f>VLOOKUP(I665,Presupuesto!$B$11:$C$565,2,0)</f>
        <v>SUELDOS Y SALARIOS PERMANENTES</v>
      </c>
      <c r="K665" s="98" t="str">
        <f t="shared" si="21"/>
        <v>Posgrado</v>
      </c>
      <c r="L665" s="98" t="s">
        <v>395</v>
      </c>
    </row>
    <row r="666" spans="3:12">
      <c r="C666" s="171" t="s">
        <v>58</v>
      </c>
      <c r="D666" s="163"/>
      <c r="E666" s="154">
        <v>0</v>
      </c>
      <c r="F666" s="100">
        <f>IF(E665=0,"",(G665/E665)/12*E665)</f>
        <v>0</v>
      </c>
      <c r="G666" s="97">
        <f>F666</f>
        <v>0</v>
      </c>
      <c r="H666" s="164"/>
      <c r="I666" s="116" t="s">
        <v>516</v>
      </c>
      <c r="J666" s="116" t="str">
        <f>VLOOKUP(I666,Presupuesto!$B$11:$C$565,2,0)</f>
        <v>AGUINALDO Y DECIMO CUARTO MES</v>
      </c>
      <c r="K666" s="98" t="str">
        <f t="shared" si="21"/>
        <v>Posgrado</v>
      </c>
      <c r="L666" s="98" t="s">
        <v>395</v>
      </c>
    </row>
    <row r="667" spans="3:12" ht="15.75" thickBot="1">
      <c r="C667" s="172" t="s">
        <v>59</v>
      </c>
      <c r="D667" s="163"/>
      <c r="E667" s="154">
        <v>0</v>
      </c>
      <c r="F667" s="117">
        <f>IF(E665&lt;6,"",((E665-6)/12)*(G665/E665))</f>
        <v>0</v>
      </c>
      <c r="G667" s="97">
        <f>F667</f>
        <v>0</v>
      </c>
      <c r="H667" s="164"/>
      <c r="I667" s="101" t="s">
        <v>519</v>
      </c>
      <c r="J667" s="101" t="str">
        <f>VLOOKUP(I667,Presupuesto!$B$11:$C$565,2,0)</f>
        <v>DECIMOCUARTO MES</v>
      </c>
      <c r="K667" s="98" t="str">
        <f t="shared" si="21"/>
        <v>Posgrado</v>
      </c>
      <c r="L667" s="98" t="s">
        <v>395</v>
      </c>
    </row>
    <row r="668" spans="3:12" ht="15.75" thickBot="1">
      <c r="C668" s="140" t="s">
        <v>83</v>
      </c>
      <c r="D668" s="199"/>
      <c r="E668" s="152">
        <v>12</v>
      </c>
      <c r="F668" s="139">
        <v>30000</v>
      </c>
      <c r="G668" s="113">
        <f>D668*E668*F668</f>
        <v>0</v>
      </c>
      <c r="H668" s="166"/>
      <c r="I668" s="114" t="s">
        <v>564</v>
      </c>
      <c r="J668" s="114" t="str">
        <f>VLOOKUP(I668,Presupuesto!$B$11:$C$565,2,0)</f>
        <v>CONTRATOS ESPECIALES</v>
      </c>
      <c r="K668" s="98" t="str">
        <f t="shared" si="21"/>
        <v>Posgrado</v>
      </c>
      <c r="L668" s="98" t="s">
        <v>395</v>
      </c>
    </row>
    <row r="669" spans="3:12">
      <c r="C669" s="171" t="s">
        <v>58</v>
      </c>
      <c r="D669" s="163"/>
      <c r="E669" s="154">
        <v>0</v>
      </c>
      <c r="F669" s="117">
        <f>IF(E668=0,"",(G668/E668)/12*E668)</f>
        <v>0</v>
      </c>
      <c r="G669" s="97">
        <f>F669</f>
        <v>0</v>
      </c>
      <c r="H669" s="164"/>
      <c r="I669" s="101" t="s">
        <v>564</v>
      </c>
      <c r="J669" s="101" t="str">
        <f>VLOOKUP(I669,Presupuesto!$B$11:$C$565,2,0)</f>
        <v>CONTRATOS ESPECIALES</v>
      </c>
      <c r="K669" s="98" t="str">
        <f t="shared" si="21"/>
        <v>Posgrado</v>
      </c>
      <c r="L669" s="98" t="s">
        <v>394</v>
      </c>
    </row>
    <row r="670" spans="3:12" ht="15.75" thickBot="1">
      <c r="C670" s="172" t="s">
        <v>59</v>
      </c>
      <c r="D670" s="163"/>
      <c r="E670" s="154">
        <v>0</v>
      </c>
      <c r="F670" s="100">
        <f>IF(E668&lt;6,"",((E668-6)/12)*(G668/E668))</f>
        <v>0</v>
      </c>
      <c r="G670" s="97">
        <f>F670</f>
        <v>0</v>
      </c>
      <c r="H670" s="164"/>
      <c r="I670" s="101" t="s">
        <v>564</v>
      </c>
      <c r="J670" s="101" t="str">
        <f>VLOOKUP(I670,Presupuesto!$B$11:$C$565,2,0)</f>
        <v>CONTRATOS ESPECIALES</v>
      </c>
      <c r="K670" s="98" t="str">
        <f t="shared" si="21"/>
        <v>Posgrado</v>
      </c>
      <c r="L670" s="98" t="s">
        <v>399</v>
      </c>
    </row>
    <row r="671" spans="3:12" ht="15.75" thickBot="1">
      <c r="C671" s="140" t="s">
        <v>60</v>
      </c>
      <c r="D671" s="199"/>
      <c r="E671" s="152">
        <v>12</v>
      </c>
      <c r="F671" s="118">
        <v>30000</v>
      </c>
      <c r="G671" s="113">
        <f>D671*E671*F671</f>
        <v>0</v>
      </c>
      <c r="H671" s="166"/>
      <c r="I671" s="114" t="s">
        <v>705</v>
      </c>
      <c r="J671" s="114" t="str">
        <f>VLOOKUP(I671,Presupuesto!$B$11:$C$565,2,0)</f>
        <v>OTROS SERVICIOS TECNICOS Y PROFESIONALES</v>
      </c>
      <c r="K671" s="98" t="str">
        <f t="shared" si="21"/>
        <v>Posgrado</v>
      </c>
      <c r="L671" s="98" t="s">
        <v>394</v>
      </c>
    </row>
    <row r="672" spans="3:12">
      <c r="C672" s="171" t="s">
        <v>58</v>
      </c>
      <c r="D672" s="163"/>
      <c r="E672" s="154">
        <v>0</v>
      </c>
      <c r="F672" s="100">
        <v>0</v>
      </c>
      <c r="G672" s="97">
        <f>F672</f>
        <v>0</v>
      </c>
      <c r="H672" s="164"/>
      <c r="I672" s="101" t="s">
        <v>705</v>
      </c>
      <c r="J672" s="101" t="str">
        <f>VLOOKUP(I672,Presupuesto!$B$11:$C$565,2,0)</f>
        <v>OTROS SERVICIOS TECNICOS Y PROFESIONALES</v>
      </c>
      <c r="K672" s="98" t="str">
        <f t="shared" si="21"/>
        <v>Posgrado</v>
      </c>
      <c r="L672" s="98" t="s">
        <v>394</v>
      </c>
    </row>
    <row r="673" spans="3:12" ht="15.75" thickBot="1">
      <c r="C673" s="172" t="s">
        <v>59</v>
      </c>
      <c r="D673" s="163"/>
      <c r="E673" s="154">
        <v>0</v>
      </c>
      <c r="F673" s="100">
        <v>0</v>
      </c>
      <c r="G673" s="97">
        <f>F673</f>
        <v>0</v>
      </c>
      <c r="H673" s="164"/>
      <c r="I673" s="101" t="s">
        <v>705</v>
      </c>
      <c r="J673" s="101" t="str">
        <f>VLOOKUP(I673,Presupuesto!$B$11:$C$565,2,0)</f>
        <v>OTROS SERVICIOS TECNICOS Y PROFESIONALES</v>
      </c>
      <c r="K673" s="98" t="str">
        <f t="shared" si="21"/>
        <v>Posgrado</v>
      </c>
      <c r="L673" s="98" t="s">
        <v>394</v>
      </c>
    </row>
    <row r="674" spans="3:12" ht="15.75" thickBot="1">
      <c r="C674" s="140" t="s">
        <v>61</v>
      </c>
      <c r="D674" s="199"/>
      <c r="E674" s="152">
        <v>12</v>
      </c>
      <c r="F674" s="118">
        <v>30000</v>
      </c>
      <c r="G674" s="113">
        <f>D674*E674*F674</f>
        <v>0</v>
      </c>
      <c r="H674" s="166"/>
      <c r="I674" s="114" t="s">
        <v>496</v>
      </c>
      <c r="J674" s="114" t="str">
        <f>VLOOKUP(I674,Presupuesto!$B$11:$C$565,2,0)</f>
        <v>SUELDOS Y SALARIOS PERMANENTES</v>
      </c>
      <c r="K674" s="98" t="str">
        <f t="shared" si="21"/>
        <v>Posgrado</v>
      </c>
      <c r="L674" s="98" t="s">
        <v>394</v>
      </c>
    </row>
    <row r="675" spans="3:12">
      <c r="C675" s="171" t="s">
        <v>58</v>
      </c>
      <c r="D675" s="169"/>
      <c r="E675" s="131">
        <v>0</v>
      </c>
      <c r="F675" s="119">
        <f>IF(E674=0,"",(G674/E674)/12*E674)</f>
        <v>0</v>
      </c>
      <c r="G675" s="120">
        <f>F675</f>
        <v>0</v>
      </c>
      <c r="H675" s="164"/>
      <c r="I675" s="101" t="s">
        <v>516</v>
      </c>
      <c r="J675" s="101" t="str">
        <f>VLOOKUP(I675,Presupuesto!$B$11:$C$565,2,0)</f>
        <v>AGUINALDO Y DECIMO CUARTO MES</v>
      </c>
      <c r="K675" s="98" t="str">
        <f t="shared" si="21"/>
        <v>Posgrado</v>
      </c>
      <c r="L675" s="98" t="s">
        <v>394</v>
      </c>
    </row>
    <row r="676" spans="3:12" ht="15.75" thickBot="1">
      <c r="C676" s="173" t="s">
        <v>59</v>
      </c>
      <c r="D676" s="162"/>
      <c r="E676" s="132">
        <v>0</v>
      </c>
      <c r="F676" s="105">
        <f>IF(E674&lt;6,"",((E674-6)/12)*(G674/E674))</f>
        <v>0</v>
      </c>
      <c r="G676" s="105">
        <f>F676</f>
        <v>0</v>
      </c>
      <c r="H676" s="162"/>
      <c r="I676" s="106" t="s">
        <v>519</v>
      </c>
      <c r="J676" s="124" t="str">
        <f>VLOOKUP(I676,Presupuesto!$B$11:$C$565,2,0)</f>
        <v>DECIMOCUARTO MES</v>
      </c>
      <c r="K676" s="106" t="str">
        <f t="shared" si="21"/>
        <v>Posgrado</v>
      </c>
      <c r="L676" s="124" t="s">
        <v>394</v>
      </c>
    </row>
    <row r="678" spans="3:12" ht="15.75" thickBot="1"/>
    <row r="679" spans="3:12" ht="15.75" thickBot="1">
      <c r="C679" s="69" t="s">
        <v>43</v>
      </c>
      <c r="D679" s="30">
        <f>SUM(G686:G736)</f>
        <v>0</v>
      </c>
      <c r="E679" s="93"/>
      <c r="F679" s="93"/>
      <c r="G679" s="93"/>
      <c r="H679" s="76"/>
      <c r="I679" s="76"/>
      <c r="J679" s="76"/>
    </row>
    <row r="680" spans="3:12">
      <c r="D680" s="31"/>
      <c r="E680" s="93"/>
      <c r="F680" s="93"/>
      <c r="G680" s="93"/>
      <c r="H680" s="76"/>
      <c r="I680" s="76"/>
      <c r="J680" s="76"/>
      <c r="K680" s="153"/>
    </row>
    <row r="681" spans="3:12">
      <c r="D681" s="31"/>
      <c r="E681" s="93"/>
      <c r="F681" s="93"/>
      <c r="G681" s="93"/>
      <c r="H681" s="76"/>
      <c r="I681" s="76"/>
      <c r="J681" s="76"/>
      <c r="K681" s="153"/>
    </row>
    <row r="682" spans="3:12" ht="15.75">
      <c r="C682" s="202" t="s">
        <v>392</v>
      </c>
      <c r="D682" s="370"/>
      <c r="E682" s="93"/>
      <c r="F682" s="93"/>
      <c r="G682" s="93"/>
      <c r="H682" s="76"/>
      <c r="I682" s="76"/>
      <c r="J682" s="76"/>
      <c r="K682" s="153"/>
    </row>
    <row r="683" spans="3:12" ht="18.75">
      <c r="C683" s="211" t="e">
        <f>IFERROR(VLOOKUP(D682,'1. Desarrollo e Innov. Curricu.'!$E:$F,2,FALSE),IFERROR(VLOOKUP(D682,'2. Investigación Científica'!$E:$F,2,FALSE),IFERROR(VLOOKUP(D682,'3. Vinculación Univ. Sociedad'!$E:$F,2,FALSE),IFERROR(VLOOKUP(D682,'4. Docencia y Profesorado Univ.'!$E:$F,2,FALSE),IFERROR(VLOOKUP(D682,'5. Estudiantes y Graduados'!$E:$F,2,FALSE),IFERROR(VLOOKUP(D682,'11. Gestion Administrativa'!$E:$F,2,FALSE),IFERROR(VLOOKUP(D682,'13. Gestión Académica'!$E:$F,2,FALSE),IFERROR(VLOOKUP(D682,'8. Asegura. de la Calid. y M'!$E:$F,2,FALSE),IFERROR(VLOOKUP(D682,'6. Gestión del Conocimiento'!$E:$F,2,FALSE),IFERROR(VLOOKUP(D682,'15. Gobernabilidad y Proceso...'!$E:$F,2,FALSE),IFERROR(VLOOKUP(D682,'12. Gestión del Talento Humano'!$E:$F,2,FALSE),IFERROR(VLOOKUP(D682,'14. Internacional... de la E.S.'!$E:$F,2,FALSE),IFERROR(VLOOKUP(D682,'10. Posgrado'!$E:$F,2,FALSE),IFERROR(VLOOKUP(D682,'17. Gestión TIC'!$E:$F,2,FALSE),IFERROR(VLOOKUP(D682,'16. Desa. del Sistema Educ.Sup.'!$E:$F,2,FALSE),IFERROR(VLOOKUP(D682,'9. Cultura de Inno. Insti...'!$E:$F,2,FALSE),VLOOKUP(D682,'7. Lo Esencial de la Reforma U.'!$E:$F,2,0)))))))))))))))))</f>
        <v>#N/A</v>
      </c>
      <c r="D683" s="31"/>
      <c r="E683" s="93"/>
      <c r="F683" s="93"/>
      <c r="G683" s="93"/>
      <c r="H683" s="76"/>
      <c r="I683" s="76"/>
      <c r="J683" s="76"/>
      <c r="K683" s="153"/>
    </row>
    <row r="684" spans="3:12" ht="15.75" thickBot="1">
      <c r="C684" s="177"/>
      <c r="D684" s="31"/>
      <c r="E684" s="93"/>
      <c r="F684" s="93"/>
      <c r="G684" s="93"/>
      <c r="H684" s="76"/>
      <c r="I684" s="76"/>
      <c r="J684" s="76"/>
      <c r="K684" s="153"/>
    </row>
    <row r="685" spans="3:12" ht="30.75" thickBot="1">
      <c r="C685" s="134" t="s">
        <v>44</v>
      </c>
      <c r="D685" s="138" t="s">
        <v>55</v>
      </c>
      <c r="E685" s="170" t="s">
        <v>56</v>
      </c>
      <c r="F685" s="138" t="s">
        <v>57</v>
      </c>
      <c r="G685" s="135" t="s">
        <v>27</v>
      </c>
      <c r="H685" s="133" t="s">
        <v>131</v>
      </c>
      <c r="I685" s="136" t="s">
        <v>46</v>
      </c>
      <c r="J685" s="136" t="s">
        <v>132</v>
      </c>
      <c r="K685" s="136" t="s">
        <v>410</v>
      </c>
      <c r="L685" s="136" t="s">
        <v>411</v>
      </c>
    </row>
    <row r="686" spans="3:12" ht="15.75" thickBot="1">
      <c r="C686" s="137" t="s">
        <v>482</v>
      </c>
      <c r="D686" s="199"/>
      <c r="E686" s="152">
        <v>12</v>
      </c>
      <c r="F686" s="305">
        <f>HLOOKUP($C686,$BZ$2:$CM$3,2,0)</f>
        <v>43674.39</v>
      </c>
      <c r="G686" s="113">
        <f>D686*E686*F686</f>
        <v>0</v>
      </c>
      <c r="H686" s="166"/>
      <c r="I686" s="114" t="s">
        <v>496</v>
      </c>
      <c r="J686" s="114" t="str">
        <f>VLOOKUP(I686,Presupuesto!$B$11:$C$565,2,0)</f>
        <v>SUELDOS Y SALARIOS PERMANENTES</v>
      </c>
      <c r="K686" s="219" t="s">
        <v>1453</v>
      </c>
      <c r="L686" s="98" t="s">
        <v>394</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ref="K687:K718" si="22">$K$686</f>
        <v>Posgrado</v>
      </c>
      <c r="L687" s="98" t="s">
        <v>412</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c r="C689" s="137" t="s">
        <v>483</v>
      </c>
      <c r="D689" s="199"/>
      <c r="E689" s="152">
        <v>12</v>
      </c>
      <c r="F689" s="305">
        <f>HLOOKUP($C689,$BZ$2:$CM$3,2,0)</f>
        <v>39703.99</v>
      </c>
      <c r="G689" s="113">
        <f>D689*E689*F689</f>
        <v>0</v>
      </c>
      <c r="H689" s="166"/>
      <c r="I689" s="114" t="s">
        <v>496</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c r="C692" s="137" t="s">
        <v>484</v>
      </c>
      <c r="D692" s="199"/>
      <c r="E692" s="152">
        <v>12</v>
      </c>
      <c r="F692" s="305">
        <f>HLOOKUP($C692,$BZ$2:$CM$3,2,0)</f>
        <v>35733.589999999997</v>
      </c>
      <c r="G692" s="113">
        <f>D692*E692*F692</f>
        <v>0</v>
      </c>
      <c r="H692" s="166"/>
      <c r="I692" s="114" t="s">
        <v>496</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c r="C695" s="137" t="s">
        <v>485</v>
      </c>
      <c r="D695" s="199"/>
      <c r="E695" s="152">
        <v>12</v>
      </c>
      <c r="F695" s="305">
        <f>HLOOKUP($C695,$BZ$2:$CM$3,2,0)</f>
        <v>31763.19</v>
      </c>
      <c r="G695" s="113">
        <f>D695*E695*F695</f>
        <v>0</v>
      </c>
      <c r="H695" s="166"/>
      <c r="I695" s="114" t="s">
        <v>496</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c r="C698" s="137" t="s">
        <v>486</v>
      </c>
      <c r="D698" s="199"/>
      <c r="E698" s="152">
        <v>12</v>
      </c>
      <c r="F698" s="305">
        <f>HLOOKUP($C698,$BZ$2:$CM$3,2,0)</f>
        <v>29777.99</v>
      </c>
      <c r="G698" s="113">
        <f>D698*E698*F698</f>
        <v>0</v>
      </c>
      <c r="H698" s="166"/>
      <c r="I698" s="114" t="s">
        <v>496</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c r="C701" s="137" t="s">
        <v>487</v>
      </c>
      <c r="D701" s="199"/>
      <c r="E701" s="152">
        <v>12</v>
      </c>
      <c r="F701" s="305">
        <f>HLOOKUP($C701,$BZ$2:$CM$3,2,0)</f>
        <v>27792.79</v>
      </c>
      <c r="G701" s="113">
        <f>D701*E701*F701</f>
        <v>0</v>
      </c>
      <c r="H701" s="166"/>
      <c r="I701" s="114" t="s">
        <v>496</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c r="C704" s="137" t="s">
        <v>488</v>
      </c>
      <c r="D704" s="199"/>
      <c r="E704" s="152">
        <v>12</v>
      </c>
      <c r="F704" s="305">
        <f>HLOOKUP($C704,$BZ$2:$CM$3,2,0)</f>
        <v>18859.39</v>
      </c>
      <c r="G704" s="113">
        <f>D704*E704*F704</f>
        <v>0</v>
      </c>
      <c r="H704" s="166"/>
      <c r="I704" s="114" t="s">
        <v>496</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c r="C707" s="137" t="s">
        <v>489</v>
      </c>
      <c r="D707" s="199"/>
      <c r="E707" s="152">
        <v>12</v>
      </c>
      <c r="F707" s="305">
        <f>HLOOKUP($C707,$BZ$2:$CM$3,2,0)</f>
        <v>17866.8</v>
      </c>
      <c r="G707" s="113">
        <f>D707*E707*F707</f>
        <v>0</v>
      </c>
      <c r="H707" s="166"/>
      <c r="I707" s="114" t="s">
        <v>496</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c r="C710" s="137" t="s">
        <v>490</v>
      </c>
      <c r="D710" s="199"/>
      <c r="E710" s="152">
        <v>12</v>
      </c>
      <c r="F710" s="305">
        <f>HLOOKUP($C710,$BZ$2:$CM$3,2,0)</f>
        <v>13896.4</v>
      </c>
      <c r="G710" s="113">
        <f>D710*E710*F710</f>
        <v>0</v>
      </c>
      <c r="H710" s="166"/>
      <c r="I710" s="114" t="s">
        <v>496</v>
      </c>
      <c r="J710" s="114" t="str">
        <f>VLOOKUP(I710,Presupuesto!$B$11:$C$565,2,0)</f>
        <v>SUELDOS Y SALARIOS PERMANENTES</v>
      </c>
      <c r="K710" s="98" t="str">
        <f t="shared" si="22"/>
        <v>Posgrado</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2"/>
        <v>Posgrado</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2"/>
        <v>Posgrado</v>
      </c>
      <c r="L712" s="98" t="s">
        <v>395</v>
      </c>
    </row>
    <row r="713" spans="3:12" ht="15.75" thickBot="1">
      <c r="C713" s="137" t="s">
        <v>491</v>
      </c>
      <c r="D713" s="199"/>
      <c r="E713" s="152">
        <v>12</v>
      </c>
      <c r="F713" s="305">
        <f>HLOOKUP($C713,$BZ$2:$CM$3,2,0)</f>
        <v>15004.09</v>
      </c>
      <c r="G713" s="113">
        <f>D713*E713*F713</f>
        <v>0</v>
      </c>
      <c r="H713" s="166"/>
      <c r="I713" s="114" t="s">
        <v>496</v>
      </c>
      <c r="J713" s="114" t="str">
        <f>VLOOKUP(I713,Presupuesto!$B$11:$C$565,2,0)</f>
        <v>SUELDOS Y SALARIOS PERMANENTES</v>
      </c>
      <c r="K713" s="98" t="str">
        <f t="shared" si="22"/>
        <v>Posgrado</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2"/>
        <v>Posgrado</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2"/>
        <v>Posgrado</v>
      </c>
      <c r="L715" s="98" t="s">
        <v>395</v>
      </c>
    </row>
    <row r="716" spans="3:12" ht="15.75" thickBot="1">
      <c r="C716" s="137" t="s">
        <v>492</v>
      </c>
      <c r="D716" s="199"/>
      <c r="E716" s="152">
        <v>12</v>
      </c>
      <c r="F716" s="305">
        <f>HLOOKUP($C716,$BZ$2:$CM$3,2,0)</f>
        <v>13238.9</v>
      </c>
      <c r="G716" s="113">
        <f>D716*E716*F716</f>
        <v>0</v>
      </c>
      <c r="H716" s="166"/>
      <c r="I716" s="114" t="s">
        <v>496</v>
      </c>
      <c r="J716" s="114" t="str">
        <f>VLOOKUP(I716,Presupuesto!$B$11:$C$565,2,0)</f>
        <v>SUELDOS Y SALARIOS PERMANENTES</v>
      </c>
      <c r="K716" s="98" t="str">
        <f t="shared" si="22"/>
        <v>Posgrado</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2"/>
        <v>Posgrado</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2"/>
        <v>Posgrado</v>
      </c>
      <c r="L718" s="98" t="s">
        <v>395</v>
      </c>
    </row>
    <row r="719" spans="3:12" ht="15.75" thickBot="1">
      <c r="C719" s="137" t="s">
        <v>493</v>
      </c>
      <c r="D719" s="199"/>
      <c r="E719" s="152">
        <v>12</v>
      </c>
      <c r="F719" s="305">
        <f>HLOOKUP($C719,$BZ$2:$CM$3,2,0)</f>
        <v>12356.31</v>
      </c>
      <c r="G719" s="113">
        <f>D719*E719*F719</f>
        <v>0</v>
      </c>
      <c r="H719" s="166"/>
      <c r="I719" s="114" t="s">
        <v>496</v>
      </c>
      <c r="J719" s="114" t="str">
        <f>VLOOKUP(I719,Presupuesto!$B$11:$C$565,2,0)</f>
        <v>SUELDOS Y SALARIOS PERMANENTES</v>
      </c>
      <c r="K719" s="98" t="str">
        <f t="shared" ref="K719:K736" si="23">$K$686</f>
        <v>Posgrado</v>
      </c>
      <c r="L719" s="98" t="s">
        <v>395</v>
      </c>
    </row>
    <row r="720" spans="3:12">
      <c r="C720" s="171" t="s">
        <v>58</v>
      </c>
      <c r="D720" s="163"/>
      <c r="E720" s="154">
        <v>0</v>
      </c>
      <c r="F720" s="100">
        <f>IF(E719=0,"",(G719/E719)/12*E719)</f>
        <v>0</v>
      </c>
      <c r="G720" s="97">
        <f>F720</f>
        <v>0</v>
      </c>
      <c r="H720" s="164"/>
      <c r="I720" s="116" t="s">
        <v>516</v>
      </c>
      <c r="J720" s="116" t="str">
        <f>VLOOKUP(I720,Presupuesto!$B$11:$C$565,2,0)</f>
        <v>AGUINALDO Y DECIMO CUARTO MES</v>
      </c>
      <c r="K720" s="98" t="str">
        <f t="shared" si="23"/>
        <v>Posgrado</v>
      </c>
      <c r="L720" s="98" t="s">
        <v>395</v>
      </c>
    </row>
    <row r="721" spans="3:12" ht="15.75" thickBot="1">
      <c r="C721" s="172" t="s">
        <v>59</v>
      </c>
      <c r="D721" s="163"/>
      <c r="E721" s="154">
        <v>0</v>
      </c>
      <c r="F721" s="117">
        <f>IF(E719&lt;6,"",((E719-6)/12)*(G719/E719))</f>
        <v>0</v>
      </c>
      <c r="G721" s="97">
        <f>F721</f>
        <v>0</v>
      </c>
      <c r="H721" s="164"/>
      <c r="I721" s="101" t="s">
        <v>519</v>
      </c>
      <c r="J721" s="101" t="str">
        <f>VLOOKUP(I721,Presupuesto!$B$11:$C$565,2,0)</f>
        <v>DECIMOCUARTO MES</v>
      </c>
      <c r="K721" s="98" t="str">
        <f t="shared" si="23"/>
        <v>Posgrado</v>
      </c>
      <c r="L721" s="98" t="s">
        <v>395</v>
      </c>
    </row>
    <row r="722" spans="3:12" ht="15.75" thickBot="1">
      <c r="C722" s="137" t="s">
        <v>494</v>
      </c>
      <c r="D722" s="199"/>
      <c r="E722" s="152">
        <v>12</v>
      </c>
      <c r="F722" s="305">
        <f>HLOOKUP($C722,$BZ$2:$CM$3,2,0)</f>
        <v>463.22</v>
      </c>
      <c r="G722" s="113">
        <f>D722*E722*F722</f>
        <v>0</v>
      </c>
      <c r="H722" s="166"/>
      <c r="I722" s="114" t="s">
        <v>496</v>
      </c>
      <c r="J722" s="114" t="str">
        <f>VLOOKUP(I722,Presupuesto!$B$11:$C$565,2,0)</f>
        <v>SUELDOS Y SALARIOS PERMANENTES</v>
      </c>
      <c r="K722" s="98" t="str">
        <f t="shared" si="23"/>
        <v>Posgrado</v>
      </c>
      <c r="L722" s="98" t="s">
        <v>395</v>
      </c>
    </row>
    <row r="723" spans="3:12">
      <c r="C723" s="171" t="s">
        <v>58</v>
      </c>
      <c r="D723" s="163"/>
      <c r="E723" s="154">
        <v>0</v>
      </c>
      <c r="F723" s="100">
        <f>IF(E722=0,"",(G722/E722)/12*E722)</f>
        <v>0</v>
      </c>
      <c r="G723" s="97">
        <f>F723</f>
        <v>0</v>
      </c>
      <c r="H723" s="164"/>
      <c r="I723" s="116" t="s">
        <v>516</v>
      </c>
      <c r="J723" s="116" t="str">
        <f>VLOOKUP(I723,Presupuesto!$B$11:$C$565,2,0)</f>
        <v>AGUINALDO Y DECIMO CUARTO MES</v>
      </c>
      <c r="K723" s="98" t="str">
        <f t="shared" si="23"/>
        <v>Posgrado</v>
      </c>
      <c r="L723" s="98" t="s">
        <v>395</v>
      </c>
    </row>
    <row r="724" spans="3:12" ht="15.75" thickBot="1">
      <c r="C724" s="172" t="s">
        <v>59</v>
      </c>
      <c r="D724" s="163"/>
      <c r="E724" s="154">
        <v>0</v>
      </c>
      <c r="F724" s="117">
        <f>IF(E722&lt;6,"",((E722-6)/12)*(G722/E722))</f>
        <v>0</v>
      </c>
      <c r="G724" s="97">
        <f>F724</f>
        <v>0</v>
      </c>
      <c r="H724" s="164"/>
      <c r="I724" s="101" t="s">
        <v>519</v>
      </c>
      <c r="J724" s="101" t="str">
        <f>VLOOKUP(I724,Presupuesto!$B$11:$C$565,2,0)</f>
        <v>DECIMOCUARTO MES</v>
      </c>
      <c r="K724" s="98" t="str">
        <f t="shared" si="23"/>
        <v>Posgrado</v>
      </c>
      <c r="L724" s="98" t="s">
        <v>395</v>
      </c>
    </row>
    <row r="725" spans="3:12" ht="15.75" thickBot="1">
      <c r="C725" s="137" t="s">
        <v>495</v>
      </c>
      <c r="D725" s="199"/>
      <c r="E725" s="152">
        <v>12</v>
      </c>
      <c r="F725" s="305">
        <f>HLOOKUP($C725,$BZ$2:$CM$3,2,0)</f>
        <v>2007.3</v>
      </c>
      <c r="G725" s="113">
        <f>D725*E725*F725</f>
        <v>0</v>
      </c>
      <c r="H725" s="166"/>
      <c r="I725" s="114" t="s">
        <v>496</v>
      </c>
      <c r="J725" s="114" t="str">
        <f>VLOOKUP(I725,Presupuesto!$B$11:$C$565,2,0)</f>
        <v>SUELDOS Y SALARIOS PERMANENTES</v>
      </c>
      <c r="K725" s="98" t="str">
        <f t="shared" si="23"/>
        <v>Posgrado</v>
      </c>
      <c r="L725" s="98" t="s">
        <v>395</v>
      </c>
    </row>
    <row r="726" spans="3:12">
      <c r="C726" s="171" t="s">
        <v>58</v>
      </c>
      <c r="D726" s="163"/>
      <c r="E726" s="154">
        <v>0</v>
      </c>
      <c r="F726" s="100">
        <f>IF(E725=0,"",(G725/E725)/12*E725)</f>
        <v>0</v>
      </c>
      <c r="G726" s="97">
        <f>F726</f>
        <v>0</v>
      </c>
      <c r="H726" s="164"/>
      <c r="I726" s="116" t="s">
        <v>516</v>
      </c>
      <c r="J726" s="116" t="str">
        <f>VLOOKUP(I726,Presupuesto!$B$11:$C$565,2,0)</f>
        <v>AGUINALDO Y DECIMO CUARTO MES</v>
      </c>
      <c r="K726" s="98" t="str">
        <f t="shared" si="23"/>
        <v>Posgrado</v>
      </c>
      <c r="L726" s="98" t="s">
        <v>395</v>
      </c>
    </row>
    <row r="727" spans="3:12" ht="15.75" thickBot="1">
      <c r="C727" s="172" t="s">
        <v>59</v>
      </c>
      <c r="D727" s="163"/>
      <c r="E727" s="154">
        <v>0</v>
      </c>
      <c r="F727" s="117">
        <f>IF(E725&lt;6,"",((E725-6)/12)*(G725/E725))</f>
        <v>0</v>
      </c>
      <c r="G727" s="97">
        <f>F727</f>
        <v>0</v>
      </c>
      <c r="H727" s="164"/>
      <c r="I727" s="101" t="s">
        <v>519</v>
      </c>
      <c r="J727" s="101" t="str">
        <f>VLOOKUP(I727,Presupuesto!$B$11:$C$565,2,0)</f>
        <v>DECIMOCUARTO MES</v>
      </c>
      <c r="K727" s="98" t="str">
        <f t="shared" si="23"/>
        <v>Posgrado</v>
      </c>
      <c r="L727" s="98" t="s">
        <v>395</v>
      </c>
    </row>
    <row r="728" spans="3:12" ht="15.75" thickBot="1">
      <c r="C728" s="140" t="s">
        <v>83</v>
      </c>
      <c r="D728" s="199"/>
      <c r="E728" s="152">
        <v>12</v>
      </c>
      <c r="F728" s="139">
        <v>30000</v>
      </c>
      <c r="G728" s="113">
        <f>D728*E728*F728</f>
        <v>0</v>
      </c>
      <c r="H728" s="166"/>
      <c r="I728" s="114" t="s">
        <v>564</v>
      </c>
      <c r="J728" s="114" t="str">
        <f>VLOOKUP(I728,Presupuesto!$B$11:$C$565,2,0)</f>
        <v>CONTRATOS ESPECIALES</v>
      </c>
      <c r="K728" s="98" t="str">
        <f t="shared" si="23"/>
        <v>Posgrado</v>
      </c>
      <c r="L728" s="98" t="s">
        <v>395</v>
      </c>
    </row>
    <row r="729" spans="3:12">
      <c r="C729" s="171" t="s">
        <v>58</v>
      </c>
      <c r="D729" s="163"/>
      <c r="E729" s="154">
        <v>0</v>
      </c>
      <c r="F729" s="117">
        <f>IF(E728=0,"",(G728/E728)/12*E728)</f>
        <v>0</v>
      </c>
      <c r="G729" s="97">
        <f>F729</f>
        <v>0</v>
      </c>
      <c r="H729" s="164"/>
      <c r="I729" s="101" t="s">
        <v>564</v>
      </c>
      <c r="J729" s="101" t="str">
        <f>VLOOKUP(I729,Presupuesto!$B$11:$C$565,2,0)</f>
        <v>CONTRATOS ESPECIALES</v>
      </c>
      <c r="K729" s="98" t="str">
        <f t="shared" si="23"/>
        <v>Posgrado</v>
      </c>
      <c r="L729" s="98" t="s">
        <v>394</v>
      </c>
    </row>
    <row r="730" spans="3:12" ht="15.75" thickBot="1">
      <c r="C730" s="172" t="s">
        <v>59</v>
      </c>
      <c r="D730" s="163"/>
      <c r="E730" s="154">
        <v>0</v>
      </c>
      <c r="F730" s="100">
        <f>IF(E728&lt;6,"",((E728-6)/12)*(G728/E728))</f>
        <v>0</v>
      </c>
      <c r="G730" s="97">
        <f>F730</f>
        <v>0</v>
      </c>
      <c r="H730" s="164"/>
      <c r="I730" s="101" t="s">
        <v>564</v>
      </c>
      <c r="J730" s="101" t="str">
        <f>VLOOKUP(I730,Presupuesto!$B$11:$C$565,2,0)</f>
        <v>CONTRATOS ESPECIALES</v>
      </c>
      <c r="K730" s="98" t="str">
        <f t="shared" si="23"/>
        <v>Posgrado</v>
      </c>
      <c r="L730" s="98" t="s">
        <v>399</v>
      </c>
    </row>
    <row r="731" spans="3:12" ht="15.75" thickBot="1">
      <c r="C731" s="140" t="s">
        <v>60</v>
      </c>
      <c r="D731" s="199"/>
      <c r="E731" s="152">
        <v>12</v>
      </c>
      <c r="F731" s="118">
        <v>30000</v>
      </c>
      <c r="G731" s="113">
        <f>D731*E731*F731</f>
        <v>0</v>
      </c>
      <c r="H731" s="166"/>
      <c r="I731" s="114" t="s">
        <v>705</v>
      </c>
      <c r="J731" s="114" t="str">
        <f>VLOOKUP(I731,Presupuesto!$B$11:$C$565,2,0)</f>
        <v>OTROS SERVICIOS TECNICOS Y PROFESIONALES</v>
      </c>
      <c r="K731" s="98" t="str">
        <f t="shared" si="23"/>
        <v>Posgrado</v>
      </c>
      <c r="L731" s="98" t="s">
        <v>394</v>
      </c>
    </row>
    <row r="732" spans="3:12">
      <c r="C732" s="171" t="s">
        <v>58</v>
      </c>
      <c r="D732" s="163"/>
      <c r="E732" s="154">
        <v>0</v>
      </c>
      <c r="F732" s="100">
        <v>0</v>
      </c>
      <c r="G732" s="97">
        <f>F732</f>
        <v>0</v>
      </c>
      <c r="H732" s="164"/>
      <c r="I732" s="101" t="s">
        <v>705</v>
      </c>
      <c r="J732" s="101" t="str">
        <f>VLOOKUP(I732,Presupuesto!$B$11:$C$565,2,0)</f>
        <v>OTROS SERVICIOS TECNICOS Y PROFESIONALES</v>
      </c>
      <c r="K732" s="98" t="str">
        <f t="shared" si="23"/>
        <v>Posgrado</v>
      </c>
      <c r="L732" s="98" t="s">
        <v>394</v>
      </c>
    </row>
    <row r="733" spans="3:12" ht="15.75" thickBot="1">
      <c r="C733" s="172" t="s">
        <v>59</v>
      </c>
      <c r="D733" s="163"/>
      <c r="E733" s="154">
        <v>0</v>
      </c>
      <c r="F733" s="100">
        <v>0</v>
      </c>
      <c r="G733" s="97">
        <f>F733</f>
        <v>0</v>
      </c>
      <c r="H733" s="164"/>
      <c r="I733" s="101" t="s">
        <v>705</v>
      </c>
      <c r="J733" s="101" t="str">
        <f>VLOOKUP(I733,Presupuesto!$B$11:$C$565,2,0)</f>
        <v>OTROS SERVICIOS TECNICOS Y PROFESIONALES</v>
      </c>
      <c r="K733" s="98" t="str">
        <f t="shared" si="23"/>
        <v>Posgrado</v>
      </c>
      <c r="L733" s="98" t="s">
        <v>394</v>
      </c>
    </row>
    <row r="734" spans="3:12" ht="15.75" thickBot="1">
      <c r="C734" s="140" t="s">
        <v>61</v>
      </c>
      <c r="D734" s="199"/>
      <c r="E734" s="152">
        <v>12</v>
      </c>
      <c r="F734" s="118">
        <v>30000</v>
      </c>
      <c r="G734" s="113">
        <f>D734*E734*F734</f>
        <v>0</v>
      </c>
      <c r="H734" s="166"/>
      <c r="I734" s="114" t="s">
        <v>496</v>
      </c>
      <c r="J734" s="114" t="str">
        <f>VLOOKUP(I734,Presupuesto!$B$11:$C$565,2,0)</f>
        <v>SUELDOS Y SALARIOS PERMANENTES</v>
      </c>
      <c r="K734" s="98" t="str">
        <f t="shared" si="23"/>
        <v>Posgrado</v>
      </c>
      <c r="L734" s="98" t="s">
        <v>394</v>
      </c>
    </row>
    <row r="735" spans="3:12">
      <c r="C735" s="171" t="s">
        <v>58</v>
      </c>
      <c r="D735" s="169"/>
      <c r="E735" s="131">
        <v>0</v>
      </c>
      <c r="F735" s="119">
        <f>IF(E734=0,"",(G734/E734)/12*E734)</f>
        <v>0</v>
      </c>
      <c r="G735" s="120">
        <f>F735</f>
        <v>0</v>
      </c>
      <c r="H735" s="164"/>
      <c r="I735" s="101" t="s">
        <v>516</v>
      </c>
      <c r="J735" s="101" t="str">
        <f>VLOOKUP(I735,Presupuesto!$B$11:$C$565,2,0)</f>
        <v>AGUINALDO Y DECIMO CUARTO MES</v>
      </c>
      <c r="K735" s="98" t="str">
        <f t="shared" si="23"/>
        <v>Posgrado</v>
      </c>
      <c r="L735" s="98" t="s">
        <v>394</v>
      </c>
    </row>
    <row r="736" spans="3:12" ht="15.75" thickBot="1">
      <c r="C736" s="173" t="s">
        <v>59</v>
      </c>
      <c r="D736" s="162"/>
      <c r="E736" s="132">
        <v>0</v>
      </c>
      <c r="F736" s="105">
        <f>IF(E734&lt;6,"",((E734-6)/12)*(G734/E734))</f>
        <v>0</v>
      </c>
      <c r="G736" s="105">
        <f>F736</f>
        <v>0</v>
      </c>
      <c r="H736" s="162"/>
      <c r="I736" s="106" t="s">
        <v>519</v>
      </c>
      <c r="J736" s="124" t="str">
        <f>VLOOKUP(I736,Presupuesto!$B$11:$C$565,2,0)</f>
        <v>DECIMOCUARTO MES</v>
      </c>
      <c r="K736" s="106" t="str">
        <f t="shared" si="23"/>
        <v>Posgrado</v>
      </c>
      <c r="L736" s="124" t="s">
        <v>394</v>
      </c>
    </row>
    <row r="738" spans="3:12" ht="15.75" thickBot="1"/>
    <row r="739" spans="3:12" ht="15.75" thickBot="1">
      <c r="C739" s="69" t="s">
        <v>43</v>
      </c>
      <c r="D739" s="30">
        <f>SUM(G746:G796)</f>
        <v>0</v>
      </c>
      <c r="E739" s="93"/>
      <c r="F739" s="93"/>
      <c r="G739" s="93"/>
      <c r="H739" s="76"/>
      <c r="I739" s="76"/>
      <c r="J739" s="76"/>
    </row>
    <row r="740" spans="3:12">
      <c r="D740" s="31"/>
      <c r="E740" s="93"/>
      <c r="F740" s="93"/>
      <c r="G740" s="93"/>
      <c r="H740" s="76"/>
      <c r="I740" s="76"/>
      <c r="J740" s="76"/>
    </row>
    <row r="741" spans="3:12">
      <c r="D741" s="31"/>
      <c r="E741" s="93"/>
      <c r="F741" s="93"/>
      <c r="G741" s="93"/>
      <c r="H741" s="76"/>
      <c r="I741" s="76"/>
      <c r="J741" s="76"/>
      <c r="K741" s="153"/>
    </row>
    <row r="742" spans="3:12" ht="15.75">
      <c r="C742" s="202" t="s">
        <v>392</v>
      </c>
      <c r="D742" s="370"/>
      <c r="E742" s="93"/>
      <c r="F742" s="93"/>
      <c r="G742" s="93"/>
      <c r="H742" s="76"/>
      <c r="I742" s="76"/>
      <c r="J742" s="76"/>
      <c r="K742" s="153"/>
    </row>
    <row r="743" spans="3:12" ht="18.75">
      <c r="C743" s="211" t="e">
        <f>IFERROR(VLOOKUP(D742,'1. Desarrollo e Innov. Curricu.'!$E:$F,2,FALSE),IFERROR(VLOOKUP(D742,'2. Investigación Científica'!$E:$F,2,FALSE),IFERROR(VLOOKUP(D742,'3. Vinculación Univ. Sociedad'!$E:$F,2,FALSE),IFERROR(VLOOKUP(D742,'4. Docencia y Profesorado Univ.'!$E:$F,2,FALSE),IFERROR(VLOOKUP(D742,'5. Estudiantes y Graduados'!$E:$F,2,FALSE),IFERROR(VLOOKUP(D742,'11. Gestion Administrativa'!$E:$F,2,FALSE),IFERROR(VLOOKUP(D742,'13. Gestión Académica'!$E:$F,2,FALSE),IFERROR(VLOOKUP(D742,'8. Asegura. de la Calid. y M'!$E:$F,2,FALSE),IFERROR(VLOOKUP(D742,'6. Gestión del Conocimiento'!$E:$F,2,FALSE),IFERROR(VLOOKUP(D742,'15. Gobernabilidad y Proceso...'!$E:$F,2,FALSE),IFERROR(VLOOKUP(D742,'12. Gestión del Talento Humano'!$E:$F,2,FALSE),IFERROR(VLOOKUP(D742,'14. Internacional... de la E.S.'!$E:$F,2,FALSE),IFERROR(VLOOKUP(D742,'10. Posgrado'!$E:$F,2,FALSE),IFERROR(VLOOKUP(D742,'17. Gestión TIC'!$E:$F,2,FALSE),IFERROR(VLOOKUP(D742,'16. Desa. del Sistema Educ.Sup.'!$E:$F,2,FALSE),IFERROR(VLOOKUP(D742,'9. Cultura de Inno. Insti...'!$E:$F,2,FALSE),VLOOKUP(D742,'7. Lo Esencial de la Reforma U.'!$E:$F,2,0)))))))))))))))))</f>
        <v>#N/A</v>
      </c>
      <c r="D743" s="31"/>
      <c r="E743" s="93"/>
      <c r="F743" s="93"/>
      <c r="G743" s="93"/>
      <c r="H743" s="76"/>
      <c r="I743" s="76"/>
      <c r="J743" s="76"/>
      <c r="K743" s="153"/>
    </row>
    <row r="744" spans="3:12" ht="15.75" thickBot="1">
      <c r="C744" s="177"/>
      <c r="D744" s="31"/>
      <c r="E744" s="93"/>
      <c r="F744" s="93"/>
      <c r="G744" s="93"/>
      <c r="H744" s="76"/>
      <c r="I744" s="76"/>
      <c r="J744" s="76"/>
      <c r="K744" s="153"/>
    </row>
    <row r="745" spans="3:12" ht="30.75" thickBot="1">
      <c r="C745" s="134" t="s">
        <v>44</v>
      </c>
      <c r="D745" s="138" t="s">
        <v>55</v>
      </c>
      <c r="E745" s="170" t="s">
        <v>56</v>
      </c>
      <c r="F745" s="138" t="s">
        <v>57</v>
      </c>
      <c r="G745" s="135" t="s">
        <v>27</v>
      </c>
      <c r="H745" s="133" t="s">
        <v>131</v>
      </c>
      <c r="I745" s="136" t="s">
        <v>46</v>
      </c>
      <c r="J745" s="136" t="s">
        <v>132</v>
      </c>
      <c r="K745" s="136" t="s">
        <v>410</v>
      </c>
      <c r="L745" s="136" t="s">
        <v>411</v>
      </c>
    </row>
    <row r="746" spans="3:12" ht="15.75" thickBot="1">
      <c r="C746" s="137" t="s">
        <v>482</v>
      </c>
      <c r="D746" s="199"/>
      <c r="E746" s="152">
        <v>12</v>
      </c>
      <c r="F746" s="305">
        <f>HLOOKUP($C746,$BZ$2:$CM$3,2,0)</f>
        <v>43674.39</v>
      </c>
      <c r="G746" s="113">
        <f>D746*E746*F746</f>
        <v>0</v>
      </c>
      <c r="H746" s="166"/>
      <c r="I746" s="114" t="s">
        <v>496</v>
      </c>
      <c r="J746" s="114" t="str">
        <f>VLOOKUP(I746,Presupuesto!$B$11:$C$565,2,0)</f>
        <v>SUELDOS Y SALARIOS PERMANENTES</v>
      </c>
      <c r="K746" s="219" t="s">
        <v>1453</v>
      </c>
      <c r="L746" s="98" t="s">
        <v>394</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ref="K747:K778" si="24">$K$746</f>
        <v>Posgrado</v>
      </c>
      <c r="L747" s="98" t="s">
        <v>412</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c r="C749" s="137" t="s">
        <v>483</v>
      </c>
      <c r="D749" s="199"/>
      <c r="E749" s="152">
        <v>12</v>
      </c>
      <c r="F749" s="305">
        <f>HLOOKUP($C749,$BZ$2:$CM$3,2,0)</f>
        <v>39703.99</v>
      </c>
      <c r="G749" s="113">
        <f>D749*E749*F749</f>
        <v>0</v>
      </c>
      <c r="H749" s="166"/>
      <c r="I749" s="114" t="s">
        <v>496</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c r="C752" s="137" t="s">
        <v>484</v>
      </c>
      <c r="D752" s="199"/>
      <c r="E752" s="152">
        <v>12</v>
      </c>
      <c r="F752" s="305">
        <f>HLOOKUP($C752,$BZ$2:$CM$3,2,0)</f>
        <v>35733.589999999997</v>
      </c>
      <c r="G752" s="113">
        <f>D752*E752*F752</f>
        <v>0</v>
      </c>
      <c r="H752" s="166"/>
      <c r="I752" s="114" t="s">
        <v>496</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c r="C755" s="137" t="s">
        <v>485</v>
      </c>
      <c r="D755" s="199"/>
      <c r="E755" s="152">
        <v>12</v>
      </c>
      <c r="F755" s="305">
        <f>HLOOKUP($C755,$BZ$2:$CM$3,2,0)</f>
        <v>31763.19</v>
      </c>
      <c r="G755" s="113">
        <f>D755*E755*F755</f>
        <v>0</v>
      </c>
      <c r="H755" s="166"/>
      <c r="I755" s="114" t="s">
        <v>496</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c r="C758" s="137" t="s">
        <v>486</v>
      </c>
      <c r="D758" s="199"/>
      <c r="E758" s="152">
        <v>12</v>
      </c>
      <c r="F758" s="305">
        <f>HLOOKUP($C758,$BZ$2:$CM$3,2,0)</f>
        <v>29777.99</v>
      </c>
      <c r="G758" s="113">
        <f>D758*E758*F758</f>
        <v>0</v>
      </c>
      <c r="H758" s="166"/>
      <c r="I758" s="114" t="s">
        <v>496</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c r="C761" s="137" t="s">
        <v>487</v>
      </c>
      <c r="D761" s="199"/>
      <c r="E761" s="152">
        <v>12</v>
      </c>
      <c r="F761" s="305">
        <f>HLOOKUP($C761,$BZ$2:$CM$3,2,0)</f>
        <v>27792.79</v>
      </c>
      <c r="G761" s="113">
        <f>D761*E761*F761</f>
        <v>0</v>
      </c>
      <c r="H761" s="166"/>
      <c r="I761" s="114" t="s">
        <v>496</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c r="C764" s="137" t="s">
        <v>488</v>
      </c>
      <c r="D764" s="199"/>
      <c r="E764" s="152">
        <v>12</v>
      </c>
      <c r="F764" s="305">
        <f>HLOOKUP($C764,$BZ$2:$CM$3,2,0)</f>
        <v>18859.39</v>
      </c>
      <c r="G764" s="113">
        <f>D764*E764*F764</f>
        <v>0</v>
      </c>
      <c r="H764" s="166"/>
      <c r="I764" s="114" t="s">
        <v>496</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c r="C767" s="137" t="s">
        <v>489</v>
      </c>
      <c r="D767" s="199"/>
      <c r="E767" s="152">
        <v>12</v>
      </c>
      <c r="F767" s="305">
        <f>HLOOKUP($C767,$BZ$2:$CM$3,2,0)</f>
        <v>17866.8</v>
      </c>
      <c r="G767" s="113">
        <f>D767*E767*F767</f>
        <v>0</v>
      </c>
      <c r="H767" s="166"/>
      <c r="I767" s="114" t="s">
        <v>496</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c r="C770" s="137" t="s">
        <v>490</v>
      </c>
      <c r="D770" s="199"/>
      <c r="E770" s="152">
        <v>12</v>
      </c>
      <c r="F770" s="305">
        <f>HLOOKUP($C770,$BZ$2:$CM$3,2,0)</f>
        <v>13896.4</v>
      </c>
      <c r="G770" s="113">
        <f>D770*E770*F770</f>
        <v>0</v>
      </c>
      <c r="H770" s="166"/>
      <c r="I770" s="114" t="s">
        <v>496</v>
      </c>
      <c r="J770" s="114" t="str">
        <f>VLOOKUP(I770,Presupuesto!$B$11:$C$565,2,0)</f>
        <v>SUELDOS Y SALARIOS PERMANENTES</v>
      </c>
      <c r="K770" s="98" t="str">
        <f t="shared" si="24"/>
        <v>Posgrado</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4"/>
        <v>Posgrado</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4"/>
        <v>Posgrado</v>
      </c>
      <c r="L772" s="98" t="s">
        <v>395</v>
      </c>
    </row>
    <row r="773" spans="3:12" ht="15.75" thickBot="1">
      <c r="C773" s="137" t="s">
        <v>491</v>
      </c>
      <c r="D773" s="199"/>
      <c r="E773" s="152">
        <v>12</v>
      </c>
      <c r="F773" s="305">
        <f>HLOOKUP($C773,$BZ$2:$CM$3,2,0)</f>
        <v>15004.09</v>
      </c>
      <c r="G773" s="113">
        <f>D773*E773*F773</f>
        <v>0</v>
      </c>
      <c r="H773" s="166"/>
      <c r="I773" s="114" t="s">
        <v>496</v>
      </c>
      <c r="J773" s="114" t="str">
        <f>VLOOKUP(I773,Presupuesto!$B$11:$C$565,2,0)</f>
        <v>SUELDOS Y SALARIOS PERMANENTES</v>
      </c>
      <c r="K773" s="98" t="str">
        <f t="shared" si="24"/>
        <v>Posgrado</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4"/>
        <v>Posgrado</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4"/>
        <v>Posgrado</v>
      </c>
      <c r="L775" s="98" t="s">
        <v>395</v>
      </c>
    </row>
    <row r="776" spans="3:12" ht="15.75" thickBot="1">
      <c r="C776" s="137" t="s">
        <v>492</v>
      </c>
      <c r="D776" s="199"/>
      <c r="E776" s="152">
        <v>12</v>
      </c>
      <c r="F776" s="305">
        <f>HLOOKUP($C776,$BZ$2:$CM$3,2,0)</f>
        <v>13238.9</v>
      </c>
      <c r="G776" s="113">
        <f>D776*E776*F776</f>
        <v>0</v>
      </c>
      <c r="H776" s="166"/>
      <c r="I776" s="114" t="s">
        <v>496</v>
      </c>
      <c r="J776" s="114" t="str">
        <f>VLOOKUP(I776,Presupuesto!$B$11:$C$565,2,0)</f>
        <v>SUELDOS Y SALARIOS PERMANENTES</v>
      </c>
      <c r="K776" s="98" t="str">
        <f t="shared" si="24"/>
        <v>Posgrado</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4"/>
        <v>Posgrado</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4"/>
        <v>Posgrado</v>
      </c>
      <c r="L778" s="98" t="s">
        <v>395</v>
      </c>
    </row>
    <row r="779" spans="3:12" ht="15.75" thickBot="1">
      <c r="C779" s="137" t="s">
        <v>493</v>
      </c>
      <c r="D779" s="199"/>
      <c r="E779" s="152">
        <v>12</v>
      </c>
      <c r="F779" s="305">
        <f>HLOOKUP($C779,$BZ$2:$CM$3,2,0)</f>
        <v>12356.31</v>
      </c>
      <c r="G779" s="113">
        <f>D779*E779*F779</f>
        <v>0</v>
      </c>
      <c r="H779" s="166"/>
      <c r="I779" s="114" t="s">
        <v>496</v>
      </c>
      <c r="J779" s="114" t="str">
        <f>VLOOKUP(I779,Presupuesto!$B$11:$C$565,2,0)</f>
        <v>SUELDOS Y SALARIOS PERMANENTES</v>
      </c>
      <c r="K779" s="98" t="str">
        <f t="shared" ref="K779:K796" si="25">$K$746</f>
        <v>Posgrado</v>
      </c>
      <c r="L779" s="98" t="s">
        <v>395</v>
      </c>
    </row>
    <row r="780" spans="3:12">
      <c r="C780" s="171" t="s">
        <v>58</v>
      </c>
      <c r="D780" s="163"/>
      <c r="E780" s="154">
        <v>0</v>
      </c>
      <c r="F780" s="100">
        <f>IF(E779=0,"",(G779/E779)/12*E779)</f>
        <v>0</v>
      </c>
      <c r="G780" s="97">
        <f>F780</f>
        <v>0</v>
      </c>
      <c r="H780" s="164"/>
      <c r="I780" s="116" t="s">
        <v>516</v>
      </c>
      <c r="J780" s="116" t="str">
        <f>VLOOKUP(I780,Presupuesto!$B$11:$C$565,2,0)</f>
        <v>AGUINALDO Y DECIMO CUARTO MES</v>
      </c>
      <c r="K780" s="98" t="str">
        <f t="shared" si="25"/>
        <v>Posgrado</v>
      </c>
      <c r="L780" s="98" t="s">
        <v>395</v>
      </c>
    </row>
    <row r="781" spans="3:12" ht="15.75" thickBot="1">
      <c r="C781" s="172" t="s">
        <v>59</v>
      </c>
      <c r="D781" s="163"/>
      <c r="E781" s="154">
        <v>0</v>
      </c>
      <c r="F781" s="117">
        <f>IF(E779&lt;6,"",((E779-6)/12)*(G779/E779))</f>
        <v>0</v>
      </c>
      <c r="G781" s="97">
        <f>F781</f>
        <v>0</v>
      </c>
      <c r="H781" s="164"/>
      <c r="I781" s="101" t="s">
        <v>519</v>
      </c>
      <c r="J781" s="101" t="str">
        <f>VLOOKUP(I781,Presupuesto!$B$11:$C$565,2,0)</f>
        <v>DECIMOCUARTO MES</v>
      </c>
      <c r="K781" s="98" t="str">
        <f t="shared" si="25"/>
        <v>Posgrado</v>
      </c>
      <c r="L781" s="98" t="s">
        <v>395</v>
      </c>
    </row>
    <row r="782" spans="3:12" ht="15.75" thickBot="1">
      <c r="C782" s="137" t="s">
        <v>494</v>
      </c>
      <c r="D782" s="199"/>
      <c r="E782" s="152">
        <v>12</v>
      </c>
      <c r="F782" s="305">
        <f>HLOOKUP($C782,$BZ$2:$CM$3,2,0)</f>
        <v>463.22</v>
      </c>
      <c r="G782" s="113">
        <f>D782*E782*F782</f>
        <v>0</v>
      </c>
      <c r="H782" s="166"/>
      <c r="I782" s="114" t="s">
        <v>496</v>
      </c>
      <c r="J782" s="114" t="str">
        <f>VLOOKUP(I782,Presupuesto!$B$11:$C$565,2,0)</f>
        <v>SUELDOS Y SALARIOS PERMANENTES</v>
      </c>
      <c r="K782" s="98" t="str">
        <f t="shared" si="25"/>
        <v>Posgrado</v>
      </c>
      <c r="L782" s="98" t="s">
        <v>395</v>
      </c>
    </row>
    <row r="783" spans="3:12">
      <c r="C783" s="171" t="s">
        <v>58</v>
      </c>
      <c r="D783" s="163"/>
      <c r="E783" s="154">
        <v>0</v>
      </c>
      <c r="F783" s="100">
        <f>IF(E782=0,"",(G782/E782)/12*E782)</f>
        <v>0</v>
      </c>
      <c r="G783" s="97">
        <f>F783</f>
        <v>0</v>
      </c>
      <c r="H783" s="164"/>
      <c r="I783" s="116" t="s">
        <v>516</v>
      </c>
      <c r="J783" s="116" t="str">
        <f>VLOOKUP(I783,Presupuesto!$B$11:$C$565,2,0)</f>
        <v>AGUINALDO Y DECIMO CUARTO MES</v>
      </c>
      <c r="K783" s="98" t="str">
        <f t="shared" si="25"/>
        <v>Posgrado</v>
      </c>
      <c r="L783" s="98" t="s">
        <v>395</v>
      </c>
    </row>
    <row r="784" spans="3:12" ht="15.75" thickBot="1">
      <c r="C784" s="172" t="s">
        <v>59</v>
      </c>
      <c r="D784" s="163"/>
      <c r="E784" s="154">
        <v>0</v>
      </c>
      <c r="F784" s="117">
        <f>IF(E782&lt;6,"",((E782-6)/12)*(G782/E782))</f>
        <v>0</v>
      </c>
      <c r="G784" s="97">
        <f>F784</f>
        <v>0</v>
      </c>
      <c r="H784" s="164"/>
      <c r="I784" s="101" t="s">
        <v>519</v>
      </c>
      <c r="J784" s="101" t="str">
        <f>VLOOKUP(I784,Presupuesto!$B$11:$C$565,2,0)</f>
        <v>DECIMOCUARTO MES</v>
      </c>
      <c r="K784" s="98" t="str">
        <f t="shared" si="25"/>
        <v>Posgrado</v>
      </c>
      <c r="L784" s="98" t="s">
        <v>395</v>
      </c>
    </row>
    <row r="785" spans="3:12" ht="15.75" thickBot="1">
      <c r="C785" s="137" t="s">
        <v>495</v>
      </c>
      <c r="D785" s="199"/>
      <c r="E785" s="152">
        <v>12</v>
      </c>
      <c r="F785" s="305">
        <f>HLOOKUP($C785,$BZ$2:$CM$3,2,0)</f>
        <v>2007.3</v>
      </c>
      <c r="G785" s="113">
        <f>D785*E785*F785</f>
        <v>0</v>
      </c>
      <c r="H785" s="166"/>
      <c r="I785" s="114" t="s">
        <v>496</v>
      </c>
      <c r="J785" s="114" t="str">
        <f>VLOOKUP(I785,Presupuesto!$B$11:$C$565,2,0)</f>
        <v>SUELDOS Y SALARIOS PERMANENTES</v>
      </c>
      <c r="K785" s="98" t="str">
        <f t="shared" si="25"/>
        <v>Posgrado</v>
      </c>
      <c r="L785" s="98" t="s">
        <v>395</v>
      </c>
    </row>
    <row r="786" spans="3:12">
      <c r="C786" s="171" t="s">
        <v>58</v>
      </c>
      <c r="D786" s="163"/>
      <c r="E786" s="154">
        <v>0</v>
      </c>
      <c r="F786" s="100">
        <f>IF(E785=0,"",(G785/E785)/12*E785)</f>
        <v>0</v>
      </c>
      <c r="G786" s="97">
        <f>F786</f>
        <v>0</v>
      </c>
      <c r="H786" s="164"/>
      <c r="I786" s="116" t="s">
        <v>516</v>
      </c>
      <c r="J786" s="116" t="str">
        <f>VLOOKUP(I786,Presupuesto!$B$11:$C$565,2,0)</f>
        <v>AGUINALDO Y DECIMO CUARTO MES</v>
      </c>
      <c r="K786" s="98" t="str">
        <f t="shared" si="25"/>
        <v>Posgrado</v>
      </c>
      <c r="L786" s="98" t="s">
        <v>395</v>
      </c>
    </row>
    <row r="787" spans="3:12" ht="15.75" thickBot="1">
      <c r="C787" s="172" t="s">
        <v>59</v>
      </c>
      <c r="D787" s="163"/>
      <c r="E787" s="154">
        <v>0</v>
      </c>
      <c r="F787" s="117">
        <f>IF(E785&lt;6,"",((E785-6)/12)*(G785/E785))</f>
        <v>0</v>
      </c>
      <c r="G787" s="97">
        <f>F787</f>
        <v>0</v>
      </c>
      <c r="H787" s="164"/>
      <c r="I787" s="101" t="s">
        <v>519</v>
      </c>
      <c r="J787" s="101" t="str">
        <f>VLOOKUP(I787,Presupuesto!$B$11:$C$565,2,0)</f>
        <v>DECIMOCUARTO MES</v>
      </c>
      <c r="K787" s="98" t="str">
        <f t="shared" si="25"/>
        <v>Posgrado</v>
      </c>
      <c r="L787" s="98" t="s">
        <v>395</v>
      </c>
    </row>
    <row r="788" spans="3:12" ht="15.75" thickBot="1">
      <c r="C788" s="140" t="s">
        <v>83</v>
      </c>
      <c r="D788" s="199"/>
      <c r="E788" s="152">
        <v>12</v>
      </c>
      <c r="F788" s="139">
        <v>30000</v>
      </c>
      <c r="G788" s="113">
        <f>D788*E788*F788</f>
        <v>0</v>
      </c>
      <c r="H788" s="166"/>
      <c r="I788" s="114" t="s">
        <v>564</v>
      </c>
      <c r="J788" s="114" t="str">
        <f>VLOOKUP(I788,Presupuesto!$B$11:$C$565,2,0)</f>
        <v>CONTRATOS ESPECIALES</v>
      </c>
      <c r="K788" s="98" t="str">
        <f t="shared" si="25"/>
        <v>Posgrado</v>
      </c>
      <c r="L788" s="98" t="s">
        <v>395</v>
      </c>
    </row>
    <row r="789" spans="3:12">
      <c r="C789" s="171" t="s">
        <v>58</v>
      </c>
      <c r="D789" s="163"/>
      <c r="E789" s="154">
        <v>0</v>
      </c>
      <c r="F789" s="117">
        <f>IF(E788=0,"",(G788/E788)/12*E788)</f>
        <v>0</v>
      </c>
      <c r="G789" s="97">
        <f>F789</f>
        <v>0</v>
      </c>
      <c r="H789" s="164"/>
      <c r="I789" s="101" t="s">
        <v>564</v>
      </c>
      <c r="J789" s="101" t="str">
        <f>VLOOKUP(I789,Presupuesto!$B$11:$C$565,2,0)</f>
        <v>CONTRATOS ESPECIALES</v>
      </c>
      <c r="K789" s="98" t="str">
        <f t="shared" si="25"/>
        <v>Posgrado</v>
      </c>
      <c r="L789" s="98" t="s">
        <v>394</v>
      </c>
    </row>
    <row r="790" spans="3:12" ht="15.75" thickBot="1">
      <c r="C790" s="172" t="s">
        <v>59</v>
      </c>
      <c r="D790" s="163"/>
      <c r="E790" s="154">
        <v>0</v>
      </c>
      <c r="F790" s="100">
        <f>IF(E788&lt;6,"",((E788-6)/12)*(G788/E788))</f>
        <v>0</v>
      </c>
      <c r="G790" s="97">
        <f>F790</f>
        <v>0</v>
      </c>
      <c r="H790" s="164"/>
      <c r="I790" s="101" t="s">
        <v>564</v>
      </c>
      <c r="J790" s="101" t="str">
        <f>VLOOKUP(I790,Presupuesto!$B$11:$C$565,2,0)</f>
        <v>CONTRATOS ESPECIALES</v>
      </c>
      <c r="K790" s="98" t="str">
        <f t="shared" si="25"/>
        <v>Posgrado</v>
      </c>
      <c r="L790" s="98" t="s">
        <v>399</v>
      </c>
    </row>
    <row r="791" spans="3:12" ht="15.75" thickBot="1">
      <c r="C791" s="140" t="s">
        <v>60</v>
      </c>
      <c r="D791" s="199"/>
      <c r="E791" s="152">
        <v>12</v>
      </c>
      <c r="F791" s="118">
        <v>30000</v>
      </c>
      <c r="G791" s="113">
        <f>D791*E791*F791</f>
        <v>0</v>
      </c>
      <c r="H791" s="166"/>
      <c r="I791" s="114" t="s">
        <v>705</v>
      </c>
      <c r="J791" s="114" t="str">
        <f>VLOOKUP(I791,Presupuesto!$B$11:$C$565,2,0)</f>
        <v>OTROS SERVICIOS TECNICOS Y PROFESIONALES</v>
      </c>
      <c r="K791" s="98" t="str">
        <f t="shared" si="25"/>
        <v>Posgrado</v>
      </c>
      <c r="L791" s="98" t="s">
        <v>394</v>
      </c>
    </row>
    <row r="792" spans="3:12">
      <c r="C792" s="171" t="s">
        <v>58</v>
      </c>
      <c r="D792" s="163"/>
      <c r="E792" s="154">
        <v>0</v>
      </c>
      <c r="F792" s="100">
        <v>0</v>
      </c>
      <c r="G792" s="97">
        <f>F792</f>
        <v>0</v>
      </c>
      <c r="H792" s="164"/>
      <c r="I792" s="101" t="s">
        <v>705</v>
      </c>
      <c r="J792" s="101" t="str">
        <f>VLOOKUP(I792,Presupuesto!$B$11:$C$565,2,0)</f>
        <v>OTROS SERVICIOS TECNICOS Y PROFESIONALES</v>
      </c>
      <c r="K792" s="98" t="str">
        <f t="shared" si="25"/>
        <v>Posgrado</v>
      </c>
      <c r="L792" s="98" t="s">
        <v>394</v>
      </c>
    </row>
    <row r="793" spans="3:12" ht="15.75" thickBot="1">
      <c r="C793" s="172" t="s">
        <v>59</v>
      </c>
      <c r="D793" s="163"/>
      <c r="E793" s="154">
        <v>0</v>
      </c>
      <c r="F793" s="100">
        <v>0</v>
      </c>
      <c r="G793" s="97">
        <f>F793</f>
        <v>0</v>
      </c>
      <c r="H793" s="164"/>
      <c r="I793" s="101" t="s">
        <v>705</v>
      </c>
      <c r="J793" s="101" t="str">
        <f>VLOOKUP(I793,Presupuesto!$B$11:$C$565,2,0)</f>
        <v>OTROS SERVICIOS TECNICOS Y PROFESIONALES</v>
      </c>
      <c r="K793" s="98" t="str">
        <f t="shared" si="25"/>
        <v>Posgrado</v>
      </c>
      <c r="L793" s="98" t="s">
        <v>394</v>
      </c>
    </row>
    <row r="794" spans="3:12" ht="15.75" thickBot="1">
      <c r="C794" s="140" t="s">
        <v>61</v>
      </c>
      <c r="D794" s="199"/>
      <c r="E794" s="152">
        <v>12</v>
      </c>
      <c r="F794" s="118">
        <v>30000</v>
      </c>
      <c r="G794" s="113">
        <f>D794*E794*F794</f>
        <v>0</v>
      </c>
      <c r="H794" s="166"/>
      <c r="I794" s="114" t="s">
        <v>496</v>
      </c>
      <c r="J794" s="114" t="str">
        <f>VLOOKUP(I794,Presupuesto!$B$11:$C$565,2,0)</f>
        <v>SUELDOS Y SALARIOS PERMANENTES</v>
      </c>
      <c r="K794" s="98" t="str">
        <f t="shared" si="25"/>
        <v>Posgrado</v>
      </c>
      <c r="L794" s="98" t="s">
        <v>394</v>
      </c>
    </row>
    <row r="795" spans="3:12">
      <c r="C795" s="171" t="s">
        <v>58</v>
      </c>
      <c r="D795" s="169"/>
      <c r="E795" s="131">
        <v>0</v>
      </c>
      <c r="F795" s="119">
        <f>IF(E794=0,"",(G794/E794)/12*E794)</f>
        <v>0</v>
      </c>
      <c r="G795" s="120">
        <f>F795</f>
        <v>0</v>
      </c>
      <c r="H795" s="164"/>
      <c r="I795" s="101" t="s">
        <v>516</v>
      </c>
      <c r="J795" s="101" t="str">
        <f>VLOOKUP(I795,Presupuesto!$B$11:$C$565,2,0)</f>
        <v>AGUINALDO Y DECIMO CUARTO MES</v>
      </c>
      <c r="K795" s="98" t="str">
        <f t="shared" si="25"/>
        <v>Posgrado</v>
      </c>
      <c r="L795" s="98" t="s">
        <v>394</v>
      </c>
    </row>
    <row r="796" spans="3:12" ht="15.75" thickBot="1">
      <c r="C796" s="173" t="s">
        <v>59</v>
      </c>
      <c r="D796" s="162"/>
      <c r="E796" s="132">
        <v>0</v>
      </c>
      <c r="F796" s="105">
        <f>IF(E794&lt;6,"",((E794-6)/12)*(G794/E794))</f>
        <v>0</v>
      </c>
      <c r="G796" s="105">
        <f>F796</f>
        <v>0</v>
      </c>
      <c r="H796" s="162"/>
      <c r="I796" s="106" t="s">
        <v>519</v>
      </c>
      <c r="J796" s="124" t="str">
        <f>VLOOKUP(I796,Presupuesto!$B$11:$C$565,2,0)</f>
        <v>DECIMOCUARTO MES</v>
      </c>
      <c r="K796" s="106" t="str">
        <f t="shared" si="25"/>
        <v>Posgrado</v>
      </c>
      <c r="L796" s="124" t="s">
        <v>394</v>
      </c>
    </row>
    <row r="798" spans="3:12" ht="15.75" thickBot="1"/>
    <row r="799" spans="3:12" ht="15.75" thickBot="1">
      <c r="C799" s="69" t="s">
        <v>43</v>
      </c>
      <c r="D799" s="30">
        <f>SUM(G806:G856)</f>
        <v>0</v>
      </c>
      <c r="E799" s="93"/>
      <c r="F799" s="93"/>
      <c r="G799" s="93"/>
      <c r="H799" s="76"/>
      <c r="I799" s="76"/>
      <c r="J799" s="76"/>
    </row>
    <row r="800" spans="3:12">
      <c r="D800" s="31"/>
      <c r="E800" s="93"/>
      <c r="F800" s="93"/>
      <c r="G800" s="93"/>
      <c r="H800" s="76"/>
      <c r="I800" s="76"/>
      <c r="J800" s="76"/>
    </row>
    <row r="801" spans="3:12">
      <c r="D801" s="31"/>
      <c r="E801" s="93"/>
      <c r="F801" s="93"/>
      <c r="G801" s="93"/>
      <c r="H801" s="76"/>
      <c r="I801" s="76"/>
      <c r="J801" s="76"/>
    </row>
    <row r="802" spans="3:12" ht="15.75">
      <c r="C802" s="202" t="s">
        <v>392</v>
      </c>
      <c r="D802" s="370"/>
      <c r="E802" s="93"/>
      <c r="F802" s="93"/>
      <c r="G802" s="93"/>
      <c r="H802" s="76"/>
      <c r="I802" s="76"/>
      <c r="J802" s="76"/>
      <c r="K802" s="153"/>
    </row>
    <row r="803" spans="3:12" ht="18.75">
      <c r="C803" s="211" t="e">
        <f>IFERROR(VLOOKUP(D802,'1. Desarrollo e Innov. Curricu.'!$E:$F,2,FALSE),IFERROR(VLOOKUP(D802,'2. Investigación Científica'!$E:$F,2,FALSE),IFERROR(VLOOKUP(D802,'3. Vinculación Univ. Sociedad'!$E:$F,2,FALSE),IFERROR(VLOOKUP(D802,'4. Docencia y Profesorado Univ.'!$E:$F,2,FALSE),IFERROR(VLOOKUP(D802,'5. Estudiantes y Graduados'!$E:$F,2,FALSE),IFERROR(VLOOKUP(D802,'11. Gestion Administrativa'!$E:$F,2,FALSE),IFERROR(VLOOKUP(D802,'13. Gestión Académica'!$E:$F,2,FALSE),IFERROR(VLOOKUP(D802,'8. Asegura. de la Calid. y M'!$E:$F,2,FALSE),IFERROR(VLOOKUP(D802,'6. Gestión del Conocimiento'!$E:$F,2,FALSE),IFERROR(VLOOKUP(D802,'15. Gobernabilidad y Proceso...'!$E:$F,2,FALSE),IFERROR(VLOOKUP(D802,'12. Gestión del Talento Humano'!$E:$F,2,FALSE),IFERROR(VLOOKUP(D802,'14. Internacional... de la E.S.'!$E:$F,2,FALSE),IFERROR(VLOOKUP(D802,'10. Posgrado'!$E:$F,2,FALSE),IFERROR(VLOOKUP(D802,'17. Gestión TIC'!$E:$F,2,FALSE),IFERROR(VLOOKUP(D802,'16. Desa. del Sistema Educ.Sup.'!$E:$F,2,FALSE),IFERROR(VLOOKUP(D802,'9. Cultura de Inno. Insti...'!$E:$F,2,FALSE),VLOOKUP(D802,'7. Lo Esencial de la Reforma U.'!$E:$F,2,0)))))))))))))))))</f>
        <v>#N/A</v>
      </c>
      <c r="D803" s="31"/>
      <c r="E803" s="93"/>
      <c r="F803" s="93"/>
      <c r="G803" s="93"/>
      <c r="H803" s="76"/>
      <c r="I803" s="76"/>
      <c r="J803" s="76"/>
      <c r="K803" s="153"/>
    </row>
    <row r="804" spans="3:12" ht="15.75" thickBot="1">
      <c r="C804" s="177"/>
      <c r="D804" s="31"/>
      <c r="E804" s="93"/>
      <c r="F804" s="93"/>
      <c r="G804" s="93"/>
      <c r="H804" s="76"/>
      <c r="I804" s="76"/>
      <c r="J804" s="76"/>
      <c r="K804" s="153"/>
    </row>
    <row r="805" spans="3:12" ht="30.75" thickBot="1">
      <c r="C805" s="134" t="s">
        <v>44</v>
      </c>
      <c r="D805" s="138" t="s">
        <v>55</v>
      </c>
      <c r="E805" s="170" t="s">
        <v>56</v>
      </c>
      <c r="F805" s="138" t="s">
        <v>57</v>
      </c>
      <c r="G805" s="135" t="s">
        <v>27</v>
      </c>
      <c r="H805" s="133" t="s">
        <v>131</v>
      </c>
      <c r="I805" s="136" t="s">
        <v>46</v>
      </c>
      <c r="J805" s="136" t="s">
        <v>132</v>
      </c>
      <c r="K805" s="136" t="s">
        <v>410</v>
      </c>
      <c r="L805" s="136" t="s">
        <v>411</v>
      </c>
    </row>
    <row r="806" spans="3:12" ht="15.75" thickBot="1">
      <c r="C806" s="137" t="s">
        <v>482</v>
      </c>
      <c r="D806" s="199"/>
      <c r="E806" s="152">
        <v>12</v>
      </c>
      <c r="F806" s="305">
        <f>HLOOKUP($C806,$BZ$2:$CM$3,2,0)</f>
        <v>43674.39</v>
      </c>
      <c r="G806" s="113">
        <f>D806*E806*F806</f>
        <v>0</v>
      </c>
      <c r="H806" s="166"/>
      <c r="I806" s="114" t="s">
        <v>496</v>
      </c>
      <c r="J806" s="114" t="str">
        <f>VLOOKUP(I806,Presupuesto!$B$11:$C$565,2,0)</f>
        <v>SUELDOS Y SALARIOS PERMANENTES</v>
      </c>
      <c r="K806" s="219" t="s">
        <v>1453</v>
      </c>
      <c r="L806" s="98" t="s">
        <v>394</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ref="K807:K838" si="26">$K$806</f>
        <v>Posgrado</v>
      </c>
      <c r="L807" s="98" t="s">
        <v>412</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c r="C809" s="137" t="s">
        <v>483</v>
      </c>
      <c r="D809" s="199"/>
      <c r="E809" s="152">
        <v>12</v>
      </c>
      <c r="F809" s="305">
        <f>HLOOKUP($C809,$BZ$2:$CM$3,2,0)</f>
        <v>39703.99</v>
      </c>
      <c r="G809" s="113">
        <f>D809*E809*F809</f>
        <v>0</v>
      </c>
      <c r="H809" s="166"/>
      <c r="I809" s="114" t="s">
        <v>496</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c r="C812" s="137" t="s">
        <v>484</v>
      </c>
      <c r="D812" s="199"/>
      <c r="E812" s="152">
        <v>12</v>
      </c>
      <c r="F812" s="305">
        <f>HLOOKUP($C812,$BZ$2:$CM$3,2,0)</f>
        <v>35733.589999999997</v>
      </c>
      <c r="G812" s="113">
        <f>D812*E812*F812</f>
        <v>0</v>
      </c>
      <c r="H812" s="166"/>
      <c r="I812" s="114" t="s">
        <v>496</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c r="C815" s="137" t="s">
        <v>485</v>
      </c>
      <c r="D815" s="199"/>
      <c r="E815" s="152">
        <v>12</v>
      </c>
      <c r="F815" s="305">
        <f>HLOOKUP($C815,$BZ$2:$CM$3,2,0)</f>
        <v>31763.19</v>
      </c>
      <c r="G815" s="113">
        <f>D815*E815*F815</f>
        <v>0</v>
      </c>
      <c r="H815" s="166"/>
      <c r="I815" s="114" t="s">
        <v>496</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c r="C818" s="137" t="s">
        <v>486</v>
      </c>
      <c r="D818" s="199"/>
      <c r="E818" s="152">
        <v>12</v>
      </c>
      <c r="F818" s="305">
        <f>HLOOKUP($C818,$BZ$2:$CM$3,2,0)</f>
        <v>29777.99</v>
      </c>
      <c r="G818" s="113">
        <f>D818*E818*F818</f>
        <v>0</v>
      </c>
      <c r="H818" s="166"/>
      <c r="I818" s="114" t="s">
        <v>496</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c r="C821" s="137" t="s">
        <v>487</v>
      </c>
      <c r="D821" s="199"/>
      <c r="E821" s="152">
        <v>12</v>
      </c>
      <c r="F821" s="305">
        <f>HLOOKUP($C821,$BZ$2:$CM$3,2,0)</f>
        <v>27792.79</v>
      </c>
      <c r="G821" s="113">
        <f>D821*E821*F821</f>
        <v>0</v>
      </c>
      <c r="H821" s="166"/>
      <c r="I821" s="114" t="s">
        <v>496</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c r="C824" s="137" t="s">
        <v>488</v>
      </c>
      <c r="D824" s="199"/>
      <c r="E824" s="152">
        <v>12</v>
      </c>
      <c r="F824" s="305">
        <f>HLOOKUP($C824,$BZ$2:$CM$3,2,0)</f>
        <v>18859.39</v>
      </c>
      <c r="G824" s="113">
        <f>D824*E824*F824</f>
        <v>0</v>
      </c>
      <c r="H824" s="166"/>
      <c r="I824" s="114" t="s">
        <v>496</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c r="C827" s="137" t="s">
        <v>489</v>
      </c>
      <c r="D827" s="199"/>
      <c r="E827" s="152">
        <v>12</v>
      </c>
      <c r="F827" s="305">
        <f>HLOOKUP($C827,$BZ$2:$CM$3,2,0)</f>
        <v>17866.8</v>
      </c>
      <c r="G827" s="113">
        <f>D827*E827*F827</f>
        <v>0</v>
      </c>
      <c r="H827" s="166"/>
      <c r="I827" s="114" t="s">
        <v>496</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c r="C830" s="137" t="s">
        <v>490</v>
      </c>
      <c r="D830" s="199"/>
      <c r="E830" s="152">
        <v>12</v>
      </c>
      <c r="F830" s="305">
        <f>HLOOKUP($C830,$BZ$2:$CM$3,2,0)</f>
        <v>13896.4</v>
      </c>
      <c r="G830" s="113">
        <f>D830*E830*F830</f>
        <v>0</v>
      </c>
      <c r="H830" s="166"/>
      <c r="I830" s="114" t="s">
        <v>496</v>
      </c>
      <c r="J830" s="114" t="str">
        <f>VLOOKUP(I830,Presupuesto!$B$11:$C$565,2,0)</f>
        <v>SUELDOS Y SALARIOS PERMANENTES</v>
      </c>
      <c r="K830" s="98" t="str">
        <f t="shared" si="26"/>
        <v>Posgrado</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6"/>
        <v>Posgrado</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6"/>
        <v>Posgrado</v>
      </c>
      <c r="L832" s="98" t="s">
        <v>395</v>
      </c>
    </row>
    <row r="833" spans="3:12" ht="15.75" thickBot="1">
      <c r="C833" s="137" t="s">
        <v>491</v>
      </c>
      <c r="D833" s="199"/>
      <c r="E833" s="152">
        <v>12</v>
      </c>
      <c r="F833" s="305">
        <f>HLOOKUP($C833,$BZ$2:$CM$3,2,0)</f>
        <v>15004.09</v>
      </c>
      <c r="G833" s="113">
        <f>D833*E833*F833</f>
        <v>0</v>
      </c>
      <c r="H833" s="166"/>
      <c r="I833" s="114" t="s">
        <v>496</v>
      </c>
      <c r="J833" s="114" t="str">
        <f>VLOOKUP(I833,Presupuesto!$B$11:$C$565,2,0)</f>
        <v>SUELDOS Y SALARIOS PERMANENTES</v>
      </c>
      <c r="K833" s="98" t="str">
        <f t="shared" si="26"/>
        <v>Posgrado</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6"/>
        <v>Posgrado</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6"/>
        <v>Posgrado</v>
      </c>
      <c r="L835" s="98" t="s">
        <v>395</v>
      </c>
    </row>
    <row r="836" spans="3:12" ht="15.75" thickBot="1">
      <c r="C836" s="137" t="s">
        <v>492</v>
      </c>
      <c r="D836" s="199"/>
      <c r="E836" s="152">
        <v>12</v>
      </c>
      <c r="F836" s="305">
        <f>HLOOKUP($C836,$BZ$2:$CM$3,2,0)</f>
        <v>13238.9</v>
      </c>
      <c r="G836" s="113">
        <f>D836*E836*F836</f>
        <v>0</v>
      </c>
      <c r="H836" s="166"/>
      <c r="I836" s="114" t="s">
        <v>496</v>
      </c>
      <c r="J836" s="114" t="str">
        <f>VLOOKUP(I836,Presupuesto!$B$11:$C$565,2,0)</f>
        <v>SUELDOS Y SALARIOS PERMANENTES</v>
      </c>
      <c r="K836" s="98" t="str">
        <f t="shared" si="26"/>
        <v>Posgrado</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6"/>
        <v>Posgrado</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6"/>
        <v>Posgrado</v>
      </c>
      <c r="L838" s="98" t="s">
        <v>395</v>
      </c>
    </row>
    <row r="839" spans="3:12" ht="15.75" thickBot="1">
      <c r="C839" s="137" t="s">
        <v>493</v>
      </c>
      <c r="D839" s="199"/>
      <c r="E839" s="152">
        <v>12</v>
      </c>
      <c r="F839" s="305">
        <f>HLOOKUP($C839,$BZ$2:$CM$3,2,0)</f>
        <v>12356.31</v>
      </c>
      <c r="G839" s="113">
        <f>D839*E839*F839</f>
        <v>0</v>
      </c>
      <c r="H839" s="166"/>
      <c r="I839" s="114" t="s">
        <v>496</v>
      </c>
      <c r="J839" s="114" t="str">
        <f>VLOOKUP(I839,Presupuesto!$B$11:$C$565,2,0)</f>
        <v>SUELDOS Y SALARIOS PERMANENTES</v>
      </c>
      <c r="K839" s="98" t="str">
        <f t="shared" ref="K839:K856" si="27">$K$806</f>
        <v>Posgrado</v>
      </c>
      <c r="L839" s="98" t="s">
        <v>395</v>
      </c>
    </row>
    <row r="840" spans="3:12">
      <c r="C840" s="171" t="s">
        <v>58</v>
      </c>
      <c r="D840" s="163"/>
      <c r="E840" s="154">
        <v>0</v>
      </c>
      <c r="F840" s="100">
        <f>IF(E839=0,"",(G839/E839)/12*E839)</f>
        <v>0</v>
      </c>
      <c r="G840" s="97">
        <f>F840</f>
        <v>0</v>
      </c>
      <c r="H840" s="164"/>
      <c r="I840" s="116" t="s">
        <v>516</v>
      </c>
      <c r="J840" s="116" t="str">
        <f>VLOOKUP(I840,Presupuesto!$B$11:$C$565,2,0)</f>
        <v>AGUINALDO Y DECIMO CUARTO MES</v>
      </c>
      <c r="K840" s="98" t="str">
        <f t="shared" si="27"/>
        <v>Posgrado</v>
      </c>
      <c r="L840" s="98" t="s">
        <v>395</v>
      </c>
    </row>
    <row r="841" spans="3:12" ht="15.75" thickBot="1">
      <c r="C841" s="172" t="s">
        <v>59</v>
      </c>
      <c r="D841" s="163"/>
      <c r="E841" s="154">
        <v>0</v>
      </c>
      <c r="F841" s="117">
        <f>IF(E839&lt;6,"",((E839-6)/12)*(G839/E839))</f>
        <v>0</v>
      </c>
      <c r="G841" s="97">
        <f>F841</f>
        <v>0</v>
      </c>
      <c r="H841" s="164"/>
      <c r="I841" s="101" t="s">
        <v>519</v>
      </c>
      <c r="J841" s="101" t="str">
        <f>VLOOKUP(I841,Presupuesto!$B$11:$C$565,2,0)</f>
        <v>DECIMOCUARTO MES</v>
      </c>
      <c r="K841" s="98" t="str">
        <f t="shared" si="27"/>
        <v>Posgrado</v>
      </c>
      <c r="L841" s="98" t="s">
        <v>395</v>
      </c>
    </row>
    <row r="842" spans="3:12" ht="15.75" thickBot="1">
      <c r="C842" s="137" t="s">
        <v>494</v>
      </c>
      <c r="D842" s="199"/>
      <c r="E842" s="152">
        <v>12</v>
      </c>
      <c r="F842" s="305">
        <f>HLOOKUP($C842,$BZ$2:$CM$3,2,0)</f>
        <v>463.22</v>
      </c>
      <c r="G842" s="113">
        <f>D842*E842*F842</f>
        <v>0</v>
      </c>
      <c r="H842" s="166"/>
      <c r="I842" s="114" t="s">
        <v>496</v>
      </c>
      <c r="J842" s="114" t="str">
        <f>VLOOKUP(I842,Presupuesto!$B$11:$C$565,2,0)</f>
        <v>SUELDOS Y SALARIOS PERMANENTES</v>
      </c>
      <c r="K842" s="98" t="str">
        <f t="shared" si="27"/>
        <v>Posgrado</v>
      </c>
      <c r="L842" s="98" t="s">
        <v>395</v>
      </c>
    </row>
    <row r="843" spans="3:12">
      <c r="C843" s="171" t="s">
        <v>58</v>
      </c>
      <c r="D843" s="163"/>
      <c r="E843" s="154">
        <v>0</v>
      </c>
      <c r="F843" s="100">
        <f>IF(E842=0,"",(G842/E842)/12*E842)</f>
        <v>0</v>
      </c>
      <c r="G843" s="97">
        <f>F843</f>
        <v>0</v>
      </c>
      <c r="H843" s="164"/>
      <c r="I843" s="116" t="s">
        <v>516</v>
      </c>
      <c r="J843" s="116" t="str">
        <f>VLOOKUP(I843,Presupuesto!$B$11:$C$565,2,0)</f>
        <v>AGUINALDO Y DECIMO CUARTO MES</v>
      </c>
      <c r="K843" s="98" t="str">
        <f t="shared" si="27"/>
        <v>Posgrado</v>
      </c>
      <c r="L843" s="98" t="s">
        <v>395</v>
      </c>
    </row>
    <row r="844" spans="3:12" ht="15.75" thickBot="1">
      <c r="C844" s="172" t="s">
        <v>59</v>
      </c>
      <c r="D844" s="163"/>
      <c r="E844" s="154">
        <v>0</v>
      </c>
      <c r="F844" s="117">
        <f>IF(E842&lt;6,"",((E842-6)/12)*(G842/E842))</f>
        <v>0</v>
      </c>
      <c r="G844" s="97">
        <f>F844</f>
        <v>0</v>
      </c>
      <c r="H844" s="164"/>
      <c r="I844" s="101" t="s">
        <v>519</v>
      </c>
      <c r="J844" s="101" t="str">
        <f>VLOOKUP(I844,Presupuesto!$B$11:$C$565,2,0)</f>
        <v>DECIMOCUARTO MES</v>
      </c>
      <c r="K844" s="98" t="str">
        <f t="shared" si="27"/>
        <v>Posgrado</v>
      </c>
      <c r="L844" s="98" t="s">
        <v>395</v>
      </c>
    </row>
    <row r="845" spans="3:12" ht="15.75" thickBot="1">
      <c r="C845" s="137" t="s">
        <v>495</v>
      </c>
      <c r="D845" s="199"/>
      <c r="E845" s="152">
        <v>12</v>
      </c>
      <c r="F845" s="305">
        <f>HLOOKUP($C845,$BZ$2:$CM$3,2,0)</f>
        <v>2007.3</v>
      </c>
      <c r="G845" s="113">
        <f>D845*E845*F845</f>
        <v>0</v>
      </c>
      <c r="H845" s="166"/>
      <c r="I845" s="114" t="s">
        <v>496</v>
      </c>
      <c r="J845" s="114" t="str">
        <f>VLOOKUP(I845,Presupuesto!$B$11:$C$565,2,0)</f>
        <v>SUELDOS Y SALARIOS PERMANENTES</v>
      </c>
      <c r="K845" s="98" t="str">
        <f t="shared" si="27"/>
        <v>Posgrado</v>
      </c>
      <c r="L845" s="98" t="s">
        <v>395</v>
      </c>
    </row>
    <row r="846" spans="3:12">
      <c r="C846" s="171" t="s">
        <v>58</v>
      </c>
      <c r="D846" s="163"/>
      <c r="E846" s="154">
        <v>0</v>
      </c>
      <c r="F846" s="100">
        <f>IF(E845=0,"",(G845/E845)/12*E845)</f>
        <v>0</v>
      </c>
      <c r="G846" s="97">
        <f>F846</f>
        <v>0</v>
      </c>
      <c r="H846" s="164"/>
      <c r="I846" s="116" t="s">
        <v>516</v>
      </c>
      <c r="J846" s="116" t="str">
        <f>VLOOKUP(I846,Presupuesto!$B$11:$C$565,2,0)</f>
        <v>AGUINALDO Y DECIMO CUARTO MES</v>
      </c>
      <c r="K846" s="98" t="str">
        <f t="shared" si="27"/>
        <v>Posgrado</v>
      </c>
      <c r="L846" s="98" t="s">
        <v>395</v>
      </c>
    </row>
    <row r="847" spans="3:12" ht="15.75" thickBot="1">
      <c r="C847" s="172" t="s">
        <v>59</v>
      </c>
      <c r="D847" s="163"/>
      <c r="E847" s="154">
        <v>0</v>
      </c>
      <c r="F847" s="117">
        <f>IF(E845&lt;6,"",((E845-6)/12)*(G845/E845))</f>
        <v>0</v>
      </c>
      <c r="G847" s="97">
        <f>F847</f>
        <v>0</v>
      </c>
      <c r="H847" s="164"/>
      <c r="I847" s="101" t="s">
        <v>519</v>
      </c>
      <c r="J847" s="101" t="str">
        <f>VLOOKUP(I847,Presupuesto!$B$11:$C$565,2,0)</f>
        <v>DECIMOCUARTO MES</v>
      </c>
      <c r="K847" s="98" t="str">
        <f t="shared" si="27"/>
        <v>Posgrado</v>
      </c>
      <c r="L847" s="98" t="s">
        <v>395</v>
      </c>
    </row>
    <row r="848" spans="3:12" ht="15.75" thickBot="1">
      <c r="C848" s="140" t="s">
        <v>83</v>
      </c>
      <c r="D848" s="199"/>
      <c r="E848" s="152">
        <v>12</v>
      </c>
      <c r="F848" s="139">
        <v>30000</v>
      </c>
      <c r="G848" s="113">
        <f>D848*E848*F848</f>
        <v>0</v>
      </c>
      <c r="H848" s="166"/>
      <c r="I848" s="114" t="s">
        <v>564</v>
      </c>
      <c r="J848" s="114" t="str">
        <f>VLOOKUP(I848,Presupuesto!$B$11:$C$565,2,0)</f>
        <v>CONTRATOS ESPECIALES</v>
      </c>
      <c r="K848" s="98" t="str">
        <f t="shared" si="27"/>
        <v>Posgrado</v>
      </c>
      <c r="L848" s="98" t="s">
        <v>395</v>
      </c>
    </row>
    <row r="849" spans="3:12">
      <c r="C849" s="171" t="s">
        <v>58</v>
      </c>
      <c r="D849" s="163"/>
      <c r="E849" s="154">
        <v>0</v>
      </c>
      <c r="F849" s="117">
        <f>IF(E848=0,"",(G848/E848)/12*E848)</f>
        <v>0</v>
      </c>
      <c r="G849" s="97">
        <f>F849</f>
        <v>0</v>
      </c>
      <c r="H849" s="164"/>
      <c r="I849" s="101" t="s">
        <v>564</v>
      </c>
      <c r="J849" s="101" t="str">
        <f>VLOOKUP(I849,Presupuesto!$B$11:$C$565,2,0)</f>
        <v>CONTRATOS ESPECIALES</v>
      </c>
      <c r="K849" s="98" t="str">
        <f t="shared" si="27"/>
        <v>Posgrado</v>
      </c>
      <c r="L849" s="98" t="s">
        <v>394</v>
      </c>
    </row>
    <row r="850" spans="3:12" ht="15.75" thickBot="1">
      <c r="C850" s="172" t="s">
        <v>59</v>
      </c>
      <c r="D850" s="163"/>
      <c r="E850" s="154">
        <v>0</v>
      </c>
      <c r="F850" s="100">
        <f>IF(E848&lt;6,"",((E848-6)/12)*(G848/E848))</f>
        <v>0</v>
      </c>
      <c r="G850" s="97">
        <f>F850</f>
        <v>0</v>
      </c>
      <c r="H850" s="164"/>
      <c r="I850" s="101" t="s">
        <v>564</v>
      </c>
      <c r="J850" s="101" t="str">
        <f>VLOOKUP(I850,Presupuesto!$B$11:$C$565,2,0)</f>
        <v>CONTRATOS ESPECIALES</v>
      </c>
      <c r="K850" s="98" t="str">
        <f t="shared" si="27"/>
        <v>Posgrado</v>
      </c>
      <c r="L850" s="98" t="s">
        <v>399</v>
      </c>
    </row>
    <row r="851" spans="3:12" ht="15.75" thickBot="1">
      <c r="C851" s="140" t="s">
        <v>60</v>
      </c>
      <c r="D851" s="199"/>
      <c r="E851" s="152">
        <v>12</v>
      </c>
      <c r="F851" s="118">
        <v>30000</v>
      </c>
      <c r="G851" s="113">
        <f>D851*E851*F851</f>
        <v>0</v>
      </c>
      <c r="H851" s="166"/>
      <c r="I851" s="114" t="s">
        <v>705</v>
      </c>
      <c r="J851" s="114" t="str">
        <f>VLOOKUP(I851,Presupuesto!$B$11:$C$565,2,0)</f>
        <v>OTROS SERVICIOS TECNICOS Y PROFESIONALES</v>
      </c>
      <c r="K851" s="98" t="str">
        <f t="shared" si="27"/>
        <v>Posgrado</v>
      </c>
      <c r="L851" s="98" t="s">
        <v>394</v>
      </c>
    </row>
    <row r="852" spans="3:12">
      <c r="C852" s="171" t="s">
        <v>58</v>
      </c>
      <c r="D852" s="163"/>
      <c r="E852" s="154">
        <v>0</v>
      </c>
      <c r="F852" s="100">
        <v>0</v>
      </c>
      <c r="G852" s="97">
        <f>F852</f>
        <v>0</v>
      </c>
      <c r="H852" s="164"/>
      <c r="I852" s="101" t="s">
        <v>705</v>
      </c>
      <c r="J852" s="101" t="str">
        <f>VLOOKUP(I852,Presupuesto!$B$11:$C$565,2,0)</f>
        <v>OTROS SERVICIOS TECNICOS Y PROFESIONALES</v>
      </c>
      <c r="K852" s="98" t="str">
        <f t="shared" si="27"/>
        <v>Posgrado</v>
      </c>
      <c r="L852" s="98" t="s">
        <v>394</v>
      </c>
    </row>
    <row r="853" spans="3:12" ht="15.75" thickBot="1">
      <c r="C853" s="172" t="s">
        <v>59</v>
      </c>
      <c r="D853" s="163"/>
      <c r="E853" s="154">
        <v>0</v>
      </c>
      <c r="F853" s="100">
        <v>0</v>
      </c>
      <c r="G853" s="97">
        <f>F853</f>
        <v>0</v>
      </c>
      <c r="H853" s="164"/>
      <c r="I853" s="101" t="s">
        <v>705</v>
      </c>
      <c r="J853" s="101" t="str">
        <f>VLOOKUP(I853,Presupuesto!$B$11:$C$565,2,0)</f>
        <v>OTROS SERVICIOS TECNICOS Y PROFESIONALES</v>
      </c>
      <c r="K853" s="98" t="str">
        <f t="shared" si="27"/>
        <v>Posgrado</v>
      </c>
      <c r="L853" s="98" t="s">
        <v>394</v>
      </c>
    </row>
    <row r="854" spans="3:12" ht="15.75" thickBot="1">
      <c r="C854" s="140" t="s">
        <v>61</v>
      </c>
      <c r="D854" s="199"/>
      <c r="E854" s="152">
        <v>12</v>
      </c>
      <c r="F854" s="118">
        <v>30000</v>
      </c>
      <c r="G854" s="113">
        <f>D854*E854*F854</f>
        <v>0</v>
      </c>
      <c r="H854" s="166"/>
      <c r="I854" s="114" t="s">
        <v>496</v>
      </c>
      <c r="J854" s="114" t="str">
        <f>VLOOKUP(I854,Presupuesto!$B$11:$C$565,2,0)</f>
        <v>SUELDOS Y SALARIOS PERMANENTES</v>
      </c>
      <c r="K854" s="98" t="str">
        <f t="shared" si="27"/>
        <v>Posgrado</v>
      </c>
      <c r="L854" s="98" t="s">
        <v>394</v>
      </c>
    </row>
    <row r="855" spans="3:12">
      <c r="C855" s="171" t="s">
        <v>58</v>
      </c>
      <c r="D855" s="169"/>
      <c r="E855" s="131">
        <v>0</v>
      </c>
      <c r="F855" s="119">
        <f>IF(E854=0,"",(G854/E854)/12*E854)</f>
        <v>0</v>
      </c>
      <c r="G855" s="120">
        <f>F855</f>
        <v>0</v>
      </c>
      <c r="H855" s="164"/>
      <c r="I855" s="101" t="s">
        <v>516</v>
      </c>
      <c r="J855" s="101" t="str">
        <f>VLOOKUP(I855,Presupuesto!$B$11:$C$565,2,0)</f>
        <v>AGUINALDO Y DECIMO CUARTO MES</v>
      </c>
      <c r="K855" s="98" t="str">
        <f t="shared" si="27"/>
        <v>Posgrado</v>
      </c>
      <c r="L855" s="98" t="s">
        <v>394</v>
      </c>
    </row>
    <row r="856" spans="3:12" ht="15.75" thickBot="1">
      <c r="C856" s="173" t="s">
        <v>59</v>
      </c>
      <c r="D856" s="162"/>
      <c r="E856" s="132">
        <v>0</v>
      </c>
      <c r="F856" s="105">
        <f>IF(E854&lt;6,"",((E854-6)/12)*(G854/E854))</f>
        <v>0</v>
      </c>
      <c r="G856" s="105">
        <f>F856</f>
        <v>0</v>
      </c>
      <c r="H856" s="162"/>
      <c r="I856" s="106" t="s">
        <v>519</v>
      </c>
      <c r="J856" s="124" t="str">
        <f>VLOOKUP(I856,Presupuesto!$B$11:$C$565,2,0)</f>
        <v>DECIMOCUARTO MES</v>
      </c>
      <c r="K856" s="106" t="str">
        <f t="shared" si="27"/>
        <v>Posgrado</v>
      </c>
      <c r="L856" s="124" t="s">
        <v>394</v>
      </c>
    </row>
    <row r="858" spans="3:12" ht="15.75" thickBot="1"/>
    <row r="859" spans="3:12" ht="15.75" thickBot="1">
      <c r="C859" s="69" t="s">
        <v>43</v>
      </c>
      <c r="D859" s="30">
        <f>SUM(G866:G916)</f>
        <v>0</v>
      </c>
      <c r="E859" s="93"/>
      <c r="F859" s="93"/>
      <c r="G859" s="93"/>
      <c r="H859" s="76"/>
      <c r="I859" s="76"/>
      <c r="J859" s="76"/>
    </row>
    <row r="860" spans="3:12">
      <c r="D860" s="31"/>
      <c r="E860" s="93"/>
      <c r="F860" s="93"/>
      <c r="G860" s="93"/>
      <c r="H860" s="76"/>
      <c r="I860" s="76"/>
      <c r="J860" s="76"/>
    </row>
    <row r="861" spans="3:12">
      <c r="D861" s="31"/>
      <c r="E861" s="93"/>
      <c r="F861" s="93"/>
      <c r="G861" s="93"/>
      <c r="H861" s="76"/>
      <c r="I861" s="76"/>
      <c r="J861" s="76"/>
    </row>
    <row r="862" spans="3:12" ht="15.75">
      <c r="C862" s="202" t="s">
        <v>392</v>
      </c>
      <c r="D862" s="370"/>
      <c r="E862" s="93"/>
      <c r="F862" s="93"/>
      <c r="G862" s="93"/>
      <c r="H862" s="76"/>
      <c r="I862" s="76"/>
      <c r="J862" s="76"/>
    </row>
    <row r="863" spans="3:12" ht="18.75">
      <c r="C863" s="211" t="e">
        <f>IFERROR(VLOOKUP(D862,'1. Desarrollo e Innov. Curricu.'!$E:$F,2,FALSE),IFERROR(VLOOKUP(D862,'2. Investigación Científica'!$E:$F,2,FALSE),IFERROR(VLOOKUP(D862,'3. Vinculación Univ. Sociedad'!$E:$F,2,FALSE),IFERROR(VLOOKUP(D862,'4. Docencia y Profesorado Univ.'!$E:$F,2,FALSE),IFERROR(VLOOKUP(D862,'5. Estudiantes y Graduados'!$E:$F,2,FALSE),IFERROR(VLOOKUP(D862,'11. Gestion Administrativa'!$E:$F,2,FALSE),IFERROR(VLOOKUP(D862,'13. Gestión Académica'!$E:$F,2,FALSE),IFERROR(VLOOKUP(D862,'8. Asegura. de la Calid. y M'!$E:$F,2,FALSE),IFERROR(VLOOKUP(D862,'6. Gestión del Conocimiento'!$E:$F,2,FALSE),IFERROR(VLOOKUP(D862,'15. Gobernabilidad y Proceso...'!$E:$F,2,FALSE),IFERROR(VLOOKUP(D862,'12. Gestión del Talento Humano'!$E:$F,2,FALSE),IFERROR(VLOOKUP(D862,'14. Internacional... de la E.S.'!$E:$F,2,FALSE),IFERROR(VLOOKUP(D862,'10. Posgrado'!$E:$F,2,FALSE),IFERROR(VLOOKUP(D862,'17. Gestión TIC'!$E:$F,2,FALSE),IFERROR(VLOOKUP(D862,'16. Desa. del Sistema Educ.Sup.'!$E:$F,2,FALSE),IFERROR(VLOOKUP(D862,'9. Cultura de Inno. Insti...'!$E:$F,2,FALSE),VLOOKUP(D862,'7. Lo Esencial de la Reforma U.'!$E:$F,2,0)))))))))))))))))</f>
        <v>#N/A</v>
      </c>
      <c r="D863" s="31"/>
      <c r="E863" s="93"/>
      <c r="F863" s="93"/>
      <c r="G863" s="93"/>
      <c r="H863" s="76"/>
      <c r="I863" s="76"/>
      <c r="J863" s="76"/>
      <c r="K863" s="153"/>
    </row>
    <row r="864" spans="3:12" ht="15.75" thickBot="1">
      <c r="C864" s="177"/>
      <c r="D864" s="31"/>
      <c r="E864" s="93"/>
      <c r="F864" s="93"/>
      <c r="G864" s="93"/>
      <c r="H864" s="76"/>
      <c r="I864" s="76"/>
      <c r="J864" s="76"/>
      <c r="K864" s="153"/>
    </row>
    <row r="865" spans="3:12" ht="30.75" thickBot="1">
      <c r="C865" s="134" t="s">
        <v>44</v>
      </c>
      <c r="D865" s="138" t="s">
        <v>55</v>
      </c>
      <c r="E865" s="170" t="s">
        <v>56</v>
      </c>
      <c r="F865" s="138" t="s">
        <v>57</v>
      </c>
      <c r="G865" s="135" t="s">
        <v>27</v>
      </c>
      <c r="H865" s="133" t="s">
        <v>131</v>
      </c>
      <c r="I865" s="136" t="s">
        <v>46</v>
      </c>
      <c r="J865" s="136" t="s">
        <v>132</v>
      </c>
      <c r="K865" s="136" t="s">
        <v>410</v>
      </c>
      <c r="L865" s="136" t="s">
        <v>411</v>
      </c>
    </row>
    <row r="866" spans="3:12" ht="15.75" thickBot="1">
      <c r="C866" s="137" t="s">
        <v>482</v>
      </c>
      <c r="D866" s="199"/>
      <c r="E866" s="152">
        <v>12</v>
      </c>
      <c r="F866" s="305">
        <f>HLOOKUP($C866,$BZ$2:$CM$3,2,0)</f>
        <v>43674.39</v>
      </c>
      <c r="G866" s="113">
        <f>D866*E866*F866</f>
        <v>0</v>
      </c>
      <c r="H866" s="166"/>
      <c r="I866" s="114" t="s">
        <v>496</v>
      </c>
      <c r="J866" s="114" t="str">
        <f>VLOOKUP(I866,Presupuesto!$B$11:$C$565,2,0)</f>
        <v>SUELDOS Y SALARIOS PERMANENTES</v>
      </c>
      <c r="K866" s="219" t="s">
        <v>1453</v>
      </c>
      <c r="L866" s="98" t="s">
        <v>394</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ref="K867:K898" si="28">$K$866</f>
        <v>Posgrado</v>
      </c>
      <c r="L867" s="98" t="s">
        <v>412</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483</v>
      </c>
      <c r="D869" s="199"/>
      <c r="E869" s="152">
        <v>12</v>
      </c>
      <c r="F869" s="305">
        <f>HLOOKUP($C869,$BZ$2:$CM$3,2,0)</f>
        <v>39703.99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484</v>
      </c>
      <c r="D872" s="199"/>
      <c r="E872" s="152">
        <v>12</v>
      </c>
      <c r="F872" s="305">
        <f>HLOOKUP($C872,$BZ$2:$CM$3,2,0)</f>
        <v>35733.589999999997</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485</v>
      </c>
      <c r="D875" s="199"/>
      <c r="E875" s="152">
        <v>12</v>
      </c>
      <c r="F875" s="305">
        <f>HLOOKUP($C875,$BZ$2:$CM$3,2,0)</f>
        <v>31763.19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486</v>
      </c>
      <c r="D878" s="199"/>
      <c r="E878" s="152">
        <v>12</v>
      </c>
      <c r="F878" s="305">
        <f>HLOOKUP($C878,$BZ$2:$CM$3,2,0)</f>
        <v>29777.99</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487</v>
      </c>
      <c r="D881" s="199"/>
      <c r="E881" s="152">
        <v>12</v>
      </c>
      <c r="F881" s="305">
        <f>HLOOKUP($C881,$BZ$2:$CM$3,2,0)</f>
        <v>27792.79</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488</v>
      </c>
      <c r="D884" s="199"/>
      <c r="E884" s="152">
        <v>12</v>
      </c>
      <c r="F884" s="305">
        <f>HLOOKUP($C884,$BZ$2:$CM$3,2,0)</f>
        <v>18859.39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489</v>
      </c>
      <c r="D887" s="199"/>
      <c r="E887" s="152">
        <v>12</v>
      </c>
      <c r="F887" s="305">
        <f>HLOOKUP($C887,$BZ$2:$CM$3,2,0)</f>
        <v>17866.8</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490</v>
      </c>
      <c r="D890" s="199"/>
      <c r="E890" s="152">
        <v>12</v>
      </c>
      <c r="F890" s="305">
        <f>HLOOKUP($C890,$BZ$2:$CM$3,2,0)</f>
        <v>13896.4</v>
      </c>
      <c r="G890" s="113">
        <f>D890*E890*F890</f>
        <v>0</v>
      </c>
      <c r="H890" s="166"/>
      <c r="I890" s="114" t="s">
        <v>496</v>
      </c>
      <c r="J890" s="114" t="str">
        <f>VLOOKUP(I890,Presupuesto!$B$11:$C$565,2,0)</f>
        <v>SUELDOS Y SALARIOS PERMANENTES</v>
      </c>
      <c r="K890" s="98" t="str">
        <f t="shared" si="28"/>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8"/>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8"/>
        <v>Posgrado</v>
      </c>
      <c r="L892" s="98" t="s">
        <v>395</v>
      </c>
    </row>
    <row r="893" spans="3:12" ht="15.75" thickBot="1">
      <c r="C893" s="137" t="s">
        <v>491</v>
      </c>
      <c r="D893" s="199"/>
      <c r="E893" s="152">
        <v>12</v>
      </c>
      <c r="F893" s="305">
        <f>HLOOKUP($C893,$BZ$2:$CM$3,2,0)</f>
        <v>15004.09</v>
      </c>
      <c r="G893" s="113">
        <f>D893*E893*F893</f>
        <v>0</v>
      </c>
      <c r="H893" s="166"/>
      <c r="I893" s="114" t="s">
        <v>496</v>
      </c>
      <c r="J893" s="114" t="str">
        <f>VLOOKUP(I893,Presupuesto!$B$11:$C$565,2,0)</f>
        <v>SUELDOS Y SALARIOS PERMANENTES</v>
      </c>
      <c r="K893" s="98" t="str">
        <f t="shared" si="28"/>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8"/>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8"/>
        <v>Posgrado</v>
      </c>
      <c r="L895" s="98" t="s">
        <v>395</v>
      </c>
    </row>
    <row r="896" spans="3:12" ht="15.75" thickBot="1">
      <c r="C896" s="137" t="s">
        <v>492</v>
      </c>
      <c r="D896" s="199"/>
      <c r="E896" s="152">
        <v>12</v>
      </c>
      <c r="F896" s="305">
        <f>HLOOKUP($C896,$BZ$2:$CM$3,2,0)</f>
        <v>13238.9</v>
      </c>
      <c r="G896" s="113">
        <f>D896*E896*F896</f>
        <v>0</v>
      </c>
      <c r="H896" s="166"/>
      <c r="I896" s="114" t="s">
        <v>496</v>
      </c>
      <c r="J896" s="114" t="str">
        <f>VLOOKUP(I896,Presupuesto!$B$11:$C$565,2,0)</f>
        <v>SUELDOS Y SALARIOS PERMANENTES</v>
      </c>
      <c r="K896" s="98" t="str">
        <f t="shared" si="28"/>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8"/>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8"/>
        <v>Posgrado</v>
      </c>
      <c r="L898" s="98" t="s">
        <v>395</v>
      </c>
    </row>
    <row r="899" spans="3:12" ht="15.75" thickBot="1">
      <c r="C899" s="137" t="s">
        <v>493</v>
      </c>
      <c r="D899" s="199"/>
      <c r="E899" s="152">
        <v>12</v>
      </c>
      <c r="F899" s="305">
        <f>HLOOKUP($C899,$BZ$2:$CM$3,2,0)</f>
        <v>12356.31</v>
      </c>
      <c r="G899" s="113">
        <f>D899*E899*F899</f>
        <v>0</v>
      </c>
      <c r="H899" s="166"/>
      <c r="I899" s="114" t="s">
        <v>496</v>
      </c>
      <c r="J899" s="114" t="str">
        <f>VLOOKUP(I899,Presupuesto!$B$11:$C$565,2,0)</f>
        <v>SUELDOS Y SALARIOS PERMANENTES</v>
      </c>
      <c r="K899" s="98" t="str">
        <f t="shared" ref="K899:K916" si="29">$K$866</f>
        <v>Posgrado</v>
      </c>
      <c r="L899" s="98" t="s">
        <v>395</v>
      </c>
    </row>
    <row r="900" spans="3:12">
      <c r="C900" s="171" t="s">
        <v>58</v>
      </c>
      <c r="D900" s="163"/>
      <c r="E900" s="154">
        <v>0</v>
      </c>
      <c r="F900" s="100">
        <f>IF(E899=0,"",(G899/E899)/12*E899)</f>
        <v>0</v>
      </c>
      <c r="G900" s="97">
        <f>F900</f>
        <v>0</v>
      </c>
      <c r="H900" s="164"/>
      <c r="I900" s="116" t="s">
        <v>516</v>
      </c>
      <c r="J900" s="116" t="str">
        <f>VLOOKUP(I900,Presupuesto!$B$11:$C$565,2,0)</f>
        <v>AGUINALDO Y DECIMO CUARTO MES</v>
      </c>
      <c r="K900" s="98" t="str">
        <f t="shared" si="29"/>
        <v>Posgrado</v>
      </c>
      <c r="L900" s="98" t="s">
        <v>395</v>
      </c>
    </row>
    <row r="901" spans="3:12" ht="15.75" thickBot="1">
      <c r="C901" s="172" t="s">
        <v>59</v>
      </c>
      <c r="D901" s="163"/>
      <c r="E901" s="154">
        <v>0</v>
      </c>
      <c r="F901" s="117">
        <f>IF(E899&lt;6,"",((E899-6)/12)*(G899/E899))</f>
        <v>0</v>
      </c>
      <c r="G901" s="97">
        <f>F901</f>
        <v>0</v>
      </c>
      <c r="H901" s="164"/>
      <c r="I901" s="101" t="s">
        <v>519</v>
      </c>
      <c r="J901" s="101" t="str">
        <f>VLOOKUP(I901,Presupuesto!$B$11:$C$565,2,0)</f>
        <v>DECIMOCUARTO MES</v>
      </c>
      <c r="K901" s="98" t="str">
        <f t="shared" si="29"/>
        <v>Posgrado</v>
      </c>
      <c r="L901" s="98" t="s">
        <v>395</v>
      </c>
    </row>
    <row r="902" spans="3:12" ht="15.75" thickBot="1">
      <c r="C902" s="137" t="s">
        <v>494</v>
      </c>
      <c r="D902" s="199"/>
      <c r="E902" s="152">
        <v>12</v>
      </c>
      <c r="F902" s="305">
        <f>HLOOKUP($C902,$BZ$2:$CM$3,2,0)</f>
        <v>463.22</v>
      </c>
      <c r="G902" s="113">
        <f>D902*E902*F902</f>
        <v>0</v>
      </c>
      <c r="H902" s="166"/>
      <c r="I902" s="114" t="s">
        <v>496</v>
      </c>
      <c r="J902" s="114" t="str">
        <f>VLOOKUP(I902,Presupuesto!$B$11:$C$565,2,0)</f>
        <v>SUELDOS Y SALARIOS PERMANENTES</v>
      </c>
      <c r="K902" s="98" t="str">
        <f t="shared" si="29"/>
        <v>Posgrado</v>
      </c>
      <c r="L902" s="98" t="s">
        <v>395</v>
      </c>
    </row>
    <row r="903" spans="3:12">
      <c r="C903" s="171" t="s">
        <v>58</v>
      </c>
      <c r="D903" s="163"/>
      <c r="E903" s="154">
        <v>0</v>
      </c>
      <c r="F903" s="100">
        <f>IF(E902=0,"",(G902/E902)/12*E902)</f>
        <v>0</v>
      </c>
      <c r="G903" s="97">
        <f>F903</f>
        <v>0</v>
      </c>
      <c r="H903" s="164"/>
      <c r="I903" s="116" t="s">
        <v>516</v>
      </c>
      <c r="J903" s="116" t="str">
        <f>VLOOKUP(I903,Presupuesto!$B$11:$C$565,2,0)</f>
        <v>AGUINALDO Y DECIMO CUARTO MES</v>
      </c>
      <c r="K903" s="98" t="str">
        <f t="shared" si="29"/>
        <v>Posgrado</v>
      </c>
      <c r="L903" s="98" t="s">
        <v>395</v>
      </c>
    </row>
    <row r="904" spans="3:12" ht="15.75" thickBot="1">
      <c r="C904" s="172" t="s">
        <v>59</v>
      </c>
      <c r="D904" s="163"/>
      <c r="E904" s="154">
        <v>0</v>
      </c>
      <c r="F904" s="117">
        <f>IF(E902&lt;6,"",((E902-6)/12)*(G902/E902))</f>
        <v>0</v>
      </c>
      <c r="G904" s="97">
        <f>F904</f>
        <v>0</v>
      </c>
      <c r="H904" s="164"/>
      <c r="I904" s="101" t="s">
        <v>519</v>
      </c>
      <c r="J904" s="101" t="str">
        <f>VLOOKUP(I904,Presupuesto!$B$11:$C$565,2,0)</f>
        <v>DECIMOCUARTO MES</v>
      </c>
      <c r="K904" s="98" t="str">
        <f t="shared" si="29"/>
        <v>Posgrado</v>
      </c>
      <c r="L904" s="98" t="s">
        <v>395</v>
      </c>
    </row>
    <row r="905" spans="3:12" ht="15.75" thickBot="1">
      <c r="C905" s="137" t="s">
        <v>495</v>
      </c>
      <c r="D905" s="199"/>
      <c r="E905" s="152">
        <v>12</v>
      </c>
      <c r="F905" s="305">
        <f>HLOOKUP($C905,$BZ$2:$CM$3,2,0)</f>
        <v>2007.3</v>
      </c>
      <c r="G905" s="113">
        <f>D905*E905*F905</f>
        <v>0</v>
      </c>
      <c r="H905" s="166"/>
      <c r="I905" s="114" t="s">
        <v>496</v>
      </c>
      <c r="J905" s="114" t="str">
        <f>VLOOKUP(I905,Presupuesto!$B$11:$C$565,2,0)</f>
        <v>SUELDOS Y SALARIOS PERMANENTES</v>
      </c>
      <c r="K905" s="98" t="str">
        <f t="shared" si="29"/>
        <v>Posgrado</v>
      </c>
      <c r="L905" s="98" t="s">
        <v>395</v>
      </c>
    </row>
    <row r="906" spans="3:12">
      <c r="C906" s="171" t="s">
        <v>58</v>
      </c>
      <c r="D906" s="163"/>
      <c r="E906" s="154">
        <v>0</v>
      </c>
      <c r="F906" s="100">
        <f>IF(E905=0,"",(G905/E905)/12*E905)</f>
        <v>0</v>
      </c>
      <c r="G906" s="97">
        <f>F906</f>
        <v>0</v>
      </c>
      <c r="H906" s="164"/>
      <c r="I906" s="116" t="s">
        <v>516</v>
      </c>
      <c r="J906" s="116" t="str">
        <f>VLOOKUP(I906,Presupuesto!$B$11:$C$565,2,0)</f>
        <v>AGUINALDO Y DECIMO CUARTO MES</v>
      </c>
      <c r="K906" s="98" t="str">
        <f t="shared" si="29"/>
        <v>Posgrado</v>
      </c>
      <c r="L906" s="98" t="s">
        <v>395</v>
      </c>
    </row>
    <row r="907" spans="3:12" ht="15.75" thickBot="1">
      <c r="C907" s="172" t="s">
        <v>59</v>
      </c>
      <c r="D907" s="163"/>
      <c r="E907" s="154">
        <v>0</v>
      </c>
      <c r="F907" s="117">
        <f>IF(E905&lt;6,"",((E905-6)/12)*(G905/E905))</f>
        <v>0</v>
      </c>
      <c r="G907" s="97">
        <f>F907</f>
        <v>0</v>
      </c>
      <c r="H907" s="164"/>
      <c r="I907" s="101" t="s">
        <v>519</v>
      </c>
      <c r="J907" s="101" t="str">
        <f>VLOOKUP(I907,Presupuesto!$B$11:$C$565,2,0)</f>
        <v>DECIMOCUARTO MES</v>
      </c>
      <c r="K907" s="98" t="str">
        <f t="shared" si="29"/>
        <v>Posgrado</v>
      </c>
      <c r="L907" s="98" t="s">
        <v>395</v>
      </c>
    </row>
    <row r="908" spans="3:12" ht="15.75" thickBot="1">
      <c r="C908" s="140" t="s">
        <v>83</v>
      </c>
      <c r="D908" s="199"/>
      <c r="E908" s="152">
        <v>12</v>
      </c>
      <c r="F908" s="139">
        <v>30000</v>
      </c>
      <c r="G908" s="113">
        <f>D908*E908*F908</f>
        <v>0</v>
      </c>
      <c r="H908" s="166"/>
      <c r="I908" s="114" t="s">
        <v>564</v>
      </c>
      <c r="J908" s="114" t="str">
        <f>VLOOKUP(I908,Presupuesto!$B$11:$C$565,2,0)</f>
        <v>CONTRATOS ESPECIALES</v>
      </c>
      <c r="K908" s="98" t="str">
        <f t="shared" si="29"/>
        <v>Posgrado</v>
      </c>
      <c r="L908" s="98" t="s">
        <v>395</v>
      </c>
    </row>
    <row r="909" spans="3:12">
      <c r="C909" s="171" t="s">
        <v>58</v>
      </c>
      <c r="D909" s="163"/>
      <c r="E909" s="154">
        <v>0</v>
      </c>
      <c r="F909" s="117">
        <f>IF(E908=0,"",(G908/E908)/12*E908)</f>
        <v>0</v>
      </c>
      <c r="G909" s="97">
        <f>F909</f>
        <v>0</v>
      </c>
      <c r="H909" s="164"/>
      <c r="I909" s="101" t="s">
        <v>564</v>
      </c>
      <c r="J909" s="101" t="str">
        <f>VLOOKUP(I909,Presupuesto!$B$11:$C$565,2,0)</f>
        <v>CONTRATOS ESPECIALES</v>
      </c>
      <c r="K909" s="98" t="str">
        <f t="shared" si="29"/>
        <v>Posgrado</v>
      </c>
      <c r="L909" s="98" t="s">
        <v>394</v>
      </c>
    </row>
    <row r="910" spans="3:12" ht="15.75" thickBot="1">
      <c r="C910" s="172" t="s">
        <v>59</v>
      </c>
      <c r="D910" s="163"/>
      <c r="E910" s="154">
        <v>0</v>
      </c>
      <c r="F910" s="100">
        <f>IF(E908&lt;6,"",((E908-6)/12)*(G908/E908))</f>
        <v>0</v>
      </c>
      <c r="G910" s="97">
        <f>F910</f>
        <v>0</v>
      </c>
      <c r="H910" s="164"/>
      <c r="I910" s="101" t="s">
        <v>564</v>
      </c>
      <c r="J910" s="101" t="str">
        <f>VLOOKUP(I910,Presupuesto!$B$11:$C$565,2,0)</f>
        <v>CONTRATOS ESPECIALES</v>
      </c>
      <c r="K910" s="98" t="str">
        <f t="shared" si="29"/>
        <v>Posgrado</v>
      </c>
      <c r="L910" s="98" t="s">
        <v>399</v>
      </c>
    </row>
    <row r="911" spans="3:12" ht="15.75" thickBot="1">
      <c r="C911" s="140" t="s">
        <v>60</v>
      </c>
      <c r="D911" s="199"/>
      <c r="E911" s="152">
        <v>12</v>
      </c>
      <c r="F911" s="118">
        <v>30000</v>
      </c>
      <c r="G911" s="113">
        <f>D911*E911*F911</f>
        <v>0</v>
      </c>
      <c r="H911" s="166"/>
      <c r="I911" s="114" t="s">
        <v>705</v>
      </c>
      <c r="J911" s="114" t="str">
        <f>VLOOKUP(I911,Presupuesto!$B$11:$C$565,2,0)</f>
        <v>OTROS SERVICIOS TECNICOS Y PROFESIONALES</v>
      </c>
      <c r="K911" s="98" t="str">
        <f t="shared" si="29"/>
        <v>Posgrado</v>
      </c>
      <c r="L911" s="98" t="s">
        <v>394</v>
      </c>
    </row>
    <row r="912" spans="3:12">
      <c r="C912" s="171" t="s">
        <v>58</v>
      </c>
      <c r="D912" s="163"/>
      <c r="E912" s="154">
        <v>0</v>
      </c>
      <c r="F912" s="100">
        <v>0</v>
      </c>
      <c r="G912" s="97">
        <f>F912</f>
        <v>0</v>
      </c>
      <c r="H912" s="164"/>
      <c r="I912" s="101" t="s">
        <v>705</v>
      </c>
      <c r="J912" s="101" t="str">
        <f>VLOOKUP(I912,Presupuesto!$B$11:$C$565,2,0)</f>
        <v>OTROS SERVICIOS TECNICOS Y PROFESIONALES</v>
      </c>
      <c r="K912" s="98" t="str">
        <f t="shared" si="29"/>
        <v>Posgrado</v>
      </c>
      <c r="L912" s="98" t="s">
        <v>394</v>
      </c>
    </row>
    <row r="913" spans="3:12" ht="15.75" thickBot="1">
      <c r="C913" s="172" t="s">
        <v>59</v>
      </c>
      <c r="D913" s="163"/>
      <c r="E913" s="154">
        <v>0</v>
      </c>
      <c r="F913" s="100">
        <v>0</v>
      </c>
      <c r="G913" s="97">
        <f>F913</f>
        <v>0</v>
      </c>
      <c r="H913" s="164"/>
      <c r="I913" s="101" t="s">
        <v>705</v>
      </c>
      <c r="J913" s="101" t="str">
        <f>VLOOKUP(I913,Presupuesto!$B$11:$C$565,2,0)</f>
        <v>OTROS SERVICIOS TECNICOS Y PROFESIONALES</v>
      </c>
      <c r="K913" s="98" t="str">
        <f t="shared" si="29"/>
        <v>Posgrado</v>
      </c>
      <c r="L913" s="98" t="s">
        <v>394</v>
      </c>
    </row>
    <row r="914" spans="3:12" ht="15.75" thickBot="1">
      <c r="C914" s="140" t="s">
        <v>61</v>
      </c>
      <c r="D914" s="199"/>
      <c r="E914" s="152">
        <v>12</v>
      </c>
      <c r="F914" s="118">
        <v>30000</v>
      </c>
      <c r="G914" s="113">
        <f>D914*E914*F914</f>
        <v>0</v>
      </c>
      <c r="H914" s="166"/>
      <c r="I914" s="114" t="s">
        <v>496</v>
      </c>
      <c r="J914" s="114" t="str">
        <f>VLOOKUP(I914,Presupuesto!$B$11:$C$565,2,0)</f>
        <v>SUELDOS Y SALARIOS PERMANENTES</v>
      </c>
      <c r="K914" s="98" t="str">
        <f t="shared" si="29"/>
        <v>Posgrado</v>
      </c>
      <c r="L914" s="98" t="s">
        <v>394</v>
      </c>
    </row>
    <row r="915" spans="3:12">
      <c r="C915" s="171" t="s">
        <v>58</v>
      </c>
      <c r="D915" s="169"/>
      <c r="E915" s="131">
        <v>0</v>
      </c>
      <c r="F915" s="119">
        <f>IF(E914=0,"",(G914/E914)/12*E914)</f>
        <v>0</v>
      </c>
      <c r="G915" s="120">
        <f>F915</f>
        <v>0</v>
      </c>
      <c r="H915" s="164"/>
      <c r="I915" s="101" t="s">
        <v>516</v>
      </c>
      <c r="J915" s="101" t="str">
        <f>VLOOKUP(I915,Presupuesto!$B$11:$C$565,2,0)</f>
        <v>AGUINALDO Y DECIMO CUARTO MES</v>
      </c>
      <c r="K915" s="98" t="str">
        <f t="shared" si="29"/>
        <v>Posgrado</v>
      </c>
      <c r="L915" s="98" t="s">
        <v>394</v>
      </c>
    </row>
    <row r="916" spans="3:12" ht="15.75" thickBot="1">
      <c r="C916" s="173" t="s">
        <v>59</v>
      </c>
      <c r="D916" s="162"/>
      <c r="E916" s="132">
        <v>0</v>
      </c>
      <c r="F916" s="105">
        <f>IF(E914&lt;6,"",((E914-6)/12)*(G914/E914))</f>
        <v>0</v>
      </c>
      <c r="G916" s="105">
        <f>F916</f>
        <v>0</v>
      </c>
      <c r="H916" s="162"/>
      <c r="I916" s="106" t="s">
        <v>519</v>
      </c>
      <c r="J916" s="124" t="str">
        <f>VLOOKUP(I916,Presupuesto!$B$11:$C$565,2,0)</f>
        <v>DECIMOCUARTO MES</v>
      </c>
      <c r="K916" s="106" t="str">
        <f t="shared" si="29"/>
        <v>Posgrado</v>
      </c>
      <c r="L916" s="124" t="s">
        <v>394</v>
      </c>
    </row>
    <row r="918" spans="3:12" ht="15.75" thickBot="1"/>
    <row r="919" spans="3:12" ht="15.75" thickBot="1">
      <c r="C919" s="69" t="s">
        <v>43</v>
      </c>
      <c r="D919" s="30">
        <f>SUM(G926:G976)</f>
        <v>0</v>
      </c>
      <c r="E919" s="93"/>
      <c r="F919" s="93"/>
      <c r="G919" s="93"/>
      <c r="H919" s="76"/>
      <c r="I919" s="76"/>
      <c r="J919" s="76"/>
    </row>
    <row r="920" spans="3:12">
      <c r="D920" s="31"/>
      <c r="E920" s="93"/>
      <c r="F920" s="93"/>
      <c r="G920" s="93"/>
      <c r="H920" s="76"/>
      <c r="I920" s="76"/>
      <c r="J920" s="76"/>
    </row>
    <row r="921" spans="3:12">
      <c r="D921" s="31"/>
      <c r="E921" s="93"/>
      <c r="F921" s="93"/>
      <c r="G921" s="93"/>
      <c r="H921" s="76"/>
      <c r="I921" s="76"/>
      <c r="J921" s="76"/>
    </row>
    <row r="922" spans="3:12" ht="15.75">
      <c r="C922" s="202" t="s">
        <v>392</v>
      </c>
      <c r="D922" s="370"/>
      <c r="E922" s="93"/>
      <c r="F922" s="93"/>
      <c r="G922" s="93"/>
      <c r="H922" s="76"/>
      <c r="I922" s="76"/>
      <c r="J922" s="76"/>
    </row>
    <row r="923" spans="3:12" ht="18.75">
      <c r="C923" s="211" t="e">
        <f>IFERROR(VLOOKUP(D922,'1. Desarrollo e Innov. Curricu.'!$E:$F,2,FALSE),IFERROR(VLOOKUP(D922,'2. Investigación Científica'!$E:$F,2,FALSE),IFERROR(VLOOKUP(D922,'3. Vinculación Univ. Sociedad'!$E:$F,2,FALSE),IFERROR(VLOOKUP(D922,'4. Docencia y Profesorado Univ.'!$E:$F,2,FALSE),IFERROR(VLOOKUP(D922,'5. Estudiantes y Graduados'!$E:$F,2,FALSE),IFERROR(VLOOKUP(D922,'11. Gestion Administrativa'!$E:$F,2,FALSE),IFERROR(VLOOKUP(D922,'13. Gestión Académica'!$E:$F,2,FALSE),IFERROR(VLOOKUP(D922,'8. Asegura. de la Calid. y M'!$E:$F,2,FALSE),IFERROR(VLOOKUP(D922,'6. Gestión del Conocimiento'!$E:$F,2,FALSE),IFERROR(VLOOKUP(D922,'15. Gobernabilidad y Proceso...'!$E:$F,2,FALSE),IFERROR(VLOOKUP(D922,'12. Gestión del Talento Humano'!$E:$F,2,FALSE),IFERROR(VLOOKUP(D922,'14. Internacional... de la E.S.'!$E:$F,2,FALSE),IFERROR(VLOOKUP(D922,'10. Posgrado'!$E:$F,2,FALSE),IFERROR(VLOOKUP(D922,'17. Gestión TIC'!$E:$F,2,FALSE),IFERROR(VLOOKUP(D922,'16. Desa. del Sistema Educ.Sup.'!$E:$F,2,FALSE),IFERROR(VLOOKUP(D922,'9. Cultura de Inno. Insti...'!$E:$F,2,FALSE),VLOOKUP(D922,'7. Lo Esencial de la Reforma U.'!$E:$F,2,0)))))))))))))))))</f>
        <v>#N/A</v>
      </c>
      <c r="D923" s="31"/>
      <c r="E923" s="93"/>
      <c r="F923" s="93"/>
      <c r="G923" s="93"/>
      <c r="H923" s="76"/>
      <c r="I923" s="76"/>
      <c r="J923" s="76"/>
    </row>
    <row r="924" spans="3:12" ht="15.75" thickBot="1">
      <c r="C924" s="177"/>
      <c r="D924" s="31"/>
      <c r="E924" s="93"/>
      <c r="F924" s="93"/>
      <c r="G924" s="93"/>
      <c r="H924" s="76"/>
      <c r="I924" s="76"/>
      <c r="J924" s="76"/>
      <c r="K924" s="153"/>
    </row>
    <row r="925" spans="3:12" ht="30.75" thickBot="1">
      <c r="C925" s="134" t="s">
        <v>44</v>
      </c>
      <c r="D925" s="138" t="s">
        <v>55</v>
      </c>
      <c r="E925" s="170" t="s">
        <v>56</v>
      </c>
      <c r="F925" s="138" t="s">
        <v>57</v>
      </c>
      <c r="G925" s="135" t="s">
        <v>27</v>
      </c>
      <c r="H925" s="133" t="s">
        <v>131</v>
      </c>
      <c r="I925" s="136" t="s">
        <v>46</v>
      </c>
      <c r="J925" s="136" t="s">
        <v>132</v>
      </c>
      <c r="K925" s="136" t="s">
        <v>410</v>
      </c>
      <c r="L925" s="136" t="s">
        <v>411</v>
      </c>
    </row>
    <row r="926" spans="3:12" ht="15.75" thickBot="1">
      <c r="C926" s="137" t="s">
        <v>482</v>
      </c>
      <c r="D926" s="199"/>
      <c r="E926" s="152">
        <v>12</v>
      </c>
      <c r="F926" s="305">
        <f>HLOOKUP($C926,$BZ$2:$CM$3,2,0)</f>
        <v>43674.39</v>
      </c>
      <c r="G926" s="113">
        <f>D926*E926*F926</f>
        <v>0</v>
      </c>
      <c r="H926" s="166"/>
      <c r="I926" s="114" t="s">
        <v>496</v>
      </c>
      <c r="J926" s="114" t="str">
        <f>VLOOKUP(I926,Presupuesto!$B$11:$C$565,2,0)</f>
        <v>SUELDOS Y SALARIOS PERMANENTES</v>
      </c>
      <c r="K926" s="219" t="s">
        <v>1478</v>
      </c>
      <c r="L926" s="98" t="s">
        <v>394</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ref="K927:K958" si="30">$K$926</f>
        <v>Desarrollo del Sistema de Educación Superior</v>
      </c>
      <c r="L927" s="98" t="s">
        <v>412</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483</v>
      </c>
      <c r="D929" s="199"/>
      <c r="E929" s="152">
        <v>12</v>
      </c>
      <c r="F929" s="305">
        <f>HLOOKUP($C929,$BZ$2:$CM$3,2,0)</f>
        <v>39703.99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484</v>
      </c>
      <c r="D932" s="199"/>
      <c r="E932" s="152">
        <v>12</v>
      </c>
      <c r="F932" s="305">
        <f>HLOOKUP($C932,$BZ$2:$CM$3,2,0)</f>
        <v>35733.589999999997</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485</v>
      </c>
      <c r="D935" s="199"/>
      <c r="E935" s="152">
        <v>12</v>
      </c>
      <c r="F935" s="305">
        <f>HLOOKUP($C935,$BZ$2:$CM$3,2,0)</f>
        <v>31763.19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486</v>
      </c>
      <c r="D938" s="199"/>
      <c r="E938" s="152">
        <v>12</v>
      </c>
      <c r="F938" s="305">
        <f>HLOOKUP($C938,$BZ$2:$CM$3,2,0)</f>
        <v>29777.99</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487</v>
      </c>
      <c r="D941" s="199"/>
      <c r="E941" s="152">
        <v>12</v>
      </c>
      <c r="F941" s="305">
        <f>HLOOKUP($C941,$BZ$2:$CM$3,2,0)</f>
        <v>27792.79</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488</v>
      </c>
      <c r="D944" s="199"/>
      <c r="E944" s="152">
        <v>12</v>
      </c>
      <c r="F944" s="305">
        <f>HLOOKUP($C944,$BZ$2:$CM$3,2,0)</f>
        <v>18859.39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489</v>
      </c>
      <c r="D947" s="199"/>
      <c r="E947" s="152">
        <v>12</v>
      </c>
      <c r="F947" s="305">
        <f>HLOOKUP($C947,$BZ$2:$CM$3,2,0)</f>
        <v>17866.8</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490</v>
      </c>
      <c r="D950" s="199"/>
      <c r="E950" s="152">
        <v>12</v>
      </c>
      <c r="F950" s="305">
        <f>HLOOKUP($C950,$BZ$2:$CM$3,2,0)</f>
        <v>13896.4</v>
      </c>
      <c r="G950" s="113">
        <f>D950*E950*F950</f>
        <v>0</v>
      </c>
      <c r="H950" s="166"/>
      <c r="I950" s="114" t="s">
        <v>496</v>
      </c>
      <c r="J950" s="114" t="str">
        <f>VLOOKUP(I950,Presupuesto!$B$11:$C$565,2,0)</f>
        <v>SUELDOS Y SALARIOS PERMANENTES</v>
      </c>
      <c r="K950" s="98" t="str">
        <f t="shared" si="30"/>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0"/>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0"/>
        <v>Desarrollo del Sistema de Educación Superior</v>
      </c>
      <c r="L952" s="98" t="s">
        <v>395</v>
      </c>
    </row>
    <row r="953" spans="3:12" ht="15.75" thickBot="1">
      <c r="C953" s="137" t="s">
        <v>491</v>
      </c>
      <c r="D953" s="199"/>
      <c r="E953" s="152">
        <v>12</v>
      </c>
      <c r="F953" s="305">
        <f>HLOOKUP($C953,$BZ$2:$CM$3,2,0)</f>
        <v>15004.09</v>
      </c>
      <c r="G953" s="113">
        <f>D953*E953*F953</f>
        <v>0</v>
      </c>
      <c r="H953" s="166"/>
      <c r="I953" s="114" t="s">
        <v>496</v>
      </c>
      <c r="J953" s="114" t="str">
        <f>VLOOKUP(I953,Presupuesto!$B$11:$C$565,2,0)</f>
        <v>SUELDOS Y SALARIOS PERMANENTES</v>
      </c>
      <c r="K953" s="98" t="str">
        <f t="shared" si="30"/>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0"/>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0"/>
        <v>Desarrollo del Sistema de Educación Superior</v>
      </c>
      <c r="L955" s="98" t="s">
        <v>395</v>
      </c>
    </row>
    <row r="956" spans="3:12" ht="15.75" thickBot="1">
      <c r="C956" s="137" t="s">
        <v>492</v>
      </c>
      <c r="D956" s="199"/>
      <c r="E956" s="152">
        <v>12</v>
      </c>
      <c r="F956" s="305">
        <f>HLOOKUP($C956,$BZ$2:$CM$3,2,0)</f>
        <v>13238.9</v>
      </c>
      <c r="G956" s="113">
        <f>D956*E956*F956</f>
        <v>0</v>
      </c>
      <c r="H956" s="166"/>
      <c r="I956" s="114" t="s">
        <v>496</v>
      </c>
      <c r="J956" s="114" t="str">
        <f>VLOOKUP(I956,Presupuesto!$B$11:$C$565,2,0)</f>
        <v>SUELDOS Y SALARIOS PERMANENTES</v>
      </c>
      <c r="K956" s="98" t="str">
        <f t="shared" si="30"/>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0"/>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0"/>
        <v>Desarrollo del Sistema de Educación Superior</v>
      </c>
      <c r="L958" s="98" t="s">
        <v>395</v>
      </c>
    </row>
    <row r="959" spans="3:12" ht="15.75" thickBot="1">
      <c r="C959" s="137" t="s">
        <v>493</v>
      </c>
      <c r="D959" s="199"/>
      <c r="E959" s="152">
        <v>12</v>
      </c>
      <c r="F959" s="305">
        <f>HLOOKUP($C959,$BZ$2:$CM$3,2,0)</f>
        <v>12356.31</v>
      </c>
      <c r="G959" s="113">
        <f>D959*E959*F959</f>
        <v>0</v>
      </c>
      <c r="H959" s="166"/>
      <c r="I959" s="114" t="s">
        <v>496</v>
      </c>
      <c r="J959" s="114" t="str">
        <f>VLOOKUP(I959,Presupuesto!$B$11:$C$565,2,0)</f>
        <v>SUELDOS Y SALARIOS PERMANENTES</v>
      </c>
      <c r="K959" s="98" t="str">
        <f t="shared" ref="K959:K976" si="31">$K$926</f>
        <v>Desarrollo del Sistema de Educación Superior</v>
      </c>
      <c r="L959" s="98" t="s">
        <v>395</v>
      </c>
    </row>
    <row r="960" spans="3:12">
      <c r="C960" s="171" t="s">
        <v>58</v>
      </c>
      <c r="D960" s="163"/>
      <c r="E960" s="154">
        <v>0</v>
      </c>
      <c r="F960" s="100">
        <f>IF(E959=0,"",(G959/E959)/12*E959)</f>
        <v>0</v>
      </c>
      <c r="G960" s="97">
        <f>F960</f>
        <v>0</v>
      </c>
      <c r="H960" s="164"/>
      <c r="I960" s="116" t="s">
        <v>516</v>
      </c>
      <c r="J960" s="116" t="str">
        <f>VLOOKUP(I960,Presupuesto!$B$11:$C$565,2,0)</f>
        <v>AGUINALDO Y DECIMO CUARTO MES</v>
      </c>
      <c r="K960" s="98" t="str">
        <f t="shared" si="31"/>
        <v>Desarrollo del Sistema de Educación Superior</v>
      </c>
      <c r="L960" s="98" t="s">
        <v>395</v>
      </c>
    </row>
    <row r="961" spans="3:12" ht="15.75" thickBot="1">
      <c r="C961" s="172" t="s">
        <v>59</v>
      </c>
      <c r="D961" s="163"/>
      <c r="E961" s="154">
        <v>0</v>
      </c>
      <c r="F961" s="117">
        <f>IF(E959&lt;6,"",((E959-6)/12)*(G959/E959))</f>
        <v>0</v>
      </c>
      <c r="G961" s="97">
        <f>F961</f>
        <v>0</v>
      </c>
      <c r="H961" s="164"/>
      <c r="I961" s="101" t="s">
        <v>519</v>
      </c>
      <c r="J961" s="101" t="str">
        <f>VLOOKUP(I961,Presupuesto!$B$11:$C$565,2,0)</f>
        <v>DECIMOCUARTO MES</v>
      </c>
      <c r="K961" s="98" t="str">
        <f t="shared" si="31"/>
        <v>Desarrollo del Sistema de Educación Superior</v>
      </c>
      <c r="L961" s="98" t="s">
        <v>395</v>
      </c>
    </row>
    <row r="962" spans="3:12" ht="15.75" thickBot="1">
      <c r="C962" s="137" t="s">
        <v>494</v>
      </c>
      <c r="D962" s="199"/>
      <c r="E962" s="152">
        <v>12</v>
      </c>
      <c r="F962" s="305">
        <f>HLOOKUP($C962,$BZ$2:$CM$3,2,0)</f>
        <v>463.22</v>
      </c>
      <c r="G962" s="113">
        <f>D962*E962*F962</f>
        <v>0</v>
      </c>
      <c r="H962" s="166"/>
      <c r="I962" s="114" t="s">
        <v>496</v>
      </c>
      <c r="J962" s="114" t="str">
        <f>VLOOKUP(I962,Presupuesto!$B$11:$C$565,2,0)</f>
        <v>SUELDOS Y SALARIOS PERMANENTES</v>
      </c>
      <c r="K962" s="98" t="str">
        <f t="shared" si="31"/>
        <v>Desarrollo del Sistema de Educación Superior</v>
      </c>
      <c r="L962" s="98" t="s">
        <v>395</v>
      </c>
    </row>
    <row r="963" spans="3:12">
      <c r="C963" s="171" t="s">
        <v>58</v>
      </c>
      <c r="D963" s="163"/>
      <c r="E963" s="154">
        <v>0</v>
      </c>
      <c r="F963" s="100">
        <f>IF(E962=0,"",(G962/E962)/12*E962)</f>
        <v>0</v>
      </c>
      <c r="G963" s="97">
        <f>F963</f>
        <v>0</v>
      </c>
      <c r="H963" s="164"/>
      <c r="I963" s="116" t="s">
        <v>516</v>
      </c>
      <c r="J963" s="116" t="str">
        <f>VLOOKUP(I963,Presupuesto!$B$11:$C$565,2,0)</f>
        <v>AGUINALDO Y DECIMO CUARTO MES</v>
      </c>
      <c r="K963" s="98" t="str">
        <f t="shared" si="31"/>
        <v>Desarrollo del Sistema de Educación Superior</v>
      </c>
      <c r="L963" s="98" t="s">
        <v>395</v>
      </c>
    </row>
    <row r="964" spans="3:12" ht="15.75" thickBot="1">
      <c r="C964" s="172" t="s">
        <v>59</v>
      </c>
      <c r="D964" s="163"/>
      <c r="E964" s="154">
        <v>0</v>
      </c>
      <c r="F964" s="117">
        <f>IF(E962&lt;6,"",((E962-6)/12)*(G962/E962))</f>
        <v>0</v>
      </c>
      <c r="G964" s="97">
        <f>F964</f>
        <v>0</v>
      </c>
      <c r="H964" s="164"/>
      <c r="I964" s="101" t="s">
        <v>519</v>
      </c>
      <c r="J964" s="101" t="str">
        <f>VLOOKUP(I964,Presupuesto!$B$11:$C$565,2,0)</f>
        <v>DECIMOCUARTO MES</v>
      </c>
      <c r="K964" s="98" t="str">
        <f t="shared" si="31"/>
        <v>Desarrollo del Sistema de Educación Superior</v>
      </c>
      <c r="L964" s="98" t="s">
        <v>395</v>
      </c>
    </row>
    <row r="965" spans="3:12" ht="15.75" thickBot="1">
      <c r="C965" s="137" t="s">
        <v>495</v>
      </c>
      <c r="D965" s="199"/>
      <c r="E965" s="152">
        <v>12</v>
      </c>
      <c r="F965" s="305">
        <f>HLOOKUP($C965,$BZ$2:$CM$3,2,0)</f>
        <v>2007.3</v>
      </c>
      <c r="G965" s="113">
        <f>D965*E965*F965</f>
        <v>0</v>
      </c>
      <c r="H965" s="166"/>
      <c r="I965" s="114" t="s">
        <v>496</v>
      </c>
      <c r="J965" s="114" t="str">
        <f>VLOOKUP(I965,Presupuesto!$B$11:$C$565,2,0)</f>
        <v>SUELDOS Y SALARIOS PERMANENTES</v>
      </c>
      <c r="K965" s="98" t="str">
        <f t="shared" si="31"/>
        <v>Desarrollo del Sistema de Educación Superior</v>
      </c>
      <c r="L965" s="98" t="s">
        <v>395</v>
      </c>
    </row>
    <row r="966" spans="3:12">
      <c r="C966" s="171" t="s">
        <v>58</v>
      </c>
      <c r="D966" s="163"/>
      <c r="E966" s="154">
        <v>0</v>
      </c>
      <c r="F966" s="100">
        <f>IF(E965=0,"",(G965/E965)/12*E965)</f>
        <v>0</v>
      </c>
      <c r="G966" s="97">
        <f>F966</f>
        <v>0</v>
      </c>
      <c r="H966" s="164"/>
      <c r="I966" s="116" t="s">
        <v>516</v>
      </c>
      <c r="J966" s="116" t="str">
        <f>VLOOKUP(I966,Presupuesto!$B$11:$C$565,2,0)</f>
        <v>AGUINALDO Y DECIMO CUARTO MES</v>
      </c>
      <c r="K966" s="98" t="str">
        <f t="shared" si="31"/>
        <v>Desarrollo del Sistema de Educación Superior</v>
      </c>
      <c r="L966" s="98" t="s">
        <v>395</v>
      </c>
    </row>
    <row r="967" spans="3:12" ht="15.75" thickBot="1">
      <c r="C967" s="172" t="s">
        <v>59</v>
      </c>
      <c r="D967" s="163"/>
      <c r="E967" s="154">
        <v>0</v>
      </c>
      <c r="F967" s="117">
        <f>IF(E965&lt;6,"",((E965-6)/12)*(G965/E965))</f>
        <v>0</v>
      </c>
      <c r="G967" s="97">
        <f>F967</f>
        <v>0</v>
      </c>
      <c r="H967" s="164"/>
      <c r="I967" s="101" t="s">
        <v>519</v>
      </c>
      <c r="J967" s="101" t="str">
        <f>VLOOKUP(I967,Presupuesto!$B$11:$C$565,2,0)</f>
        <v>DECIMOCUARTO MES</v>
      </c>
      <c r="K967" s="98" t="str">
        <f t="shared" si="31"/>
        <v>Desarrollo del Sistema de Educación Superior</v>
      </c>
      <c r="L967" s="98" t="s">
        <v>395</v>
      </c>
    </row>
    <row r="968" spans="3:12" ht="15.75" thickBot="1">
      <c r="C968" s="140" t="s">
        <v>83</v>
      </c>
      <c r="D968" s="199"/>
      <c r="E968" s="152">
        <v>12</v>
      </c>
      <c r="F968" s="139">
        <v>30000</v>
      </c>
      <c r="G968" s="113">
        <f>D968*E968*F968</f>
        <v>0</v>
      </c>
      <c r="H968" s="166"/>
      <c r="I968" s="114" t="s">
        <v>564</v>
      </c>
      <c r="J968" s="114" t="str">
        <f>VLOOKUP(I968,Presupuesto!$B$11:$C$565,2,0)</f>
        <v>CONTRATOS ESPECIALES</v>
      </c>
      <c r="K968" s="98" t="str">
        <f t="shared" si="31"/>
        <v>Desarrollo del Sistema de Educación Superior</v>
      </c>
      <c r="L968" s="98" t="s">
        <v>395</v>
      </c>
    </row>
    <row r="969" spans="3:12">
      <c r="C969" s="171" t="s">
        <v>58</v>
      </c>
      <c r="D969" s="163"/>
      <c r="E969" s="154">
        <v>0</v>
      </c>
      <c r="F969" s="117">
        <f>IF(E968=0,"",(G968/E968)/12*E968)</f>
        <v>0</v>
      </c>
      <c r="G969" s="97">
        <f>F969</f>
        <v>0</v>
      </c>
      <c r="H969" s="164"/>
      <c r="I969" s="101" t="s">
        <v>564</v>
      </c>
      <c r="J969" s="101" t="str">
        <f>VLOOKUP(I969,Presupuesto!$B$11:$C$565,2,0)</f>
        <v>CONTRATOS ESPECIALES</v>
      </c>
      <c r="K969" s="98" t="str">
        <f t="shared" si="31"/>
        <v>Desarrollo del Sistema de Educación Superior</v>
      </c>
      <c r="L969" s="98" t="s">
        <v>394</v>
      </c>
    </row>
    <row r="970" spans="3:12" ht="15.75" thickBot="1">
      <c r="C970" s="172" t="s">
        <v>59</v>
      </c>
      <c r="D970" s="163"/>
      <c r="E970" s="154">
        <v>0</v>
      </c>
      <c r="F970" s="100">
        <f>IF(E968&lt;6,"",((E968-6)/12)*(G968/E968))</f>
        <v>0</v>
      </c>
      <c r="G970" s="97">
        <f>F970</f>
        <v>0</v>
      </c>
      <c r="H970" s="164"/>
      <c r="I970" s="101" t="s">
        <v>564</v>
      </c>
      <c r="J970" s="101" t="str">
        <f>VLOOKUP(I970,Presupuesto!$B$11:$C$565,2,0)</f>
        <v>CONTRATOS ESPECIALES</v>
      </c>
      <c r="K970" s="98" t="str">
        <f t="shared" si="31"/>
        <v>Desarrollo del Sistema de Educación Superior</v>
      </c>
      <c r="L970" s="98" t="s">
        <v>399</v>
      </c>
    </row>
    <row r="971" spans="3:12" ht="15.75" thickBot="1">
      <c r="C971" s="140" t="s">
        <v>60</v>
      </c>
      <c r="D971" s="199"/>
      <c r="E971" s="152">
        <v>12</v>
      </c>
      <c r="F971" s="118">
        <v>30000</v>
      </c>
      <c r="G971" s="113">
        <f>D971*E971*F971</f>
        <v>0</v>
      </c>
      <c r="H971" s="166"/>
      <c r="I971" s="114" t="s">
        <v>705</v>
      </c>
      <c r="J971" s="114" t="str">
        <f>VLOOKUP(I971,Presupuesto!$B$11:$C$565,2,0)</f>
        <v>OTROS SERVICIOS TECNICOS Y PROFESIONALES</v>
      </c>
      <c r="K971" s="98" t="str">
        <f t="shared" si="31"/>
        <v>Desarrollo del Sistema de Educación Superior</v>
      </c>
      <c r="L971" s="98" t="s">
        <v>394</v>
      </c>
    </row>
    <row r="972" spans="3:12">
      <c r="C972" s="171" t="s">
        <v>58</v>
      </c>
      <c r="D972" s="163"/>
      <c r="E972" s="154">
        <v>0</v>
      </c>
      <c r="F972" s="100">
        <v>0</v>
      </c>
      <c r="G972" s="97">
        <f>F972</f>
        <v>0</v>
      </c>
      <c r="H972" s="164"/>
      <c r="I972" s="101" t="s">
        <v>705</v>
      </c>
      <c r="J972" s="101" t="str">
        <f>VLOOKUP(I972,Presupuesto!$B$11:$C$565,2,0)</f>
        <v>OTROS SERVICIOS TECNICOS Y PROFESIONALES</v>
      </c>
      <c r="K972" s="98" t="str">
        <f t="shared" si="31"/>
        <v>Desarrollo del Sistema de Educación Superior</v>
      </c>
      <c r="L972" s="98" t="s">
        <v>394</v>
      </c>
    </row>
    <row r="973" spans="3:12" ht="15.75" thickBot="1">
      <c r="C973" s="172" t="s">
        <v>59</v>
      </c>
      <c r="D973" s="163"/>
      <c r="E973" s="154">
        <v>0</v>
      </c>
      <c r="F973" s="100">
        <v>0</v>
      </c>
      <c r="G973" s="97">
        <f>F973</f>
        <v>0</v>
      </c>
      <c r="H973" s="164"/>
      <c r="I973" s="101" t="s">
        <v>705</v>
      </c>
      <c r="J973" s="101" t="str">
        <f>VLOOKUP(I973,Presupuesto!$B$11:$C$565,2,0)</f>
        <v>OTROS SERVICIOS TECNICOS Y PROFESIONALES</v>
      </c>
      <c r="K973" s="98" t="str">
        <f t="shared" si="31"/>
        <v>Desarrollo del Sistema de Educación Superior</v>
      </c>
      <c r="L973" s="98" t="s">
        <v>394</v>
      </c>
    </row>
    <row r="974" spans="3:12" ht="15.75" thickBot="1">
      <c r="C974" s="140" t="s">
        <v>61</v>
      </c>
      <c r="D974" s="199"/>
      <c r="E974" s="152">
        <v>12</v>
      </c>
      <c r="F974" s="118">
        <v>30000</v>
      </c>
      <c r="G974" s="113">
        <f>D974*E974*F974</f>
        <v>0</v>
      </c>
      <c r="H974" s="166"/>
      <c r="I974" s="114" t="s">
        <v>496</v>
      </c>
      <c r="J974" s="114" t="str">
        <f>VLOOKUP(I974,Presupuesto!$B$11:$C$565,2,0)</f>
        <v>SUELDOS Y SALARIOS PERMANENTES</v>
      </c>
      <c r="K974" s="98" t="str">
        <f t="shared" si="31"/>
        <v>Desarrollo del Sistema de Educación Superior</v>
      </c>
      <c r="L974" s="98" t="s">
        <v>394</v>
      </c>
    </row>
    <row r="975" spans="3:12">
      <c r="C975" s="171" t="s">
        <v>58</v>
      </c>
      <c r="D975" s="169"/>
      <c r="E975" s="131">
        <v>0</v>
      </c>
      <c r="F975" s="119">
        <f>IF(E974=0,"",(G974/E974)/12*E974)</f>
        <v>0</v>
      </c>
      <c r="G975" s="120">
        <f>F975</f>
        <v>0</v>
      </c>
      <c r="H975" s="164"/>
      <c r="I975" s="101" t="s">
        <v>516</v>
      </c>
      <c r="J975" s="101" t="str">
        <f>VLOOKUP(I975,Presupuesto!$B$11:$C$565,2,0)</f>
        <v>AGUINALDO Y DECIMO CUARTO MES</v>
      </c>
      <c r="K975" s="98" t="str">
        <f t="shared" si="31"/>
        <v>Desarrollo del Sistema de Educación Superior</v>
      </c>
      <c r="L975" s="98" t="s">
        <v>394</v>
      </c>
    </row>
    <row r="976" spans="3:12" ht="15.75" thickBot="1">
      <c r="C976" s="173" t="s">
        <v>59</v>
      </c>
      <c r="D976" s="162"/>
      <c r="E976" s="132">
        <v>0</v>
      </c>
      <c r="F976" s="105">
        <f>IF(E974&lt;6,"",((E974-6)/12)*(G974/E974))</f>
        <v>0</v>
      </c>
      <c r="G976" s="105">
        <f>F976</f>
        <v>0</v>
      </c>
      <c r="H976" s="162"/>
      <c r="I976" s="106" t="s">
        <v>519</v>
      </c>
      <c r="J976" s="124" t="str">
        <f>VLOOKUP(I976,Presupuesto!$B$11:$C$565,2,0)</f>
        <v>DECIMOCUARTO MES</v>
      </c>
      <c r="K976" s="106" t="str">
        <f t="shared" si="31"/>
        <v>Desarrollo del Sistema de Educación Superior</v>
      </c>
      <c r="L976" s="124" t="s">
        <v>394</v>
      </c>
    </row>
  </sheetData>
  <conditionalFormatting sqref="E56">
    <cfRule type="cellIs" dxfId="16" priority="17" operator="greaterThan">
      <formula>12</formula>
    </cfRule>
  </conditionalFormatting>
  <conditionalFormatting sqref="E965">
    <cfRule type="cellIs" dxfId="15" priority="1" operator="greaterThan">
      <formula>12</formula>
    </cfRule>
  </conditionalFormatting>
  <conditionalFormatting sqref="E122">
    <cfRule type="cellIs" dxfId="14" priority="15" operator="greaterThan">
      <formula>12</formula>
    </cfRule>
  </conditionalFormatting>
  <conditionalFormatting sqref="E185">
    <cfRule type="cellIs" dxfId="13" priority="14" operator="greaterThan">
      <formula>12</formula>
    </cfRule>
  </conditionalFormatting>
  <conditionalFormatting sqref="E245">
    <cfRule type="cellIs" dxfId="12" priority="13" operator="greaterThan">
      <formula>12</formula>
    </cfRule>
  </conditionalFormatting>
  <conditionalFormatting sqref="E305">
    <cfRule type="cellIs" dxfId="11" priority="12" operator="greaterThan">
      <formula>12</formula>
    </cfRule>
  </conditionalFormatting>
  <conditionalFormatting sqref="E365">
    <cfRule type="cellIs" dxfId="10" priority="11" operator="greaterThan">
      <formula>12</formula>
    </cfRule>
  </conditionalFormatting>
  <conditionalFormatting sqref="E425">
    <cfRule type="cellIs" dxfId="9" priority="10" operator="greaterThan">
      <formula>12</formula>
    </cfRule>
  </conditionalFormatting>
  <conditionalFormatting sqref="E485">
    <cfRule type="cellIs" dxfId="8" priority="9" operator="greaterThan">
      <formula>12</formula>
    </cfRule>
  </conditionalFormatting>
  <conditionalFormatting sqref="E545">
    <cfRule type="cellIs" dxfId="7" priority="8" operator="greaterThan">
      <formula>12</formula>
    </cfRule>
  </conditionalFormatting>
  <conditionalFormatting sqref="E605">
    <cfRule type="cellIs" dxfId="6" priority="7" operator="greaterThan">
      <formula>12</formula>
    </cfRule>
  </conditionalFormatting>
  <conditionalFormatting sqref="E665">
    <cfRule type="cellIs" dxfId="5" priority="6" operator="greaterThan">
      <formula>12</formula>
    </cfRule>
  </conditionalFormatting>
  <conditionalFormatting sqref="E725">
    <cfRule type="cellIs" dxfId="4" priority="5" operator="greaterThan">
      <formula>12</formula>
    </cfRule>
  </conditionalFormatting>
  <conditionalFormatting sqref="E785">
    <cfRule type="cellIs" dxfId="3" priority="4" operator="greaterThan">
      <formula>12</formula>
    </cfRule>
  </conditionalFormatting>
  <conditionalFormatting sqref="E845">
    <cfRule type="cellIs" dxfId="2" priority="3" operator="greaterThan">
      <formula>12</formula>
    </cfRule>
  </conditionalFormatting>
  <conditionalFormatting sqref="E905">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46:H196 H206:H256 H266:H316 H326:H376 H386:H436 H446:H496 H506:H556 H566:H616 H626:H676 H686:H736 H746:H796 H806:H856 H866:H916 H926:H976 H17:H73 H83:H136">
      <formula1>$R$2:$S$2</formula1>
    </dataValidation>
    <dataValidation type="list" allowBlank="1" showInputMessage="1" showErrorMessage="1" errorTitle="¡Ingreso Inválido!" error="Seleccione una opción de la lista" promptTitle="Mes Requerido" prompt="Seleccione el mes en el que requiere el recurso." sqref="L146:L196 L206:L256 L266:L316 L326:L376 L386:L436 L446:L496 L506:L556 L566:L616 L626:L676 L686:L736 L746:L796 L806:L856 L866:L916 L926:L976 L83:L136 L17:L73">
      <formula1>$U$2:$AF$2</formula1>
    </dataValidation>
    <dataValidation type="list" allowBlank="1" showInputMessage="1" showErrorMessage="1" sqref="C17 C20 C23 C26 C29 C32 C35 C38 C41 C44 C47 C50 C53 C56 C83 C86 C89 C92 C95 C98 C101 C104 C107 C110 C113 C116 C119 C122 C146 C149 C152 C155 C158 C161 C164 C167 C170 C173 C176 C179 C182 C185 C206 C209 C212 C215 C218 C221 C224 C227 C230 C233 C236 C239 C242 C245 C266 C269 C272 C275 C278 C281 C284 C287 C290 C293 C296 C299 C302 C305 C326 C329 C332 C335 C338 C341 C344 C347 C350 C353 C356 C359 C362 C365 C386 C389 C392 C395 C398 C401 C404 C407 C410 C413 C416 C419 C422 C425 C446 C449 C452 C455 C458 C461 C464 C467 C470 C473 C476 C479 C482 C485 C506 C509 C512 C515 C518 C521 C524 C527 C530 C533 C536 C539 C542 C545 C566 C569 C572 C575 C578 C581 C584 C587 C590 C593 C596 C599 C602 C605 C626 C629 C632 C635 C638 C641 C644 C647 C650 C653 C656 C659 C662 C665 C686 C689 C692 C695 C698 C701 C704 C707 C710 C713 C716 C719 C722 C725 C746 C749 C752 C755 C758 C761 C764 C767 C770 C773 C776 C779 C782 C785 C806 C809 C812 C815 C818 C821 C824 C827 C830 C833 C836 C839 C842 C845 C866 C869 C872 C875 C878 C881 C884 C887 C890 C893 C896 C899 C902 C905 C926 C929 C932 C935 C938 C941 C944 C947 C950 C953 C956 C959 C962 C965">
      <formula1>$BZ$2:$CM$2</formula1>
    </dataValidation>
    <dataValidation type="list" allowBlank="1" showInputMessage="1" showErrorMessage="1" errorTitle="¡Ingreso Inválido!" error="Verifique el valor ingresado." sqref="I926:I976 I146:I196 I206:I256 I266:I316 I326:I376 I386:I436 I446:I496 I506:I556 I566:I616 I626:I676 I686:I736 I746:I796 I806:I856 I866:I916 I17:I73 I83:I136">
      <formula1>$A$1:$UI$1</formula1>
    </dataValidation>
    <dataValidation type="list" allowBlank="1" showInputMessage="1" showErrorMessage="1" errorTitle="¡Ingreso Inválido!" error="Seleccione una opción de la lista." promptTitle="Dimensión Estratégica" prompt="Seleccione una opción de la lista." sqref="K147:K196 K207:K256 K267:K316 K327:K376 K387:K436 K447:K496 K507:K556 K567:K616 K627:K676 K687:K736 K747:K796 K807:K856 K867:K916 K927:K976 K84:K136 K18:K73">
      <formula1>$A$2:$P$2</formula1>
    </dataValidation>
    <dataValidation type="list" allowBlank="1" showInputMessage="1" showErrorMessage="1" errorTitle="¡Ingreso Inválido!" error="Seleccione una opción de la lista." promptTitle="Dimensión Estratégica" prompt="Seleccione una opción de la lista." sqref="K17 K83 K146 K206 K266 K326 K386 K446 K506 K566 K626 K686 K746 K806 K866 K926">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19" zoomScale="84" zoomScaleNormal="84" workbookViewId="0">
      <selection activeCell="G26" sqref="G26"/>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4.7109375" style="86"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60">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985</v>
      </c>
      <c r="I17" s="98" t="str">
        <f>VLOOKUP(H17,Presupuesto!$B$11:$C$565,2,0)</f>
        <v>MUEBLES VARIOS DE OFICINA</v>
      </c>
      <c r="J17" s="219" t="s">
        <v>1453</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c r="B19" s="93"/>
      <c r="C19" s="99" t="s">
        <v>65</v>
      </c>
      <c r="D19" s="151"/>
      <c r="E19" s="100">
        <v>3000</v>
      </c>
      <c r="F19" s="97">
        <f t="shared" ref="F19:F26" si="1">D19*E19</f>
        <v>0</v>
      </c>
      <c r="G19" s="161"/>
      <c r="H19" s="101" t="s">
        <v>985</v>
      </c>
      <c r="I19" s="98" t="str">
        <f>VLOOKUP(H19,Presupuesto!$B$11:$C$565,2,0)</f>
        <v>MUEBLES VARIOS DE OFICINA</v>
      </c>
      <c r="J19" s="98" t="s">
        <v>1360</v>
      </c>
      <c r="K19" s="98" t="s">
        <v>402</v>
      </c>
    </row>
    <row r="20" spans="2:11">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c r="B27" s="93"/>
    </row>
    <row r="28" spans="2:11" ht="15.75" thickBot="1">
      <c r="B28" s="93"/>
      <c r="C28" s="337"/>
      <c r="D28" s="338"/>
      <c r="E28" s="339"/>
      <c r="F28" s="339"/>
      <c r="G28" s="340"/>
      <c r="H28" s="339"/>
      <c r="I28" s="339"/>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70"/>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985</v>
      </c>
      <c r="I36" s="98" t="str">
        <f>VLOOKUP(H36,Presupuesto!$B$11:$C$565,2,0)</f>
        <v>MUEBLES VARIOS DE OFICINA</v>
      </c>
      <c r="J36" s="219" t="s">
        <v>1453</v>
      </c>
      <c r="K36" s="98" t="s">
        <v>404</v>
      </c>
    </row>
    <row r="37" spans="3:11">
      <c r="C37" s="99" t="s">
        <v>64</v>
      </c>
      <c r="D37" s="151"/>
      <c r="E37" s="100">
        <v>2400</v>
      </c>
      <c r="F37" s="97">
        <f>D37*E37</f>
        <v>0</v>
      </c>
      <c r="G37" s="161"/>
      <c r="H37" s="101" t="s">
        <v>985</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70"/>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985</v>
      </c>
      <c r="I55" s="98" t="str">
        <f>VLOOKUP(H55,Presupuesto!$B$11:$C$565,2,0)</f>
        <v>MUEBLES VARIOS DE OFICINA</v>
      </c>
      <c r="J55" s="219" t="s">
        <v>1453</v>
      </c>
      <c r="K55" s="98" t="s">
        <v>404</v>
      </c>
    </row>
    <row r="56" spans="3:11">
      <c r="C56" s="99" t="s">
        <v>64</v>
      </c>
      <c r="D56" s="151"/>
      <c r="E56" s="100">
        <v>2400</v>
      </c>
      <c r="F56" s="97">
        <f>D56*E56</f>
        <v>0</v>
      </c>
      <c r="G56" s="161"/>
      <c r="H56" s="101" t="s">
        <v>985</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c r="C66" s="337"/>
      <c r="D66" s="338"/>
      <c r="E66" s="339"/>
      <c r="F66" s="339"/>
      <c r="G66" s="340"/>
      <c r="H66" s="339"/>
      <c r="I66" s="339"/>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70"/>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985</v>
      </c>
      <c r="I74" s="98" t="str">
        <f>VLOOKUP(H74,Presupuesto!$B$11:$C$565,2,0)</f>
        <v>MUEBLES VARIOS DE OFICINA</v>
      </c>
      <c r="J74" s="219" t="s">
        <v>1453</v>
      </c>
      <c r="K74" s="98" t="s">
        <v>404</v>
      </c>
    </row>
    <row r="75" spans="3:11">
      <c r="C75" s="99" t="s">
        <v>64</v>
      </c>
      <c r="D75" s="151"/>
      <c r="E75" s="100">
        <v>2400</v>
      </c>
      <c r="F75" s="97">
        <f>D75*E75</f>
        <v>0</v>
      </c>
      <c r="G75" s="161"/>
      <c r="H75" s="101" t="s">
        <v>985</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70"/>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985</v>
      </c>
      <c r="I93" s="98" t="str">
        <f>VLOOKUP(H93,Presupuesto!$B$11:$C$565,2,0)</f>
        <v>MUEBLES VARIOS DE OFICINA</v>
      </c>
      <c r="J93" s="219" t="s">
        <v>1453</v>
      </c>
      <c r="K93" s="98" t="s">
        <v>404</v>
      </c>
    </row>
    <row r="94" spans="3:11">
      <c r="C94" s="99" t="s">
        <v>64</v>
      </c>
      <c r="D94" s="151"/>
      <c r="E94" s="100">
        <v>2400</v>
      </c>
      <c r="F94" s="97">
        <f>D94*E94</f>
        <v>0</v>
      </c>
      <c r="G94" s="161"/>
      <c r="H94" s="101" t="s">
        <v>985</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c r="C104" s="337"/>
      <c r="D104" s="338"/>
      <c r="E104" s="339"/>
      <c r="F104" s="339"/>
      <c r="G104" s="340"/>
      <c r="H104" s="339"/>
      <c r="I104" s="339"/>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70"/>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985</v>
      </c>
      <c r="I112" s="98" t="str">
        <f>VLOOKUP(H112,Presupuesto!$B$11:$C$565,2,0)</f>
        <v>MUEBLES VARIOS DE OFICINA</v>
      </c>
      <c r="J112" s="219" t="s">
        <v>1453</v>
      </c>
      <c r="K112" s="98" t="s">
        <v>404</v>
      </c>
    </row>
    <row r="113" spans="3:11">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70"/>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985</v>
      </c>
      <c r="I131" s="98" t="str">
        <f>VLOOKUP(H131,Presupuesto!$B$11:$C$565,2,0)</f>
        <v>MUEBLES VARIOS DE OFICINA</v>
      </c>
      <c r="J131" s="219" t="s">
        <v>1453</v>
      </c>
      <c r="K131" s="98" t="s">
        <v>404</v>
      </c>
    </row>
    <row r="132" spans="3:11">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c r="C142" s="337"/>
      <c r="D142" s="338"/>
      <c r="E142" s="339"/>
      <c r="F142" s="339"/>
      <c r="G142" s="340"/>
      <c r="H142" s="339"/>
      <c r="I142" s="339"/>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70"/>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985</v>
      </c>
      <c r="I150" s="98" t="str">
        <f>VLOOKUP(H150,Presupuesto!$B$11:$C$565,2,0)</f>
        <v>MUEBLES VARIOS DE OFICINA</v>
      </c>
      <c r="J150" s="219" t="s">
        <v>1453</v>
      </c>
      <c r="K150" s="98" t="s">
        <v>404</v>
      </c>
    </row>
    <row r="151" spans="3:11">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70"/>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985</v>
      </c>
      <c r="I169" s="98" t="str">
        <f>VLOOKUP(H169,Presupuesto!$B$11:$C$565,2,0)</f>
        <v>MUEBLES VARIOS DE OFICINA</v>
      </c>
      <c r="J169" s="219" t="s">
        <v>1453</v>
      </c>
      <c r="K169" s="98" t="s">
        <v>404</v>
      </c>
    </row>
    <row r="170" spans="3:11">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c r="C180" s="337"/>
      <c r="D180" s="338"/>
      <c r="E180" s="339"/>
      <c r="F180" s="339"/>
      <c r="G180" s="340"/>
      <c r="H180" s="339"/>
      <c r="I180" s="339"/>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70"/>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985</v>
      </c>
      <c r="I188" s="98" t="str">
        <f>VLOOKUP(H188,Presupuesto!$B$11:$C$565,2,0)</f>
        <v>MUEBLES VARIOS DE OFICINA</v>
      </c>
      <c r="J188" s="219" t="s">
        <v>1453</v>
      </c>
      <c r="K188" s="98" t="s">
        <v>404</v>
      </c>
    </row>
    <row r="189" spans="3:11">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70"/>
      <c r="E203" s="93"/>
      <c r="F203" s="93"/>
      <c r="G203" s="93"/>
      <c r="H203" s="76"/>
      <c r="I203" s="76"/>
      <c r="J203" s="76"/>
      <c r="K203" s="112"/>
    </row>
    <row r="204" spans="3:11"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985</v>
      </c>
      <c r="I207" s="98" t="str">
        <f>VLOOKUP(H207,Presupuesto!$B$11:$C$565,2,0)</f>
        <v>MUEBLES VARIOS DE OFICINA</v>
      </c>
      <c r="J207" s="219" t="s">
        <v>1453</v>
      </c>
      <c r="K207" s="98" t="s">
        <v>404</v>
      </c>
    </row>
    <row r="208" spans="3:11">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c r="C218" s="337"/>
      <c r="D218" s="338"/>
      <c r="E218" s="339"/>
      <c r="F218" s="339"/>
      <c r="G218" s="340"/>
      <c r="H218" s="339"/>
      <c r="I218" s="339"/>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70"/>
      <c r="E222" s="93"/>
      <c r="F222" s="93"/>
      <c r="G222" s="93"/>
      <c r="H222" s="76"/>
      <c r="I222" s="76"/>
      <c r="J222" s="76"/>
      <c r="K222" s="112"/>
    </row>
    <row r="223" spans="3:11"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985</v>
      </c>
      <c r="I226" s="98" t="str">
        <f>VLOOKUP(H226,Presupuesto!$B$11:$C$565,2,0)</f>
        <v>MUEBLES VARIOS DE OFICINA</v>
      </c>
      <c r="J226" s="219" t="s">
        <v>1478</v>
      </c>
      <c r="K226" s="98" t="s">
        <v>404</v>
      </c>
    </row>
    <row r="227" spans="3:11">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93:G102 G112:G121 G131:G140 G150:G159 G169:G178 G188:G197 G207:G216 G17:G26">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4"/>
  <sheetViews>
    <sheetView showGridLines="0" topLeftCell="B4" workbookViewId="0">
      <selection activeCell="F59" sqref="F59"/>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c r="CB2" s="122" t="s">
        <v>1337</v>
      </c>
      <c r="CC2" s="122" t="s">
        <v>1338</v>
      </c>
      <c r="CD2" s="122" t="s">
        <v>1336</v>
      </c>
      <c r="CE2" s="122" t="s">
        <v>1339</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c r="CB3" s="86">
        <v>35000</v>
      </c>
      <c r="CC3" s="86">
        <v>15000</v>
      </c>
      <c r="CD3" s="86">
        <v>35000</v>
      </c>
      <c r="CE3" s="86">
        <v>15000</v>
      </c>
    </row>
    <row r="4" spans="1:555" ht="15.75" thickBot="1"/>
    <row r="5" spans="1:555" ht="53.25" thickBot="1">
      <c r="C5" s="87" t="s">
        <v>383</v>
      </c>
      <c r="D5" s="198">
        <f>SUMIF(C:C,$C$10,D:D)</f>
        <v>250000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60000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f>'17. Gestión TIC'!E50</f>
        <v>17.100000000000001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adquirir un software para manejo de la coleccion patrimonial por la UNAH</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6" t="s">
        <v>1339</v>
      </c>
      <c r="D17" s="158"/>
      <c r="E17" s="96">
        <f>HLOOKUP($C17,$CB$2:$CE$3,2,0)</f>
        <v>15000</v>
      </c>
      <c r="F17" s="97">
        <f>D17*E17</f>
        <v>0</v>
      </c>
      <c r="G17" s="165"/>
      <c r="H17" s="98" t="s">
        <v>1014</v>
      </c>
      <c r="I17" s="98" t="str">
        <f>VLOOKUP(H17,Presupuesto!$B$11:$C$565,2,0)</f>
        <v>EQUIPO DE COMPUTACION</v>
      </c>
      <c r="J17" s="219" t="s">
        <v>1453</v>
      </c>
      <c r="K17" s="98" t="s">
        <v>394</v>
      </c>
      <c r="L17" s="98"/>
    </row>
    <row r="18" spans="2:12">
      <c r="B18" s="93"/>
      <c r="C18" s="306" t="s">
        <v>1337</v>
      </c>
      <c r="D18" s="151"/>
      <c r="E18" s="96">
        <f>HLOOKUP($C18,$CB$2:$CE$3,2,0)</f>
        <v>35000</v>
      </c>
      <c r="F18" s="97">
        <f>D18*E18</f>
        <v>0</v>
      </c>
      <c r="G18" s="165"/>
      <c r="H18" s="101" t="s">
        <v>1014</v>
      </c>
      <c r="I18" s="101" t="str">
        <f>VLOOKUP(H18,Presupuesto!$B$11:$C$565,2,0)</f>
        <v>EQUIPO DE COMPUTACION</v>
      </c>
      <c r="J18" s="98" t="s">
        <v>1360</v>
      </c>
      <c r="K18" s="98" t="s">
        <v>401</v>
      </c>
      <c r="L18" s="98"/>
    </row>
    <row r="19" spans="2:12">
      <c r="B19" s="93"/>
      <c r="C19" s="99" t="s">
        <v>73</v>
      </c>
      <c r="D19" s="151"/>
      <c r="E19" s="100">
        <v>4000</v>
      </c>
      <c r="F19" s="97">
        <f t="shared" ref="F19:F30" si="0">D19*E19</f>
        <v>0</v>
      </c>
      <c r="G19" s="165"/>
      <c r="H19" s="101" t="s">
        <v>986</v>
      </c>
      <c r="I19" s="101" t="str">
        <f>VLOOKUP(H19,Presupuesto!$B$11:$C$565,2,0)</f>
        <v>EQUIPOS VARIOS DE OFICINA</v>
      </c>
      <c r="J19" s="98" t="str">
        <f t="shared" ref="J19:J29" si="1">$J$17</f>
        <v>Posgrado</v>
      </c>
      <c r="K19" s="98" t="s">
        <v>395</v>
      </c>
      <c r="L19" s="98"/>
    </row>
    <row r="20" spans="2:12">
      <c r="B20" s="93"/>
      <c r="C20" s="99" t="s">
        <v>74</v>
      </c>
      <c r="D20" s="151"/>
      <c r="E20" s="100">
        <v>8000</v>
      </c>
      <c r="F20" s="97">
        <f t="shared" si="0"/>
        <v>0</v>
      </c>
      <c r="G20" s="165"/>
      <c r="H20" s="101" t="s">
        <v>1014</v>
      </c>
      <c r="I20" s="101" t="str">
        <f>VLOOKUP(H20,Presupuesto!$B$11:$C$565,2,0)</f>
        <v>EQUIPO DE COMPUTACION</v>
      </c>
      <c r="J20" s="98" t="str">
        <f t="shared" si="1"/>
        <v>Posgrado</v>
      </c>
      <c r="K20" s="98" t="s">
        <v>395</v>
      </c>
      <c r="L20" s="98"/>
    </row>
    <row r="21" spans="2:12">
      <c r="B21" s="93"/>
      <c r="C21" s="99" t="s">
        <v>75</v>
      </c>
      <c r="D21" s="151"/>
      <c r="E21" s="100">
        <v>5000</v>
      </c>
      <c r="F21" s="97">
        <f t="shared" si="0"/>
        <v>0</v>
      </c>
      <c r="G21" s="165"/>
      <c r="H21" s="101" t="s">
        <v>1014</v>
      </c>
      <c r="I21" s="101" t="str">
        <f>VLOOKUP(H21,Presupuesto!$B$11:$C$565,2,0)</f>
        <v>EQUIPO DE COMPUTACION</v>
      </c>
      <c r="J21" s="98" t="str">
        <f t="shared" si="1"/>
        <v>Posgrado</v>
      </c>
      <c r="K21" s="98" t="s">
        <v>395</v>
      </c>
      <c r="L21" s="98"/>
    </row>
    <row r="22" spans="2:12">
      <c r="B22" s="93"/>
      <c r="C22" s="99" t="s">
        <v>35</v>
      </c>
      <c r="D22" s="151"/>
      <c r="E22" s="100">
        <v>13000</v>
      </c>
      <c r="F22" s="97">
        <f t="shared" si="0"/>
        <v>0</v>
      </c>
      <c r="G22" s="165"/>
      <c r="H22" s="101" t="s">
        <v>1000</v>
      </c>
      <c r="I22" s="101" t="str">
        <f>VLOOKUP(H22,Presupuesto!$B$11:$C$565,2,0)</f>
        <v>EQUIPO DE TRANSPORTE TRACCION Y ELEVACION</v>
      </c>
      <c r="J22" s="98" t="str">
        <f t="shared" si="1"/>
        <v>Posgrado</v>
      </c>
      <c r="K22" s="98" t="s">
        <v>395</v>
      </c>
      <c r="L22" s="98"/>
    </row>
    <row r="23" spans="2:12">
      <c r="B23" s="93"/>
      <c r="C23" s="99" t="s">
        <v>76</v>
      </c>
      <c r="D23" s="151"/>
      <c r="E23" s="100">
        <v>15000</v>
      </c>
      <c r="F23" s="97">
        <f t="shared" si="0"/>
        <v>0</v>
      </c>
      <c r="G23" s="165"/>
      <c r="H23" s="101" t="s">
        <v>1000</v>
      </c>
      <c r="I23" s="101" t="str">
        <f>VLOOKUP(H23,Presupuesto!$B$11:$C$565,2,0)</f>
        <v>EQUIPO DE TRANSPORTE TRACCION Y ELEVACION</v>
      </c>
      <c r="J23" s="98" t="str">
        <f t="shared" si="1"/>
        <v>Posgrado</v>
      </c>
      <c r="K23" s="98" t="s">
        <v>395</v>
      </c>
      <c r="L23" s="98"/>
    </row>
    <row r="24" spans="2:12">
      <c r="B24" s="93"/>
      <c r="C24" s="99" t="s">
        <v>77</v>
      </c>
      <c r="D24" s="151"/>
      <c r="E24" s="100">
        <v>10000</v>
      </c>
      <c r="F24" s="97">
        <f t="shared" si="0"/>
        <v>0</v>
      </c>
      <c r="G24" s="165"/>
      <c r="H24" s="101" t="s">
        <v>1000</v>
      </c>
      <c r="I24" s="101" t="str">
        <f>VLOOKUP(H24,Presupuesto!$B$11:$C$565,2,0)</f>
        <v>EQUIPO DE TRANSPORTE TRACCION Y ELEVACION</v>
      </c>
      <c r="J24" s="98" t="str">
        <f t="shared" si="1"/>
        <v>Posgrado</v>
      </c>
      <c r="K24" s="98" t="s">
        <v>403</v>
      </c>
      <c r="L24" s="98"/>
    </row>
    <row r="25" spans="2:12">
      <c r="C25" s="99" t="s">
        <v>78</v>
      </c>
      <c r="D25" s="151">
        <v>1</v>
      </c>
      <c r="E25" s="100">
        <v>60000</v>
      </c>
      <c r="F25" s="97">
        <f t="shared" si="0"/>
        <v>60000</v>
      </c>
      <c r="G25" s="165" t="s">
        <v>1508</v>
      </c>
      <c r="H25" s="101" t="s">
        <v>1046</v>
      </c>
      <c r="I25" s="101" t="str">
        <f>VLOOKUP(H25,Presupuesto!$B$11:$C$565,2,0)</f>
        <v>APLICACIONES INFORMATICAS</v>
      </c>
      <c r="J25" s="98" t="str">
        <f t="shared" si="1"/>
        <v>Posgrado</v>
      </c>
      <c r="K25" s="98" t="s">
        <v>399</v>
      </c>
      <c r="L25" s="98"/>
    </row>
    <row r="26" spans="2:12">
      <c r="C26" s="109" t="s">
        <v>79</v>
      </c>
      <c r="D26" s="151"/>
      <c r="E26" s="100">
        <v>2000</v>
      </c>
      <c r="F26" s="97">
        <f t="shared" si="0"/>
        <v>0</v>
      </c>
      <c r="G26" s="165"/>
      <c r="H26" s="110" t="s">
        <v>1014</v>
      </c>
      <c r="I26" s="110" t="str">
        <f>VLOOKUP(H26,Presupuesto!$B$11:$C$565,2,0)</f>
        <v>EQUIPO DE COMPUTACION</v>
      </c>
      <c r="J26" s="98" t="str">
        <f t="shared" si="1"/>
        <v>Posgrado</v>
      </c>
      <c r="K26" s="98" t="s">
        <v>395</v>
      </c>
      <c r="L26" s="98"/>
    </row>
    <row r="27" spans="2:12">
      <c r="C27" s="109" t="s">
        <v>1481</v>
      </c>
      <c r="D27" s="151"/>
      <c r="E27" s="100">
        <v>1500</v>
      </c>
      <c r="F27" s="97">
        <f t="shared" si="0"/>
        <v>0</v>
      </c>
      <c r="G27" s="165"/>
      <c r="H27" s="110" t="s">
        <v>946</v>
      </c>
      <c r="I27" s="110" t="str">
        <f>VLOOKUP(H27,Presupuesto!$B$11:$C$565,2,0)</f>
        <v>UTILES Y MATERIALES ELECTRICOS</v>
      </c>
      <c r="J27" s="98" t="str">
        <f t="shared" si="1"/>
        <v>Posgrado</v>
      </c>
      <c r="K27" s="98" t="s">
        <v>395</v>
      </c>
      <c r="L27" s="98"/>
    </row>
    <row r="28" spans="2:12">
      <c r="C28" s="109" t="s">
        <v>80</v>
      </c>
      <c r="D28" s="151"/>
      <c r="E28" s="100">
        <v>1500</v>
      </c>
      <c r="F28" s="97">
        <f t="shared" si="0"/>
        <v>0</v>
      </c>
      <c r="G28" s="165"/>
      <c r="H28" s="110" t="s">
        <v>1014</v>
      </c>
      <c r="I28" s="110" t="str">
        <f>VLOOKUP(H28,Presupuesto!$B$11:$C$565,2,0)</f>
        <v>EQUIPO DE COMPUTACION</v>
      </c>
      <c r="J28" s="98" t="str">
        <f t="shared" si="1"/>
        <v>Posgrado</v>
      </c>
      <c r="K28" s="98" t="s">
        <v>395</v>
      </c>
      <c r="L28" s="98"/>
    </row>
    <row r="29" spans="2:12">
      <c r="C29" s="109" t="s">
        <v>81</v>
      </c>
      <c r="D29" s="151"/>
      <c r="E29" s="100">
        <v>500</v>
      </c>
      <c r="F29" s="97">
        <f t="shared" si="0"/>
        <v>0</v>
      </c>
      <c r="G29" s="165"/>
      <c r="H29" s="110" t="s">
        <v>955</v>
      </c>
      <c r="I29" s="110" t="str">
        <f>VLOOKUP(H29,Presupuesto!$B$11:$C$565,2,0)</f>
        <v>OTROS RESPUESTOS Y ACCESORIOS MENORES</v>
      </c>
      <c r="J29" s="98" t="str">
        <f t="shared" si="1"/>
        <v>Posgrado</v>
      </c>
      <c r="K29" s="98" t="s">
        <v>395</v>
      </c>
      <c r="L29" s="98"/>
    </row>
    <row r="30" spans="2:12" ht="15.75" thickBot="1">
      <c r="B30" s="93"/>
      <c r="C30" s="102" t="s">
        <v>82</v>
      </c>
      <c r="D30" s="159"/>
      <c r="E30" s="104">
        <v>20</v>
      </c>
      <c r="F30" s="105">
        <f t="shared" si="0"/>
        <v>0</v>
      </c>
      <c r="G30" s="162"/>
      <c r="H30" s="106" t="s">
        <v>955</v>
      </c>
      <c r="I30" s="106" t="str">
        <f>VLOOKUP(H30,Presupuesto!$B$11:$C$565,2,0)</f>
        <v>OTROS RESPUESTOS Y ACCESORIOS MENORES</v>
      </c>
      <c r="J30" s="106" t="str">
        <f t="shared" ref="J30" si="2">$J$17</f>
        <v>Posgrado</v>
      </c>
      <c r="K30" s="124" t="s">
        <v>394</v>
      </c>
      <c r="L30" s="124"/>
    </row>
    <row r="31" spans="2:12">
      <c r="B31" s="93"/>
      <c r="F31" s="93"/>
      <c r="G31" s="76"/>
      <c r="H31" s="76"/>
      <c r="I31" s="76"/>
    </row>
    <row r="32" spans="2:12" ht="15.75" thickBot="1"/>
    <row r="33" spans="3:12" ht="15.75" thickBot="1">
      <c r="C33" s="29" t="s">
        <v>43</v>
      </c>
      <c r="D33" s="108">
        <f>SUM(F40:F54)</f>
        <v>120000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70">
        <f>'17. Gestión TIC'!E51</f>
        <v>17.2</v>
      </c>
      <c r="E36" s="93"/>
      <c r="F36" s="93"/>
      <c r="G36" s="93"/>
      <c r="H36" s="76"/>
      <c r="I36" s="76"/>
      <c r="J36" s="76"/>
      <c r="K36" s="112"/>
    </row>
    <row r="37" spans="3:12" ht="18.7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adquision de equipo de sonido con microfonos para mejora en la comunicación de eventos</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306" t="s">
        <v>1339</v>
      </c>
      <c r="D40" s="158"/>
      <c r="E40" s="96">
        <f>HLOOKUP($C40,$CB$2:$CE$3,2,0)</f>
        <v>15000</v>
      </c>
      <c r="F40" s="97">
        <f>D40*E40</f>
        <v>0</v>
      </c>
      <c r="G40" s="165"/>
      <c r="H40" s="98" t="s">
        <v>1014</v>
      </c>
      <c r="I40" s="98" t="str">
        <f>VLOOKUP(H40,Presupuesto!$B$11:$C$565,2,0)</f>
        <v>EQUIPO DE COMPUTACION</v>
      </c>
      <c r="J40" s="219" t="s">
        <v>1453</v>
      </c>
      <c r="K40" s="98" t="s">
        <v>394</v>
      </c>
      <c r="L40" s="98"/>
    </row>
    <row r="41" spans="3:12">
      <c r="C41" s="306" t="s">
        <v>1337</v>
      </c>
      <c r="D41" s="151"/>
      <c r="E41" s="96">
        <f>HLOOKUP($C41,$CB$2:$CE$3,2,0)</f>
        <v>35000</v>
      </c>
      <c r="F41" s="97">
        <f>D41*E41</f>
        <v>0</v>
      </c>
      <c r="G41" s="165"/>
      <c r="H41" s="101" t="s">
        <v>1014</v>
      </c>
      <c r="I41" s="101" t="str">
        <f>VLOOKUP(H41,Presupuesto!$B$11:$C$565,2,0)</f>
        <v>EQUIPO DE COMPUTACION</v>
      </c>
      <c r="J41" s="98" t="str">
        <f>$J$40</f>
        <v>Posgrado</v>
      </c>
      <c r="K41" s="98" t="s">
        <v>402</v>
      </c>
      <c r="L41" s="98"/>
    </row>
    <row r="42" spans="3:12">
      <c r="C42" s="99" t="s">
        <v>73</v>
      </c>
      <c r="D42" s="151"/>
      <c r="E42" s="100">
        <v>4000</v>
      </c>
      <c r="F42" s="97">
        <f t="shared" ref="F42:F54" si="3">D42*E42</f>
        <v>0</v>
      </c>
      <c r="G42" s="165"/>
      <c r="H42" s="101" t="s">
        <v>986</v>
      </c>
      <c r="I42" s="101" t="str">
        <f>VLOOKUP(H42,Presupuesto!$B$11:$C$565,2,0)</f>
        <v>EQUIPOS VARIOS DE OFICINA</v>
      </c>
      <c r="J42" s="98" t="str">
        <f t="shared" ref="J42:J54" si="4">$J$40</f>
        <v>Posgrado</v>
      </c>
      <c r="K42" s="98" t="s">
        <v>395</v>
      </c>
      <c r="L42" s="98"/>
    </row>
    <row r="43" spans="3:12">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c r="C47" s="99" t="s">
        <v>77</v>
      </c>
      <c r="D47" s="151"/>
      <c r="E47" s="100">
        <v>10000</v>
      </c>
      <c r="F47" s="97">
        <f t="shared" si="3"/>
        <v>0</v>
      </c>
      <c r="G47" s="165"/>
      <c r="H47" s="101" t="s">
        <v>1000</v>
      </c>
      <c r="I47" s="101" t="str">
        <f>VLOOKUP(H47,Presupuesto!$B$11:$C$565,2,0)</f>
        <v>EQUIPO DE TRANSPORTE TRACCION Y ELEVACION</v>
      </c>
      <c r="J47" s="98" t="s">
        <v>1453</v>
      </c>
      <c r="K47" s="98" t="s">
        <v>403</v>
      </c>
      <c r="L47" s="98"/>
    </row>
    <row r="48" spans="3:12">
      <c r="C48" s="99" t="s">
        <v>78</v>
      </c>
      <c r="D48" s="151"/>
      <c r="E48" s="100">
        <v>60000</v>
      </c>
      <c r="F48" s="97">
        <f t="shared" si="3"/>
        <v>0</v>
      </c>
      <c r="G48" s="165"/>
      <c r="H48" s="101" t="s">
        <v>1046</v>
      </c>
      <c r="I48" s="101" t="str">
        <f>VLOOKUP(H48,Presupuesto!$B$11:$C$565,2,0)</f>
        <v>APLICACIONES INFORMATICAS</v>
      </c>
      <c r="J48" s="98" t="s">
        <v>1453</v>
      </c>
      <c r="K48" s="98" t="s">
        <v>397</v>
      </c>
      <c r="L48" s="98"/>
    </row>
    <row r="49" spans="3:12">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c r="C50" s="109" t="s">
        <v>1481</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s="465" customFormat="1">
      <c r="C52" s="109" t="s">
        <v>1656</v>
      </c>
      <c r="D52" s="151">
        <v>1</v>
      </c>
      <c r="E52" s="100">
        <v>120000</v>
      </c>
      <c r="F52" s="97">
        <f t="shared" ref="F52" si="5">D52*E52</f>
        <v>120000</v>
      </c>
      <c r="G52" s="165" t="s">
        <v>1508</v>
      </c>
      <c r="H52" s="110" t="s">
        <v>1006</v>
      </c>
      <c r="I52" s="110" t="str">
        <f>VLOOKUP(H52,Presupuesto!$B$11:$C$565,2,0)</f>
        <v>EQUIPO DE COMUNICACIàN Y SE¥ALAMIENTO</v>
      </c>
      <c r="J52" s="98" t="s">
        <v>1360</v>
      </c>
      <c r="K52" s="98" t="s">
        <v>396</v>
      </c>
      <c r="L52" s="98"/>
    </row>
    <row r="53" spans="3:12">
      <c r="C53" s="109" t="s">
        <v>81</v>
      </c>
      <c r="D53" s="151"/>
      <c r="E53" s="100">
        <v>500</v>
      </c>
      <c r="F53" s="97">
        <f t="shared" si="3"/>
        <v>0</v>
      </c>
      <c r="G53" s="165"/>
      <c r="H53" s="110" t="s">
        <v>955</v>
      </c>
      <c r="I53" s="110" t="str">
        <f>VLOOKUP(H53,Presupuesto!$B$11:$C$565,2,0)</f>
        <v>OTROS RESPUESTOS Y ACCESORIOS MENORES</v>
      </c>
      <c r="J53" s="98" t="str">
        <f t="shared" si="4"/>
        <v>Posgrado</v>
      </c>
      <c r="K53" s="98" t="s">
        <v>395</v>
      </c>
      <c r="L53" s="98"/>
    </row>
    <row r="54" spans="3:12" ht="15.75" thickBot="1">
      <c r="C54" s="102" t="s">
        <v>82</v>
      </c>
      <c r="D54" s="159"/>
      <c r="E54" s="104">
        <v>20</v>
      </c>
      <c r="F54" s="105">
        <f t="shared" si="3"/>
        <v>0</v>
      </c>
      <c r="G54" s="162"/>
      <c r="H54" s="106" t="s">
        <v>955</v>
      </c>
      <c r="I54" s="106" t="str">
        <f>VLOOKUP(H54,Presupuesto!$B$11:$C$565,2,0)</f>
        <v>OTROS RESPUESTOS Y ACCESORIOS MENORES</v>
      </c>
      <c r="J54" s="106" t="str">
        <f t="shared" si="4"/>
        <v>Posgrado</v>
      </c>
      <c r="K54" s="124" t="s">
        <v>394</v>
      </c>
      <c r="L54" s="124"/>
    </row>
    <row r="56" spans="3:12" ht="15.75" thickBot="1"/>
    <row r="57" spans="3:12" ht="15.75" thickBot="1">
      <c r="C57" s="29" t="s">
        <v>43</v>
      </c>
      <c r="D57" s="108">
        <f>SUM(F64:F77)</f>
        <v>70000</v>
      </c>
      <c r="F57" s="70"/>
      <c r="G57" s="79"/>
      <c r="H57" s="70"/>
      <c r="I57" s="70"/>
    </row>
    <row r="58" spans="3:12">
      <c r="C58" s="70"/>
      <c r="D58" s="31"/>
      <c r="E58" s="93"/>
      <c r="F58" s="93"/>
      <c r="G58" s="93"/>
      <c r="H58" s="76"/>
      <c r="I58" s="76"/>
      <c r="J58" s="76"/>
      <c r="K58" s="112"/>
    </row>
    <row r="59" spans="3:12">
      <c r="C59" s="70"/>
      <c r="D59" s="31"/>
      <c r="E59" s="93"/>
      <c r="F59" s="93"/>
      <c r="G59" s="93"/>
      <c r="H59" s="76"/>
      <c r="I59" s="76"/>
      <c r="J59" s="76"/>
      <c r="K59" s="112"/>
    </row>
    <row r="60" spans="3:12" ht="15.75">
      <c r="C60" s="202" t="s">
        <v>392</v>
      </c>
      <c r="D60" s="370">
        <f>'17. Gestión TIC'!E52</f>
        <v>17.3</v>
      </c>
      <c r="E60" s="93"/>
      <c r="F60" s="93"/>
      <c r="G60" s="93"/>
      <c r="H60" s="76"/>
      <c r="I60" s="76"/>
      <c r="J60" s="76"/>
      <c r="K60" s="112"/>
    </row>
    <row r="61" spans="3:12" ht="18.75">
      <c r="C61" s="211" t="str">
        <f>IFERROR(VLOOKUP(D60,'1. Desarrollo e Innov. Curricu.'!$E:$F,2,FALSE),IFERROR(VLOOKUP(D60,'2. Investigación Científica'!$E:$F,2,FALSE),IFERROR(VLOOKUP(D60,'3. Vinculación Univ. Sociedad'!$E:$F,2,FALSE),IFERROR(VLOOKUP(D60,'4. Docencia y Profesorado Univ.'!$E:$F,2,FALSE),IFERROR(VLOOKUP(D60,'5. Estudiantes y Graduados'!$E:$F,2,FALSE),IFERROR(VLOOKUP(D60,'11. Gestion Administrativa'!$E:$F,2,FALSE),IFERROR(VLOOKUP(D60,'13. Gestión Académica'!$E:$F,2,FALSE),IFERROR(VLOOKUP(D60,'8. Asegura. de la Calid. y M'!$E:$F,2,FALSE),IFERROR(VLOOKUP(D60,'6. Gestión del Conocimiento'!$E:$F,2,FALSE),IFERROR(VLOOKUP(D60,'15. Gobernabilidad y Proceso...'!$E:$F,2,FALSE),IFERROR(VLOOKUP(D60,'12. Gestión del Talento Humano'!$E:$F,2,FALSE),IFERROR(VLOOKUP(D60,'14. Internacional... de la E.S.'!$E:$F,2,FALSE),IFERROR(VLOOKUP(D60,'10. Posgrado'!$E:$F,2,FALSE),IFERROR(VLOOKUP(D60,'17. Gestión TIC'!$E:$F,2,FALSE),IFERROR(VLOOKUP(D60,'16. Desa. del Sistema Educ.Sup.'!$E:$F,2,FALSE),IFERROR(VLOOKUP(D60,'9. Cultura de Inno. Insti...'!$E:$F,2,FALSE),VLOOKUP(D60,'7. Lo Esencial de la Reforma U.'!$E:$F,2,0)))))))))))))))))</f>
        <v>adquirir el software de Docuware para archivar documentos</v>
      </c>
      <c r="D61" s="31"/>
      <c r="E61" s="93"/>
      <c r="F61" s="93"/>
      <c r="G61" s="93"/>
      <c r="H61" s="76"/>
      <c r="I61" s="76"/>
      <c r="J61" s="76"/>
      <c r="K61" s="112"/>
    </row>
    <row r="62" spans="3:12">
      <c r="F62" s="93"/>
      <c r="G62" s="76"/>
      <c r="H62" s="76"/>
      <c r="I62" s="76"/>
    </row>
    <row r="63" spans="3:12" ht="30.75" thickBot="1">
      <c r="C63" s="149" t="s">
        <v>44</v>
      </c>
      <c r="D63" s="149" t="s">
        <v>55</v>
      </c>
      <c r="E63" s="149" t="s">
        <v>57</v>
      </c>
      <c r="F63" s="150" t="s">
        <v>27</v>
      </c>
      <c r="G63" s="150" t="s">
        <v>131</v>
      </c>
      <c r="H63" s="149" t="s">
        <v>46</v>
      </c>
      <c r="I63" s="149" t="s">
        <v>132</v>
      </c>
      <c r="J63" s="149" t="s">
        <v>410</v>
      </c>
      <c r="K63" s="149" t="s">
        <v>411</v>
      </c>
      <c r="L63" s="149" t="s">
        <v>464</v>
      </c>
    </row>
    <row r="64" spans="3:12" ht="15.75" thickBot="1">
      <c r="C64" s="306" t="s">
        <v>1339</v>
      </c>
      <c r="D64" s="158"/>
      <c r="E64" s="96">
        <f>HLOOKUP($C64,$CB$2:$CE$3,2,0)</f>
        <v>15000</v>
      </c>
      <c r="F64" s="97">
        <f>D64*E64</f>
        <v>0</v>
      </c>
      <c r="G64" s="165"/>
      <c r="H64" s="98" t="s">
        <v>1014</v>
      </c>
      <c r="I64" s="98" t="str">
        <f>VLOOKUP(H64,Presupuesto!$B$11:$C$565,2,0)</f>
        <v>EQUIPO DE COMPUTACION</v>
      </c>
      <c r="J64" s="219" t="s">
        <v>1453</v>
      </c>
      <c r="K64" s="98" t="s">
        <v>394</v>
      </c>
      <c r="L64" s="98"/>
    </row>
    <row r="65" spans="3:12">
      <c r="C65" s="306" t="s">
        <v>1337</v>
      </c>
      <c r="D65" s="151"/>
      <c r="E65" s="96">
        <f>HLOOKUP($C65,$CB$2:$CE$3,2,0)</f>
        <v>35000</v>
      </c>
      <c r="F65" s="97">
        <f>D65*E65</f>
        <v>0</v>
      </c>
      <c r="G65" s="165"/>
      <c r="H65" s="101" t="s">
        <v>1014</v>
      </c>
      <c r="I65" s="101" t="str">
        <f>VLOOKUP(H65,Presupuesto!$B$11:$C$565,2,0)</f>
        <v>EQUIPO DE COMPUTACION</v>
      </c>
      <c r="J65" s="98" t="str">
        <f>$J$64</f>
        <v>Posgrado</v>
      </c>
      <c r="K65" s="98" t="s">
        <v>412</v>
      </c>
      <c r="L65" s="98"/>
    </row>
    <row r="66" spans="3:12">
      <c r="C66" s="99" t="s">
        <v>73</v>
      </c>
      <c r="D66" s="151"/>
      <c r="E66" s="100">
        <v>4000</v>
      </c>
      <c r="F66" s="97">
        <f t="shared" ref="F66:F77" si="6">D66*E66</f>
        <v>0</v>
      </c>
      <c r="G66" s="165"/>
      <c r="H66" s="101" t="s">
        <v>986</v>
      </c>
      <c r="I66" s="101" t="str">
        <f>VLOOKUP(H66,Presupuesto!$B$11:$C$565,2,0)</f>
        <v>EQUIPOS VARIOS DE OFICINA</v>
      </c>
      <c r="J66" s="98" t="str">
        <f t="shared" ref="J66:J77" si="7">$J$64</f>
        <v>Posgrado</v>
      </c>
      <c r="K66" s="98" t="s">
        <v>395</v>
      </c>
      <c r="L66" s="98"/>
    </row>
    <row r="67" spans="3:12">
      <c r="C67" s="99" t="s">
        <v>74</v>
      </c>
      <c r="D67" s="151"/>
      <c r="E67" s="100">
        <v>8000</v>
      </c>
      <c r="F67" s="97">
        <f t="shared" si="6"/>
        <v>0</v>
      </c>
      <c r="G67" s="165"/>
      <c r="H67" s="101" t="s">
        <v>1014</v>
      </c>
      <c r="I67" s="101" t="str">
        <f>VLOOKUP(H67,Presupuesto!$B$11:$C$565,2,0)</f>
        <v>EQUIPO DE COMPUTACION</v>
      </c>
      <c r="J67" s="98" t="str">
        <f t="shared" si="7"/>
        <v>Posgrado</v>
      </c>
      <c r="K67" s="98" t="s">
        <v>395</v>
      </c>
      <c r="L67" s="98"/>
    </row>
    <row r="68" spans="3:12">
      <c r="C68" s="99" t="s">
        <v>75</v>
      </c>
      <c r="D68" s="151"/>
      <c r="E68" s="100">
        <v>5000</v>
      </c>
      <c r="F68" s="97">
        <f t="shared" si="6"/>
        <v>0</v>
      </c>
      <c r="G68" s="165"/>
      <c r="H68" s="101" t="s">
        <v>1014</v>
      </c>
      <c r="I68" s="101" t="str">
        <f>VLOOKUP(H68,Presupuesto!$B$11:$C$565,2,0)</f>
        <v>EQUIPO DE COMPUTACION</v>
      </c>
      <c r="J68" s="98" t="str">
        <f t="shared" si="7"/>
        <v>Posgrado</v>
      </c>
      <c r="K68" s="98" t="s">
        <v>395</v>
      </c>
      <c r="L68" s="98"/>
    </row>
    <row r="69" spans="3:12">
      <c r="C69" s="99" t="s">
        <v>35</v>
      </c>
      <c r="D69" s="151"/>
      <c r="E69" s="100">
        <v>13000</v>
      </c>
      <c r="F69" s="97">
        <f t="shared" si="6"/>
        <v>0</v>
      </c>
      <c r="G69" s="165"/>
      <c r="H69" s="101" t="s">
        <v>1000</v>
      </c>
      <c r="I69" s="101" t="str">
        <f>VLOOKUP(H69,Presupuesto!$B$11:$C$565,2,0)</f>
        <v>EQUIPO DE TRANSPORTE TRACCION Y ELEVACION</v>
      </c>
      <c r="J69" s="98" t="str">
        <f t="shared" si="7"/>
        <v>Posgrado</v>
      </c>
      <c r="K69" s="98" t="s">
        <v>395</v>
      </c>
      <c r="L69" s="98"/>
    </row>
    <row r="70" spans="3:12">
      <c r="C70" s="99" t="s">
        <v>76</v>
      </c>
      <c r="D70" s="151"/>
      <c r="E70" s="100">
        <v>15000</v>
      </c>
      <c r="F70" s="97">
        <f t="shared" si="6"/>
        <v>0</v>
      </c>
      <c r="G70" s="165"/>
      <c r="H70" s="101" t="s">
        <v>1000</v>
      </c>
      <c r="I70" s="101" t="str">
        <f>VLOOKUP(H70,Presupuesto!$B$11:$C$565,2,0)</f>
        <v>EQUIPO DE TRANSPORTE TRACCION Y ELEVACION</v>
      </c>
      <c r="J70" s="98" t="str">
        <f t="shared" si="7"/>
        <v>Posgrado</v>
      </c>
      <c r="K70" s="98" t="s">
        <v>395</v>
      </c>
      <c r="L70" s="98"/>
    </row>
    <row r="71" spans="3:12">
      <c r="C71" s="99" t="s">
        <v>77</v>
      </c>
      <c r="D71" s="151"/>
      <c r="E71" s="100">
        <v>10000</v>
      </c>
      <c r="F71" s="97">
        <f t="shared" si="6"/>
        <v>0</v>
      </c>
      <c r="G71" s="165"/>
      <c r="H71" s="101" t="s">
        <v>1000</v>
      </c>
      <c r="I71" s="101" t="str">
        <f>VLOOKUP(H71,Presupuesto!$B$11:$C$565,2,0)</f>
        <v>EQUIPO DE TRANSPORTE TRACCION Y ELEVACION</v>
      </c>
      <c r="J71" s="98" t="str">
        <f t="shared" si="7"/>
        <v>Posgrado</v>
      </c>
      <c r="K71" s="98" t="s">
        <v>403</v>
      </c>
      <c r="L71" s="98"/>
    </row>
    <row r="72" spans="3:12">
      <c r="C72" s="99" t="s">
        <v>78</v>
      </c>
      <c r="D72" s="151">
        <v>1</v>
      </c>
      <c r="E72" s="100">
        <v>70000</v>
      </c>
      <c r="F72" s="97">
        <f>D72*E72</f>
        <v>70000</v>
      </c>
      <c r="G72" s="165" t="s">
        <v>1508</v>
      </c>
      <c r="H72" s="101" t="s">
        <v>1046</v>
      </c>
      <c r="I72" s="101" t="str">
        <f>VLOOKUP(H72,Presupuesto!$B$11:$C$565,2,0)</f>
        <v>APLICACIONES INFORMATICAS</v>
      </c>
      <c r="J72" s="98" t="str">
        <f t="shared" si="7"/>
        <v>Posgrado</v>
      </c>
      <c r="K72" s="98" t="s">
        <v>399</v>
      </c>
      <c r="L72" s="98"/>
    </row>
    <row r="73" spans="3:12">
      <c r="C73" s="109" t="s">
        <v>79</v>
      </c>
      <c r="D73" s="151"/>
      <c r="E73" s="100">
        <v>2000</v>
      </c>
      <c r="F73" s="97">
        <f t="shared" si="6"/>
        <v>0</v>
      </c>
      <c r="G73" s="165"/>
      <c r="H73" s="110" t="s">
        <v>1014</v>
      </c>
      <c r="I73" s="110" t="str">
        <f>VLOOKUP(H73,Presupuesto!$B$11:$C$565,2,0)</f>
        <v>EQUIPO DE COMPUTACION</v>
      </c>
      <c r="J73" s="98" t="str">
        <f t="shared" si="7"/>
        <v>Posgrado</v>
      </c>
      <c r="K73" s="98" t="s">
        <v>395</v>
      </c>
      <c r="L73" s="98"/>
    </row>
    <row r="74" spans="3:12">
      <c r="C74" s="109" t="s">
        <v>1481</v>
      </c>
      <c r="D74" s="151"/>
      <c r="E74" s="100">
        <v>1500</v>
      </c>
      <c r="F74" s="97">
        <f t="shared" si="6"/>
        <v>0</v>
      </c>
      <c r="G74" s="165"/>
      <c r="H74" s="110" t="s">
        <v>946</v>
      </c>
      <c r="I74" s="110" t="str">
        <f>VLOOKUP(H74,Presupuesto!$B$11:$C$565,2,0)</f>
        <v>UTILES Y MATERIALES ELECTRICOS</v>
      </c>
      <c r="J74" s="98" t="str">
        <f t="shared" si="7"/>
        <v>Posgrado</v>
      </c>
      <c r="K74" s="98" t="s">
        <v>395</v>
      </c>
      <c r="L74" s="98"/>
    </row>
    <row r="75" spans="3:12">
      <c r="C75" s="109" t="s">
        <v>80</v>
      </c>
      <c r="D75" s="151"/>
      <c r="E75" s="100">
        <v>1500</v>
      </c>
      <c r="F75" s="97">
        <f t="shared" si="6"/>
        <v>0</v>
      </c>
      <c r="G75" s="165"/>
      <c r="H75" s="110" t="s">
        <v>1014</v>
      </c>
      <c r="I75" s="110" t="str">
        <f>VLOOKUP(H75,Presupuesto!$B$11:$C$565,2,0)</f>
        <v>EQUIPO DE COMPUTACION</v>
      </c>
      <c r="J75" s="98" t="str">
        <f t="shared" si="7"/>
        <v>Posgrado</v>
      </c>
      <c r="K75" s="98" t="s">
        <v>395</v>
      </c>
      <c r="L75" s="98"/>
    </row>
    <row r="76" spans="3:12">
      <c r="C76" s="109" t="s">
        <v>81</v>
      </c>
      <c r="D76" s="151"/>
      <c r="E76" s="100">
        <v>500</v>
      </c>
      <c r="F76" s="97">
        <f t="shared" si="6"/>
        <v>0</v>
      </c>
      <c r="G76" s="165"/>
      <c r="H76" s="110" t="s">
        <v>955</v>
      </c>
      <c r="I76" s="110" t="str">
        <f>VLOOKUP(H76,Presupuesto!$B$11:$C$565,2,0)</f>
        <v>OTROS RESPUESTOS Y ACCESORIOS MENORES</v>
      </c>
      <c r="J76" s="98" t="str">
        <f t="shared" si="7"/>
        <v>Posgrado</v>
      </c>
      <c r="K76" s="98" t="s">
        <v>395</v>
      </c>
      <c r="L76" s="98"/>
    </row>
    <row r="77" spans="3:12" ht="15.75" thickBot="1">
      <c r="C77" s="102" t="s">
        <v>82</v>
      </c>
      <c r="D77" s="159"/>
      <c r="E77" s="104">
        <v>20</v>
      </c>
      <c r="F77" s="105">
        <f t="shared" si="6"/>
        <v>0</v>
      </c>
      <c r="G77" s="162"/>
      <c r="H77" s="106" t="s">
        <v>955</v>
      </c>
      <c r="I77" s="106" t="str">
        <f>VLOOKUP(H77,Presupuesto!$B$11:$C$565,2,0)</f>
        <v>OTROS RESPUESTOS Y ACCESORIOS MENORES</v>
      </c>
      <c r="J77" s="106" t="str">
        <f t="shared" si="7"/>
        <v>Posgrado</v>
      </c>
      <c r="K77" s="124" t="s">
        <v>394</v>
      </c>
      <c r="L77" s="124"/>
    </row>
    <row r="78" spans="3:12">
      <c r="F78" s="93"/>
      <c r="G78" s="76"/>
      <c r="H78" s="76"/>
      <c r="I78" s="76"/>
    </row>
    <row r="79" spans="3:12" ht="15.75" thickBot="1"/>
    <row r="80" spans="3:12" ht="15.75" thickBot="1">
      <c r="C80" s="29" t="s">
        <v>43</v>
      </c>
      <c r="D80" s="108">
        <f>SUM(F87:F100)</f>
        <v>0</v>
      </c>
      <c r="F80" s="70"/>
      <c r="G80" s="79"/>
      <c r="H80" s="70"/>
      <c r="I80" s="70"/>
    </row>
    <row r="81" spans="3:12">
      <c r="C81" s="70"/>
      <c r="D81" s="31"/>
      <c r="E81" s="93"/>
      <c r="F81" s="93"/>
      <c r="G81" s="93"/>
      <c r="H81" s="76"/>
      <c r="I81" s="76"/>
      <c r="J81" s="76"/>
      <c r="K81" s="112"/>
    </row>
    <row r="82" spans="3:12">
      <c r="C82" s="70"/>
      <c r="D82" s="31"/>
      <c r="E82" s="93"/>
      <c r="F82" s="93"/>
      <c r="G82" s="93"/>
      <c r="H82" s="76"/>
      <c r="I82" s="76"/>
      <c r="J82" s="76"/>
      <c r="K82" s="112"/>
    </row>
    <row r="83" spans="3:12" ht="15.75">
      <c r="C83" s="202" t="s">
        <v>392</v>
      </c>
      <c r="D83" s="370"/>
      <c r="E83" s="93"/>
      <c r="F83" s="93"/>
      <c r="G83" s="93"/>
      <c r="H83" s="76"/>
      <c r="I83" s="76"/>
      <c r="J83" s="76"/>
      <c r="K83" s="112"/>
    </row>
    <row r="84" spans="3:12" ht="18.75">
      <c r="C84" s="211" t="e">
        <f>IFERROR(VLOOKUP(D83,'1. Desarrollo e Innov. Curricu.'!$E:$F,2,FALSE),IFERROR(VLOOKUP(D83,'2. Investigación Científica'!$E:$F,2,FALSE),IFERROR(VLOOKUP(D83,'3. Vinculación Univ. Sociedad'!$E:$F,2,FALSE),IFERROR(VLOOKUP(D83,'4. Docencia y Profesorado Univ.'!$E:$F,2,FALSE),IFERROR(VLOOKUP(D83,'5. Estudiantes y Graduados'!$E:$F,2,FALSE),IFERROR(VLOOKUP(D83,'11. Gestion Administrativa'!$E:$F,2,FALSE),IFERROR(VLOOKUP(D83,'13. Gestión Académica'!$E:$F,2,FALSE),IFERROR(VLOOKUP(D83,'8. Asegura. de la Calid. y M'!$E:$F,2,FALSE),IFERROR(VLOOKUP(D83,'6. Gestión del Conocimiento'!$E:$F,2,FALSE),IFERROR(VLOOKUP(D83,'15. Gobernabilidad y Proceso...'!$E:$F,2,FALSE),IFERROR(VLOOKUP(D83,'12. Gestión del Talento Humano'!$E:$F,2,FALSE),IFERROR(VLOOKUP(D83,'14. Internacional... de la E.S.'!$E:$F,2,FALSE),IFERROR(VLOOKUP(D83,'10. Posgrado'!$E:$F,2,FALSE),IFERROR(VLOOKUP(D83,'16. Desa. del Sistema Educ.Sup.'!$E:$F,2,FALSE),IFERROR(VLOOKUP(D83,'9. Cultura de Inno. Insti...'!$E:$F,2,FALSE),VLOOKUP(D83,'7. Lo Esencial de la Reforma U.'!$E:$F,2,0))))))))))))))))</f>
        <v>#N/A</v>
      </c>
      <c r="D84" s="31"/>
      <c r="E84" s="93"/>
      <c r="F84" s="93"/>
      <c r="G84" s="93"/>
      <c r="H84" s="76"/>
      <c r="I84" s="76"/>
      <c r="J84" s="76"/>
      <c r="K84" s="112"/>
    </row>
    <row r="85" spans="3:12">
      <c r="F85" s="93"/>
      <c r="G85" s="76"/>
      <c r="H85" s="76"/>
      <c r="I85" s="76"/>
    </row>
    <row r="86" spans="3:12" ht="30.75" thickBot="1">
      <c r="C86" s="149" t="s">
        <v>44</v>
      </c>
      <c r="D86" s="149" t="s">
        <v>55</v>
      </c>
      <c r="E86" s="149" t="s">
        <v>57</v>
      </c>
      <c r="F86" s="150" t="s">
        <v>27</v>
      </c>
      <c r="G86" s="150" t="s">
        <v>131</v>
      </c>
      <c r="H86" s="149" t="s">
        <v>46</v>
      </c>
      <c r="I86" s="149" t="s">
        <v>132</v>
      </c>
      <c r="J86" s="149" t="s">
        <v>410</v>
      </c>
      <c r="K86" s="149" t="s">
        <v>411</v>
      </c>
      <c r="L86" s="149" t="s">
        <v>464</v>
      </c>
    </row>
    <row r="87" spans="3:12" ht="15.75" thickBot="1">
      <c r="C87" s="306" t="s">
        <v>1339</v>
      </c>
      <c r="D87" s="158"/>
      <c r="E87" s="96">
        <f>HLOOKUP($C87,$CB$2:$CE$3,2,0)</f>
        <v>15000</v>
      </c>
      <c r="F87" s="97">
        <f>D87*E87</f>
        <v>0</v>
      </c>
      <c r="G87" s="165"/>
      <c r="H87" s="98" t="s">
        <v>1014</v>
      </c>
      <c r="I87" s="98" t="str">
        <f>VLOOKUP(H87,Presupuesto!$B$11:$C$565,2,0)</f>
        <v>EQUIPO DE COMPUTACION</v>
      </c>
      <c r="J87" s="219" t="s">
        <v>1453</v>
      </c>
      <c r="K87" s="98" t="s">
        <v>394</v>
      </c>
      <c r="L87" s="98"/>
    </row>
    <row r="88" spans="3:12">
      <c r="C88" s="306" t="s">
        <v>1337</v>
      </c>
      <c r="D88" s="151"/>
      <c r="E88" s="96">
        <f>HLOOKUP($C88,$CB$2:$CE$3,2,0)</f>
        <v>35000</v>
      </c>
      <c r="F88" s="97">
        <f>D88*E88</f>
        <v>0</v>
      </c>
      <c r="G88" s="165"/>
      <c r="H88" s="101" t="s">
        <v>1014</v>
      </c>
      <c r="I88" s="101" t="str">
        <f>VLOOKUP(H88,Presupuesto!$B$11:$C$565,2,0)</f>
        <v>EQUIPO DE COMPUTACION</v>
      </c>
      <c r="J88" s="98" t="str">
        <f>$J$87</f>
        <v>Posgrado</v>
      </c>
      <c r="K88" s="98" t="s">
        <v>412</v>
      </c>
      <c r="L88" s="98"/>
    </row>
    <row r="89" spans="3:12">
      <c r="C89" s="99" t="s">
        <v>73</v>
      </c>
      <c r="D89" s="151"/>
      <c r="E89" s="100">
        <v>4000</v>
      </c>
      <c r="F89" s="97">
        <f t="shared" ref="F89:F100" si="8">D89*E89</f>
        <v>0</v>
      </c>
      <c r="G89" s="165"/>
      <c r="H89" s="101" t="s">
        <v>986</v>
      </c>
      <c r="I89" s="101" t="str">
        <f>VLOOKUP(H89,Presupuesto!$B$11:$C$565,2,0)</f>
        <v>EQUIPOS VARIOS DE OFICINA</v>
      </c>
      <c r="J89" s="98" t="str">
        <f t="shared" ref="J89:J100" si="9">$J$87</f>
        <v>Posgrado</v>
      </c>
      <c r="K89" s="98" t="s">
        <v>395</v>
      </c>
      <c r="L89" s="98"/>
    </row>
    <row r="90" spans="3:12">
      <c r="C90" s="99" t="s">
        <v>74</v>
      </c>
      <c r="D90" s="151"/>
      <c r="E90" s="100">
        <v>8000</v>
      </c>
      <c r="F90" s="97">
        <f t="shared" si="8"/>
        <v>0</v>
      </c>
      <c r="G90" s="165"/>
      <c r="H90" s="101" t="s">
        <v>1014</v>
      </c>
      <c r="I90" s="101" t="str">
        <f>VLOOKUP(H90,Presupuesto!$B$11:$C$565,2,0)</f>
        <v>EQUIPO DE COMPUTACION</v>
      </c>
      <c r="J90" s="98" t="str">
        <f t="shared" si="9"/>
        <v>Posgrado</v>
      </c>
      <c r="K90" s="98" t="s">
        <v>395</v>
      </c>
      <c r="L90" s="98"/>
    </row>
    <row r="91" spans="3:12">
      <c r="C91" s="99" t="s">
        <v>75</v>
      </c>
      <c r="D91" s="151"/>
      <c r="E91" s="100">
        <v>5000</v>
      </c>
      <c r="F91" s="97">
        <f t="shared" si="8"/>
        <v>0</v>
      </c>
      <c r="G91" s="165"/>
      <c r="H91" s="101" t="s">
        <v>1014</v>
      </c>
      <c r="I91" s="101" t="str">
        <f>VLOOKUP(H91,Presupuesto!$B$11:$C$565,2,0)</f>
        <v>EQUIPO DE COMPUTACION</v>
      </c>
      <c r="J91" s="98" t="str">
        <f t="shared" si="9"/>
        <v>Posgrado</v>
      </c>
      <c r="K91" s="98" t="s">
        <v>395</v>
      </c>
      <c r="L91" s="98"/>
    </row>
    <row r="92" spans="3:12">
      <c r="C92" s="99" t="s">
        <v>35</v>
      </c>
      <c r="D92" s="151"/>
      <c r="E92" s="100">
        <v>13000</v>
      </c>
      <c r="F92" s="97">
        <f t="shared" si="8"/>
        <v>0</v>
      </c>
      <c r="G92" s="165"/>
      <c r="H92" s="101" t="s">
        <v>1000</v>
      </c>
      <c r="I92" s="101" t="str">
        <f>VLOOKUP(H92,Presupuesto!$B$11:$C$565,2,0)</f>
        <v>EQUIPO DE TRANSPORTE TRACCION Y ELEVACION</v>
      </c>
      <c r="J92" s="98" t="str">
        <f t="shared" si="9"/>
        <v>Posgrado</v>
      </c>
      <c r="K92" s="98" t="s">
        <v>395</v>
      </c>
      <c r="L92" s="98"/>
    </row>
    <row r="93" spans="3:12">
      <c r="C93" s="99" t="s">
        <v>76</v>
      </c>
      <c r="D93" s="151"/>
      <c r="E93" s="100">
        <v>15000</v>
      </c>
      <c r="F93" s="97">
        <f t="shared" si="8"/>
        <v>0</v>
      </c>
      <c r="G93" s="165"/>
      <c r="H93" s="101" t="s">
        <v>1000</v>
      </c>
      <c r="I93" s="101" t="str">
        <f>VLOOKUP(H93,Presupuesto!$B$11:$C$565,2,0)</f>
        <v>EQUIPO DE TRANSPORTE TRACCION Y ELEVACION</v>
      </c>
      <c r="J93" s="98" t="str">
        <f t="shared" si="9"/>
        <v>Posgrado</v>
      </c>
      <c r="K93" s="98" t="s">
        <v>395</v>
      </c>
      <c r="L93" s="98"/>
    </row>
    <row r="94" spans="3:12">
      <c r="C94" s="99" t="s">
        <v>77</v>
      </c>
      <c r="D94" s="151"/>
      <c r="E94" s="100">
        <v>10000</v>
      </c>
      <c r="F94" s="97">
        <f t="shared" si="8"/>
        <v>0</v>
      </c>
      <c r="G94" s="165"/>
      <c r="H94" s="101" t="s">
        <v>1000</v>
      </c>
      <c r="I94" s="101" t="str">
        <f>VLOOKUP(H94,Presupuesto!$B$11:$C$565,2,0)</f>
        <v>EQUIPO DE TRANSPORTE TRACCION Y ELEVACION</v>
      </c>
      <c r="J94" s="98" t="str">
        <f t="shared" si="9"/>
        <v>Posgrado</v>
      </c>
      <c r="K94" s="98" t="s">
        <v>403</v>
      </c>
      <c r="L94" s="98"/>
    </row>
    <row r="95" spans="3:12">
      <c r="C95" s="99" t="s">
        <v>78</v>
      </c>
      <c r="D95" s="151"/>
      <c r="E95" s="100">
        <v>10000</v>
      </c>
      <c r="F95" s="97">
        <f t="shared" si="8"/>
        <v>0</v>
      </c>
      <c r="G95" s="165"/>
      <c r="H95" s="101" t="s">
        <v>1046</v>
      </c>
      <c r="I95" s="101" t="str">
        <f>VLOOKUP(H95,Presupuesto!$B$11:$C$565,2,0)</f>
        <v>APLICACIONES INFORMATICAS</v>
      </c>
      <c r="J95" s="98" t="str">
        <f t="shared" si="9"/>
        <v>Posgrado</v>
      </c>
      <c r="K95" s="98" t="s">
        <v>399</v>
      </c>
      <c r="L95" s="98"/>
    </row>
    <row r="96" spans="3:12">
      <c r="C96" s="109" t="s">
        <v>79</v>
      </c>
      <c r="D96" s="151"/>
      <c r="E96" s="100">
        <v>2000</v>
      </c>
      <c r="F96" s="97">
        <f t="shared" si="8"/>
        <v>0</v>
      </c>
      <c r="G96" s="165"/>
      <c r="H96" s="110" t="s">
        <v>1014</v>
      </c>
      <c r="I96" s="110" t="str">
        <f>VLOOKUP(H96,Presupuesto!$B$11:$C$565,2,0)</f>
        <v>EQUIPO DE COMPUTACION</v>
      </c>
      <c r="J96" s="98" t="str">
        <f t="shared" si="9"/>
        <v>Posgrado</v>
      </c>
      <c r="K96" s="98" t="s">
        <v>395</v>
      </c>
      <c r="L96" s="98"/>
    </row>
    <row r="97" spans="3:12">
      <c r="C97" s="109" t="s">
        <v>1481</v>
      </c>
      <c r="D97" s="151"/>
      <c r="E97" s="100">
        <v>1500</v>
      </c>
      <c r="F97" s="97">
        <f t="shared" si="8"/>
        <v>0</v>
      </c>
      <c r="G97" s="165"/>
      <c r="H97" s="110" t="s">
        <v>946</v>
      </c>
      <c r="I97" s="110" t="str">
        <f>VLOOKUP(H97,Presupuesto!$B$11:$C$565,2,0)</f>
        <v>UTILES Y MATERIALES ELECTRICOS</v>
      </c>
      <c r="J97" s="98" t="str">
        <f t="shared" si="9"/>
        <v>Posgrado</v>
      </c>
      <c r="K97" s="98" t="s">
        <v>395</v>
      </c>
      <c r="L97" s="98"/>
    </row>
    <row r="98" spans="3:12">
      <c r="C98" s="109" t="s">
        <v>80</v>
      </c>
      <c r="D98" s="151"/>
      <c r="E98" s="100">
        <v>1500</v>
      </c>
      <c r="F98" s="97">
        <f t="shared" si="8"/>
        <v>0</v>
      </c>
      <c r="G98" s="165"/>
      <c r="H98" s="110" t="s">
        <v>1014</v>
      </c>
      <c r="I98" s="110" t="str">
        <f>VLOOKUP(H98,Presupuesto!$B$11:$C$565,2,0)</f>
        <v>EQUIPO DE COMPUTACION</v>
      </c>
      <c r="J98" s="98" t="str">
        <f t="shared" si="9"/>
        <v>Posgrado</v>
      </c>
      <c r="K98" s="98" t="s">
        <v>395</v>
      </c>
      <c r="L98" s="98"/>
    </row>
    <row r="99" spans="3:12">
      <c r="C99" s="109" t="s">
        <v>81</v>
      </c>
      <c r="D99" s="151"/>
      <c r="E99" s="100">
        <v>500</v>
      </c>
      <c r="F99" s="97">
        <f t="shared" si="8"/>
        <v>0</v>
      </c>
      <c r="G99" s="165"/>
      <c r="H99" s="110" t="s">
        <v>955</v>
      </c>
      <c r="I99" s="110" t="str">
        <f>VLOOKUP(H99,Presupuesto!$B$11:$C$565,2,0)</f>
        <v>OTROS RESPUESTOS Y ACCESORIOS MENORES</v>
      </c>
      <c r="J99" s="98" t="str">
        <f t="shared" si="9"/>
        <v>Posgrado</v>
      </c>
      <c r="K99" s="98" t="s">
        <v>395</v>
      </c>
      <c r="L99" s="98"/>
    </row>
    <row r="100" spans="3:12" ht="15.75" thickBot="1">
      <c r="C100" s="102" t="s">
        <v>82</v>
      </c>
      <c r="D100" s="159"/>
      <c r="E100" s="104">
        <v>20</v>
      </c>
      <c r="F100" s="105">
        <f t="shared" si="8"/>
        <v>0</v>
      </c>
      <c r="G100" s="162"/>
      <c r="H100" s="106" t="s">
        <v>955</v>
      </c>
      <c r="I100" s="106" t="str">
        <f>VLOOKUP(H100,Presupuesto!$B$11:$C$565,2,0)</f>
        <v>OTROS RESPUESTOS Y ACCESORIOS MENORES</v>
      </c>
      <c r="J100" s="106" t="str">
        <f t="shared" si="9"/>
        <v>Posgrado</v>
      </c>
      <c r="K100" s="124" t="s">
        <v>394</v>
      </c>
      <c r="L100" s="124"/>
    </row>
    <row r="102" spans="3:12" ht="15.75" thickBot="1"/>
    <row r="103" spans="3:12" ht="15.75" thickBot="1">
      <c r="C103" s="29" t="s">
        <v>43</v>
      </c>
      <c r="D103" s="108">
        <f>SUM(F110:F123)</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70"/>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c r="F108" s="93"/>
      <c r="G108" s="76"/>
      <c r="H108" s="76"/>
      <c r="I108" s="76"/>
    </row>
    <row r="109" spans="3:12" ht="30.75" thickBot="1">
      <c r="C109" s="149" t="s">
        <v>44</v>
      </c>
      <c r="D109" s="149" t="s">
        <v>55</v>
      </c>
      <c r="E109" s="149" t="s">
        <v>57</v>
      </c>
      <c r="F109" s="150" t="s">
        <v>27</v>
      </c>
      <c r="G109" s="150" t="s">
        <v>131</v>
      </c>
      <c r="H109" s="149" t="s">
        <v>46</v>
      </c>
      <c r="I109" s="149" t="s">
        <v>132</v>
      </c>
      <c r="J109" s="149" t="s">
        <v>410</v>
      </c>
      <c r="K109" s="149" t="s">
        <v>411</v>
      </c>
      <c r="L109" s="149" t="s">
        <v>464</v>
      </c>
    </row>
    <row r="110" spans="3:12" ht="15.75" thickBot="1">
      <c r="C110" s="306" t="s">
        <v>1339</v>
      </c>
      <c r="D110" s="158"/>
      <c r="E110" s="96">
        <f>HLOOKUP($C110,$CB$2:$CE$3,2,0)</f>
        <v>15000</v>
      </c>
      <c r="F110" s="97">
        <f>D110*E110</f>
        <v>0</v>
      </c>
      <c r="G110" s="165"/>
      <c r="H110" s="98" t="s">
        <v>1014</v>
      </c>
      <c r="I110" s="98" t="str">
        <f>VLOOKUP(H110,Presupuesto!$B$11:$C$565,2,0)</f>
        <v>EQUIPO DE COMPUTACION</v>
      </c>
      <c r="J110" s="219" t="s">
        <v>1516</v>
      </c>
      <c r="K110" s="98" t="s">
        <v>394</v>
      </c>
      <c r="L110" s="98"/>
    </row>
    <row r="111" spans="3:12">
      <c r="C111" s="306" t="s">
        <v>1337</v>
      </c>
      <c r="D111" s="151"/>
      <c r="E111" s="96">
        <f>HLOOKUP($C111,$CB$2:$CE$3,2,0)</f>
        <v>35000</v>
      </c>
      <c r="F111" s="97">
        <f>D111*E111</f>
        <v>0</v>
      </c>
      <c r="G111" s="165"/>
      <c r="H111" s="101" t="s">
        <v>1014</v>
      </c>
      <c r="I111" s="101" t="str">
        <f>VLOOKUP(H111,Presupuesto!$B$11:$C$565,2,0)</f>
        <v>EQUIPO DE COMPUTACION</v>
      </c>
      <c r="J111" s="98" t="str">
        <f>$J$110</f>
        <v>Gestión Tecnologías de Información y Comunicación</v>
      </c>
      <c r="K111" s="98" t="s">
        <v>412</v>
      </c>
      <c r="L111" s="98"/>
    </row>
    <row r="112" spans="3:12">
      <c r="C112" s="99" t="s">
        <v>73</v>
      </c>
      <c r="D112" s="151"/>
      <c r="E112" s="100">
        <v>4000</v>
      </c>
      <c r="F112" s="97">
        <f t="shared" ref="F112:F123" si="10">D112*E112</f>
        <v>0</v>
      </c>
      <c r="G112" s="165"/>
      <c r="H112" s="101" t="s">
        <v>986</v>
      </c>
      <c r="I112" s="101" t="str">
        <f>VLOOKUP(H112,Presupuesto!$B$11:$C$565,2,0)</f>
        <v>EQUIPOS VARIOS DE OFICINA</v>
      </c>
      <c r="J112" s="98" t="str">
        <f t="shared" ref="J112:J123" si="11">$J$110</f>
        <v>Gestión Tecnologías de Información y Comunicación</v>
      </c>
      <c r="K112" s="98" t="s">
        <v>395</v>
      </c>
      <c r="L112" s="98"/>
    </row>
    <row r="113" spans="3:12">
      <c r="C113" s="99" t="s">
        <v>74</v>
      </c>
      <c r="D113" s="151"/>
      <c r="E113" s="100">
        <v>8000</v>
      </c>
      <c r="F113" s="97">
        <f t="shared" si="10"/>
        <v>0</v>
      </c>
      <c r="G113" s="165"/>
      <c r="H113" s="101" t="s">
        <v>1014</v>
      </c>
      <c r="I113" s="101" t="str">
        <f>VLOOKUP(H113,Presupuesto!$B$11:$C$565,2,0)</f>
        <v>EQUIPO DE COMPUTACION</v>
      </c>
      <c r="J113" s="98" t="str">
        <f t="shared" si="11"/>
        <v>Gestión Tecnologías de Información y Comunicación</v>
      </c>
      <c r="K113" s="98" t="s">
        <v>395</v>
      </c>
      <c r="L113" s="98"/>
    </row>
    <row r="114" spans="3:12">
      <c r="C114" s="99" t="s">
        <v>75</v>
      </c>
      <c r="D114" s="151"/>
      <c r="E114" s="100">
        <v>5000</v>
      </c>
      <c r="F114" s="97">
        <f t="shared" si="10"/>
        <v>0</v>
      </c>
      <c r="G114" s="165"/>
      <c r="H114" s="101" t="s">
        <v>1014</v>
      </c>
      <c r="I114" s="101" t="str">
        <f>VLOOKUP(H114,Presupuesto!$B$11:$C$565,2,0)</f>
        <v>EQUIPO DE COMPUTACION</v>
      </c>
      <c r="J114" s="98" t="str">
        <f t="shared" si="11"/>
        <v>Gestión Tecnologías de Información y Comunicación</v>
      </c>
      <c r="K114" s="98" t="s">
        <v>395</v>
      </c>
      <c r="L114" s="98"/>
    </row>
    <row r="115" spans="3:12">
      <c r="C115" s="99" t="s">
        <v>35</v>
      </c>
      <c r="D115" s="151"/>
      <c r="E115" s="100">
        <v>13000</v>
      </c>
      <c r="F115" s="97">
        <f t="shared" si="10"/>
        <v>0</v>
      </c>
      <c r="G115" s="165"/>
      <c r="H115" s="101" t="s">
        <v>1000</v>
      </c>
      <c r="I115" s="101" t="str">
        <f>VLOOKUP(H115,Presupuesto!$B$11:$C$565,2,0)</f>
        <v>EQUIPO DE TRANSPORTE TRACCION Y ELEVACION</v>
      </c>
      <c r="J115" s="98" t="str">
        <f t="shared" si="11"/>
        <v>Gestión Tecnologías de Información y Comunicación</v>
      </c>
      <c r="K115" s="98" t="s">
        <v>395</v>
      </c>
      <c r="L115" s="98"/>
    </row>
    <row r="116" spans="3:12">
      <c r="C116" s="99" t="s">
        <v>76</v>
      </c>
      <c r="D116" s="151"/>
      <c r="E116" s="100">
        <v>15000</v>
      </c>
      <c r="F116" s="97">
        <f t="shared" si="10"/>
        <v>0</v>
      </c>
      <c r="G116" s="165"/>
      <c r="H116" s="101" t="s">
        <v>1000</v>
      </c>
      <c r="I116" s="101" t="str">
        <f>VLOOKUP(H116,Presupuesto!$B$11:$C$565,2,0)</f>
        <v>EQUIPO DE TRANSPORTE TRACCION Y ELEVACION</v>
      </c>
      <c r="J116" s="98" t="str">
        <f t="shared" si="11"/>
        <v>Gestión Tecnologías de Información y Comunicación</v>
      </c>
      <c r="K116" s="98" t="s">
        <v>395</v>
      </c>
      <c r="L116" s="98"/>
    </row>
    <row r="117" spans="3:12">
      <c r="C117" s="99" t="s">
        <v>77</v>
      </c>
      <c r="D117" s="151"/>
      <c r="E117" s="100">
        <v>10000</v>
      </c>
      <c r="F117" s="97">
        <f t="shared" si="10"/>
        <v>0</v>
      </c>
      <c r="G117" s="165"/>
      <c r="H117" s="101" t="s">
        <v>1000</v>
      </c>
      <c r="I117" s="101" t="str">
        <f>VLOOKUP(H117,Presupuesto!$B$11:$C$565,2,0)</f>
        <v>EQUIPO DE TRANSPORTE TRACCION Y ELEVACION</v>
      </c>
      <c r="J117" s="98" t="str">
        <f t="shared" si="11"/>
        <v>Gestión Tecnologías de Información y Comunicación</v>
      </c>
      <c r="K117" s="98" t="s">
        <v>403</v>
      </c>
      <c r="L117" s="98"/>
    </row>
    <row r="118" spans="3:12">
      <c r="C118" s="99" t="s">
        <v>78</v>
      </c>
      <c r="D118" s="151"/>
      <c r="E118" s="100">
        <v>10000</v>
      </c>
      <c r="F118" s="97">
        <f t="shared" si="10"/>
        <v>0</v>
      </c>
      <c r="G118" s="165"/>
      <c r="H118" s="101" t="s">
        <v>1046</v>
      </c>
      <c r="I118" s="101" t="str">
        <f>VLOOKUP(H118,Presupuesto!$B$11:$C$565,2,0)</f>
        <v>APLICACIONES INFORMATICAS</v>
      </c>
      <c r="J118" s="98" t="str">
        <f t="shared" si="11"/>
        <v>Gestión Tecnologías de Información y Comunicación</v>
      </c>
      <c r="K118" s="98" t="s">
        <v>399</v>
      </c>
      <c r="L118" s="98"/>
    </row>
    <row r="119" spans="3:12">
      <c r="C119" s="109" t="s">
        <v>79</v>
      </c>
      <c r="D119" s="151"/>
      <c r="E119" s="100">
        <v>2000</v>
      </c>
      <c r="F119" s="97">
        <f t="shared" si="10"/>
        <v>0</v>
      </c>
      <c r="G119" s="165"/>
      <c r="H119" s="110" t="s">
        <v>1014</v>
      </c>
      <c r="I119" s="110" t="str">
        <f>VLOOKUP(H119,Presupuesto!$B$11:$C$565,2,0)</f>
        <v>EQUIPO DE COMPUTACION</v>
      </c>
      <c r="J119" s="98" t="str">
        <f t="shared" si="11"/>
        <v>Gestión Tecnologías de Información y Comunicación</v>
      </c>
      <c r="K119" s="98" t="s">
        <v>395</v>
      </c>
      <c r="L119" s="98"/>
    </row>
    <row r="120" spans="3:12">
      <c r="C120" s="109" t="s">
        <v>1481</v>
      </c>
      <c r="D120" s="151"/>
      <c r="E120" s="100">
        <v>1500</v>
      </c>
      <c r="F120" s="97">
        <f t="shared" si="10"/>
        <v>0</v>
      </c>
      <c r="G120" s="165"/>
      <c r="H120" s="110" t="s">
        <v>946</v>
      </c>
      <c r="I120" s="110" t="str">
        <f>VLOOKUP(H120,Presupuesto!$B$11:$C$565,2,0)</f>
        <v>UTILES Y MATERIALES ELECTRICOS</v>
      </c>
      <c r="J120" s="98" t="str">
        <f t="shared" si="11"/>
        <v>Gestión Tecnologías de Información y Comunicación</v>
      </c>
      <c r="K120" s="98" t="s">
        <v>395</v>
      </c>
      <c r="L120" s="98"/>
    </row>
    <row r="121" spans="3:12">
      <c r="C121" s="109" t="s">
        <v>80</v>
      </c>
      <c r="D121" s="151"/>
      <c r="E121" s="100">
        <v>1500</v>
      </c>
      <c r="F121" s="97">
        <f t="shared" si="10"/>
        <v>0</v>
      </c>
      <c r="G121" s="165"/>
      <c r="H121" s="110" t="s">
        <v>1014</v>
      </c>
      <c r="I121" s="110" t="str">
        <f>VLOOKUP(H121,Presupuesto!$B$11:$C$565,2,0)</f>
        <v>EQUIPO DE COMPUTACION</v>
      </c>
      <c r="J121" s="98" t="str">
        <f t="shared" si="11"/>
        <v>Gestión Tecnologías de Información y Comunicación</v>
      </c>
      <c r="K121" s="98" t="s">
        <v>395</v>
      </c>
      <c r="L121" s="98"/>
    </row>
    <row r="122" spans="3:12">
      <c r="C122" s="109" t="s">
        <v>81</v>
      </c>
      <c r="D122" s="151"/>
      <c r="E122" s="100">
        <v>500</v>
      </c>
      <c r="F122" s="97">
        <f t="shared" si="10"/>
        <v>0</v>
      </c>
      <c r="G122" s="165"/>
      <c r="H122" s="110" t="s">
        <v>955</v>
      </c>
      <c r="I122" s="110" t="str">
        <f>VLOOKUP(H122,Presupuesto!$B$11:$C$565,2,0)</f>
        <v>OTROS RESPUESTOS Y ACCESORIOS MENORES</v>
      </c>
      <c r="J122" s="98" t="str">
        <f t="shared" si="11"/>
        <v>Gestión Tecnologías de Información y Comunicación</v>
      </c>
      <c r="K122" s="98" t="s">
        <v>395</v>
      </c>
      <c r="L122" s="98"/>
    </row>
    <row r="123" spans="3:12" ht="15.75" thickBot="1">
      <c r="C123" s="102" t="s">
        <v>82</v>
      </c>
      <c r="D123" s="159"/>
      <c r="E123" s="104">
        <v>20</v>
      </c>
      <c r="F123" s="105">
        <f t="shared" si="10"/>
        <v>0</v>
      </c>
      <c r="G123" s="162"/>
      <c r="H123" s="106" t="s">
        <v>955</v>
      </c>
      <c r="I123" s="106" t="str">
        <f>VLOOKUP(H123,Presupuesto!$B$11:$C$565,2,0)</f>
        <v>OTROS RESPUESTOS Y ACCESORIOS MENORES</v>
      </c>
      <c r="J123" s="106" t="str">
        <f t="shared" si="11"/>
        <v>Gestión Tecnologías de Información y Comunicación</v>
      </c>
      <c r="K123" s="124" t="s">
        <v>394</v>
      </c>
      <c r="L123" s="124"/>
    </row>
    <row r="124" spans="3:12">
      <c r="F124" s="93"/>
      <c r="G124" s="76"/>
      <c r="H124" s="76"/>
      <c r="I124" s="76"/>
    </row>
    <row r="125" spans="3:12" ht="15.75" thickBot="1"/>
    <row r="126" spans="3:12" ht="15.75" thickBot="1">
      <c r="C126" s="29" t="s">
        <v>43</v>
      </c>
      <c r="D126" s="108">
        <f>SUM(F133:F146)</f>
        <v>0</v>
      </c>
      <c r="F126" s="70"/>
      <c r="G126" s="79"/>
      <c r="H126" s="70"/>
      <c r="I126" s="70"/>
    </row>
    <row r="127" spans="3:12">
      <c r="C127" s="70"/>
      <c r="D127" s="31"/>
      <c r="E127" s="93"/>
      <c r="F127" s="93"/>
      <c r="G127" s="93"/>
      <c r="H127" s="76"/>
      <c r="I127" s="76"/>
      <c r="J127" s="76"/>
      <c r="K127" s="112"/>
    </row>
    <row r="128" spans="3:12">
      <c r="C128" s="70"/>
      <c r="D128" s="31"/>
      <c r="E128" s="93"/>
      <c r="F128" s="93"/>
      <c r="G128" s="93"/>
      <c r="H128" s="76"/>
      <c r="I128" s="76"/>
      <c r="J128" s="76"/>
      <c r="K128" s="112"/>
    </row>
    <row r="129" spans="3:12" ht="15.75">
      <c r="C129" s="202" t="s">
        <v>392</v>
      </c>
      <c r="D129" s="370"/>
      <c r="E129" s="93"/>
      <c r="F129" s="93"/>
      <c r="G129" s="93"/>
      <c r="H129" s="76"/>
      <c r="I129" s="76"/>
      <c r="J129" s="76"/>
      <c r="K129" s="112"/>
    </row>
    <row r="130" spans="3:12" ht="18.75">
      <c r="C130" s="211" t="e">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Posgrado'!$E:$F,2,FALSE),IFERROR(VLOOKUP(D129,'16. Desa. del Sistema Educ.Sup.'!$E:$F,2,FALSE),IFERROR(VLOOKUP(D129,'9. Cultura de Inno. Insti...'!$E:$F,2,FALSE),VLOOKUP(D129,'7. Lo Esencial de la Reforma U.'!$E:$F,2,0))))))))))))))))</f>
        <v>#N/A</v>
      </c>
      <c r="D130" s="31"/>
      <c r="E130" s="93"/>
      <c r="F130" s="93"/>
      <c r="G130" s="93"/>
      <c r="H130" s="76"/>
      <c r="I130" s="76"/>
      <c r="J130" s="76"/>
      <c r="K130" s="112"/>
    </row>
    <row r="131" spans="3:12">
      <c r="F131" s="93"/>
      <c r="G131" s="76"/>
      <c r="H131" s="76"/>
      <c r="I131" s="76"/>
    </row>
    <row r="132" spans="3:12" ht="30.75" thickBot="1">
      <c r="C132" s="149" t="s">
        <v>44</v>
      </c>
      <c r="D132" s="149" t="s">
        <v>55</v>
      </c>
      <c r="E132" s="149" t="s">
        <v>57</v>
      </c>
      <c r="F132" s="150" t="s">
        <v>27</v>
      </c>
      <c r="G132" s="150" t="s">
        <v>131</v>
      </c>
      <c r="H132" s="149" t="s">
        <v>46</v>
      </c>
      <c r="I132" s="149" t="s">
        <v>132</v>
      </c>
      <c r="J132" s="149" t="s">
        <v>410</v>
      </c>
      <c r="K132" s="149" t="s">
        <v>411</v>
      </c>
      <c r="L132" s="149" t="s">
        <v>464</v>
      </c>
    </row>
    <row r="133" spans="3:12" ht="15.75" thickBot="1">
      <c r="C133" s="306" t="s">
        <v>1339</v>
      </c>
      <c r="D133" s="158"/>
      <c r="E133" s="96">
        <f>HLOOKUP($C133,$CB$2:$CE$3,2,0)</f>
        <v>15000</v>
      </c>
      <c r="F133" s="97">
        <f>D133*E133</f>
        <v>0</v>
      </c>
      <c r="G133" s="165"/>
      <c r="H133" s="98" t="s">
        <v>1014</v>
      </c>
      <c r="I133" s="98" t="str">
        <f>VLOOKUP(H133,Presupuesto!$B$11:$C$565,2,0)</f>
        <v>EQUIPO DE COMPUTACION</v>
      </c>
      <c r="J133" s="219" t="s">
        <v>1453</v>
      </c>
      <c r="K133" s="98" t="s">
        <v>394</v>
      </c>
      <c r="L133" s="98"/>
    </row>
    <row r="134" spans="3:12">
      <c r="C134" s="306" t="s">
        <v>1337</v>
      </c>
      <c r="D134" s="151"/>
      <c r="E134" s="96">
        <f>HLOOKUP($C134,$CB$2:$CE$3,2,0)</f>
        <v>35000</v>
      </c>
      <c r="F134" s="97">
        <f>D134*E134</f>
        <v>0</v>
      </c>
      <c r="G134" s="165"/>
      <c r="H134" s="101" t="s">
        <v>1014</v>
      </c>
      <c r="I134" s="101" t="str">
        <f>VLOOKUP(H134,Presupuesto!$B$11:$C$565,2,0)</f>
        <v>EQUIPO DE COMPUTACION</v>
      </c>
      <c r="J134" s="98" t="str">
        <f>$J$133</f>
        <v>Posgrado</v>
      </c>
      <c r="K134" s="98" t="s">
        <v>412</v>
      </c>
      <c r="L134" s="98"/>
    </row>
    <row r="135" spans="3:12">
      <c r="C135" s="99" t="s">
        <v>73</v>
      </c>
      <c r="D135" s="151"/>
      <c r="E135" s="100">
        <v>4000</v>
      </c>
      <c r="F135" s="97">
        <f t="shared" ref="F135:F146" si="12">D135*E135</f>
        <v>0</v>
      </c>
      <c r="G135" s="165"/>
      <c r="H135" s="101" t="s">
        <v>986</v>
      </c>
      <c r="I135" s="101" t="str">
        <f>VLOOKUP(H135,Presupuesto!$B$11:$C$565,2,0)</f>
        <v>EQUIPOS VARIOS DE OFICINA</v>
      </c>
      <c r="J135" s="98" t="str">
        <f t="shared" ref="J135:J145" si="13">$J$133</f>
        <v>Posgrado</v>
      </c>
      <c r="K135" s="98" t="s">
        <v>395</v>
      </c>
      <c r="L135" s="98"/>
    </row>
    <row r="136" spans="3:12">
      <c r="C136" s="99" t="s">
        <v>74</v>
      </c>
      <c r="D136" s="151"/>
      <c r="E136" s="100">
        <v>8000</v>
      </c>
      <c r="F136" s="97">
        <f t="shared" si="12"/>
        <v>0</v>
      </c>
      <c r="G136" s="165"/>
      <c r="H136" s="101" t="s">
        <v>1014</v>
      </c>
      <c r="I136" s="101" t="str">
        <f>VLOOKUP(H136,Presupuesto!$B$11:$C$565,2,0)</f>
        <v>EQUIPO DE COMPUTACION</v>
      </c>
      <c r="J136" s="98" t="str">
        <f t="shared" si="13"/>
        <v>Posgrado</v>
      </c>
      <c r="K136" s="98" t="s">
        <v>395</v>
      </c>
      <c r="L136" s="98"/>
    </row>
    <row r="137" spans="3:12">
      <c r="C137" s="99" t="s">
        <v>75</v>
      </c>
      <c r="D137" s="151"/>
      <c r="E137" s="100">
        <v>5000</v>
      </c>
      <c r="F137" s="97">
        <f t="shared" si="12"/>
        <v>0</v>
      </c>
      <c r="G137" s="165"/>
      <c r="H137" s="101" t="s">
        <v>1014</v>
      </c>
      <c r="I137" s="101" t="str">
        <f>VLOOKUP(H137,Presupuesto!$B$11:$C$565,2,0)</f>
        <v>EQUIPO DE COMPUTACION</v>
      </c>
      <c r="J137" s="98" t="str">
        <f t="shared" si="13"/>
        <v>Posgrado</v>
      </c>
      <c r="K137" s="98" t="s">
        <v>395</v>
      </c>
      <c r="L137" s="98"/>
    </row>
    <row r="138" spans="3:12">
      <c r="C138" s="99" t="s">
        <v>35</v>
      </c>
      <c r="D138" s="151"/>
      <c r="E138" s="100">
        <v>13000</v>
      </c>
      <c r="F138" s="97">
        <f t="shared" si="12"/>
        <v>0</v>
      </c>
      <c r="G138" s="165"/>
      <c r="H138" s="101" t="s">
        <v>1000</v>
      </c>
      <c r="I138" s="101" t="str">
        <f>VLOOKUP(H138,Presupuesto!$B$11:$C$565,2,0)</f>
        <v>EQUIPO DE TRANSPORTE TRACCION Y ELEVACION</v>
      </c>
      <c r="J138" s="98" t="str">
        <f t="shared" si="13"/>
        <v>Posgrado</v>
      </c>
      <c r="K138" s="98" t="s">
        <v>395</v>
      </c>
      <c r="L138" s="98"/>
    </row>
    <row r="139" spans="3:12">
      <c r="C139" s="99" t="s">
        <v>76</v>
      </c>
      <c r="D139" s="151"/>
      <c r="E139" s="100">
        <v>15000</v>
      </c>
      <c r="F139" s="97">
        <f t="shared" si="12"/>
        <v>0</v>
      </c>
      <c r="G139" s="165"/>
      <c r="H139" s="101" t="s">
        <v>1000</v>
      </c>
      <c r="I139" s="101" t="str">
        <f>VLOOKUP(H139,Presupuesto!$B$11:$C$565,2,0)</f>
        <v>EQUIPO DE TRANSPORTE TRACCION Y ELEVACION</v>
      </c>
      <c r="J139" s="98" t="str">
        <f t="shared" si="13"/>
        <v>Posgrado</v>
      </c>
      <c r="K139" s="98" t="s">
        <v>395</v>
      </c>
      <c r="L139" s="98"/>
    </row>
    <row r="140" spans="3:12">
      <c r="C140" s="99" t="s">
        <v>77</v>
      </c>
      <c r="D140" s="151"/>
      <c r="E140" s="100">
        <v>10000</v>
      </c>
      <c r="F140" s="97">
        <f t="shared" si="12"/>
        <v>0</v>
      </c>
      <c r="G140" s="165"/>
      <c r="H140" s="101" t="s">
        <v>1000</v>
      </c>
      <c r="I140" s="101" t="str">
        <f>VLOOKUP(H140,Presupuesto!$B$11:$C$565,2,0)</f>
        <v>EQUIPO DE TRANSPORTE TRACCION Y ELEVACION</v>
      </c>
      <c r="J140" s="98" t="str">
        <f t="shared" si="13"/>
        <v>Posgrado</v>
      </c>
      <c r="K140" s="98" t="s">
        <v>403</v>
      </c>
      <c r="L140" s="98"/>
    </row>
    <row r="141" spans="3:12">
      <c r="C141" s="99" t="s">
        <v>78</v>
      </c>
      <c r="D141" s="151"/>
      <c r="E141" s="100">
        <v>10000</v>
      </c>
      <c r="F141" s="97">
        <f t="shared" si="12"/>
        <v>0</v>
      </c>
      <c r="G141" s="165"/>
      <c r="H141" s="101" t="s">
        <v>1046</v>
      </c>
      <c r="I141" s="101" t="str">
        <f>VLOOKUP(H141,Presupuesto!$B$11:$C$565,2,0)</f>
        <v>APLICACIONES INFORMATICAS</v>
      </c>
      <c r="J141" s="98" t="str">
        <f t="shared" si="13"/>
        <v>Posgrado</v>
      </c>
      <c r="K141" s="98" t="s">
        <v>399</v>
      </c>
      <c r="L141" s="98"/>
    </row>
    <row r="142" spans="3:12">
      <c r="C142" s="109" t="s">
        <v>79</v>
      </c>
      <c r="D142" s="151"/>
      <c r="E142" s="100">
        <v>2000</v>
      </c>
      <c r="F142" s="97">
        <f t="shared" si="12"/>
        <v>0</v>
      </c>
      <c r="G142" s="165"/>
      <c r="H142" s="110" t="s">
        <v>1014</v>
      </c>
      <c r="I142" s="110" t="str">
        <f>VLOOKUP(H142,Presupuesto!$B$11:$C$565,2,0)</f>
        <v>EQUIPO DE COMPUTACION</v>
      </c>
      <c r="J142" s="98" t="str">
        <f t="shared" si="13"/>
        <v>Posgrado</v>
      </c>
      <c r="K142" s="98" t="s">
        <v>395</v>
      </c>
      <c r="L142" s="98"/>
    </row>
    <row r="143" spans="3:12">
      <c r="C143" s="109" t="s">
        <v>1481</v>
      </c>
      <c r="D143" s="151"/>
      <c r="E143" s="100">
        <v>1500</v>
      </c>
      <c r="F143" s="97">
        <f t="shared" si="12"/>
        <v>0</v>
      </c>
      <c r="G143" s="165"/>
      <c r="H143" s="110" t="s">
        <v>946</v>
      </c>
      <c r="I143" s="110" t="str">
        <f>VLOOKUP(H143,Presupuesto!$B$11:$C$565,2,0)</f>
        <v>UTILES Y MATERIALES ELECTRICOS</v>
      </c>
      <c r="J143" s="98" t="str">
        <f t="shared" si="13"/>
        <v>Posgrado</v>
      </c>
      <c r="K143" s="98" t="s">
        <v>395</v>
      </c>
      <c r="L143" s="98"/>
    </row>
    <row r="144" spans="3:12">
      <c r="C144" s="109" t="s">
        <v>80</v>
      </c>
      <c r="D144" s="151"/>
      <c r="E144" s="100">
        <v>1500</v>
      </c>
      <c r="F144" s="97">
        <f t="shared" si="12"/>
        <v>0</v>
      </c>
      <c r="G144" s="165"/>
      <c r="H144" s="110" t="s">
        <v>1014</v>
      </c>
      <c r="I144" s="110" t="str">
        <f>VLOOKUP(H144,Presupuesto!$B$11:$C$565,2,0)</f>
        <v>EQUIPO DE COMPUTACION</v>
      </c>
      <c r="J144" s="98" t="str">
        <f t="shared" si="13"/>
        <v>Posgrado</v>
      </c>
      <c r="K144" s="98" t="s">
        <v>395</v>
      </c>
      <c r="L144" s="98"/>
    </row>
    <row r="145" spans="3:12">
      <c r="C145" s="109" t="s">
        <v>81</v>
      </c>
      <c r="D145" s="151"/>
      <c r="E145" s="100">
        <v>500</v>
      </c>
      <c r="F145" s="97">
        <f t="shared" si="12"/>
        <v>0</v>
      </c>
      <c r="G145" s="165"/>
      <c r="H145" s="110" t="s">
        <v>955</v>
      </c>
      <c r="I145" s="110" t="str">
        <f>VLOOKUP(H145,Presupuesto!$B$11:$C$565,2,0)</f>
        <v>OTROS RESPUESTOS Y ACCESORIOS MENORES</v>
      </c>
      <c r="J145" s="98" t="str">
        <f t="shared" si="13"/>
        <v>Posgrado</v>
      </c>
      <c r="K145" s="98" t="s">
        <v>395</v>
      </c>
      <c r="L145" s="98"/>
    </row>
    <row r="146" spans="3:12" ht="15.75" thickBot="1">
      <c r="C146" s="102" t="s">
        <v>82</v>
      </c>
      <c r="D146" s="159"/>
      <c r="E146" s="104">
        <v>20</v>
      </c>
      <c r="F146" s="105">
        <f t="shared" si="12"/>
        <v>0</v>
      </c>
      <c r="G146" s="162"/>
      <c r="H146" s="106" t="s">
        <v>955</v>
      </c>
      <c r="I146" s="106" t="str">
        <f>VLOOKUP(H146,Presupuesto!$B$11:$C$565,2,0)</f>
        <v>OTROS RESPUESTOS Y ACCESORIOS MENORES</v>
      </c>
      <c r="J146" s="106" t="str">
        <f>$J$133</f>
        <v>Posgrado</v>
      </c>
      <c r="K146" s="124" t="s">
        <v>394</v>
      </c>
      <c r="L146" s="124"/>
    </row>
    <row r="148" spans="3:12" ht="15.75" thickBot="1"/>
    <row r="149" spans="3:12" ht="15.75" thickBot="1">
      <c r="C149" s="29" t="s">
        <v>43</v>
      </c>
      <c r="D149" s="108">
        <f>SUM(F156:F169)</f>
        <v>0</v>
      </c>
      <c r="F149" s="70"/>
      <c r="G149" s="79"/>
      <c r="H149" s="70"/>
      <c r="I149" s="70"/>
    </row>
    <row r="150" spans="3:12">
      <c r="C150" s="70"/>
      <c r="D150" s="31"/>
      <c r="E150" s="93"/>
      <c r="F150" s="93"/>
      <c r="G150" s="93"/>
      <c r="H150" s="76"/>
      <c r="I150" s="76"/>
      <c r="J150" s="76"/>
      <c r="K150" s="112"/>
    </row>
    <row r="151" spans="3:12">
      <c r="C151" s="70"/>
      <c r="D151" s="31"/>
      <c r="E151" s="93"/>
      <c r="F151" s="93"/>
      <c r="G151" s="93"/>
      <c r="H151" s="76"/>
      <c r="I151" s="76"/>
      <c r="J151" s="76"/>
      <c r="K151" s="112"/>
    </row>
    <row r="152" spans="3:12" ht="15.75">
      <c r="C152" s="202" t="s">
        <v>392</v>
      </c>
      <c r="D152" s="370"/>
      <c r="E152" s="93"/>
      <c r="F152" s="93"/>
      <c r="G152" s="93"/>
      <c r="H152" s="76"/>
      <c r="I152" s="76"/>
      <c r="J152" s="76"/>
      <c r="K152" s="112"/>
    </row>
    <row r="153" spans="3:12" ht="18.75">
      <c r="C153" s="211" t="e">
        <f>IFERROR(VLOOKUP(D152,'1. Desarrollo e Innov. Curricu.'!$E:$F,2,FALSE),IFERROR(VLOOKUP(D152,'2. Investigación Científica'!$E:$F,2,FALSE),IFERROR(VLOOKUP(D152,'3. Vinculación Univ. Sociedad'!$E:$F,2,FALSE),IFERROR(VLOOKUP(D152,'4. Docencia y Profesorado Univ.'!$E:$F,2,FALSE),IFERROR(VLOOKUP(D152,'5. Estudiantes y Graduados'!$E:$F,2,FALSE),IFERROR(VLOOKUP(D152,'11. Gestion Administrativa'!$E:$F,2,FALSE),IFERROR(VLOOKUP(D152,'13. Gestión Académica'!$E:$F,2,FALSE),IFERROR(VLOOKUP(D152,'8. Asegura. de la Calid. y M'!$E:$F,2,FALSE),IFERROR(VLOOKUP(D152,'6. Gestión del Conocimiento'!$E:$F,2,FALSE),IFERROR(VLOOKUP(D152,'15. Gobernabilidad y Proceso...'!$E:$F,2,FALSE),IFERROR(VLOOKUP(D152,'12. Gestión del Talento Humano'!$E:$F,2,FALSE),IFERROR(VLOOKUP(D152,'14. Internacional... de la E.S.'!$E:$F,2,FALSE),IFERROR(VLOOKUP(D152,'10. Posgrado'!$E:$F,2,FALSE),IFERROR(VLOOKUP(D152,'16. Desa. del Sistema Educ.Sup.'!$E:$F,2,FALSE),IFERROR(VLOOKUP(D152,'9. Cultura de Inno. Insti...'!$E:$F,2,FALSE),VLOOKUP(D152,'7. Lo Esencial de la Reforma U.'!$E:$F,2,0))))))))))))))))</f>
        <v>#N/A</v>
      </c>
      <c r="D153" s="31"/>
      <c r="E153" s="93"/>
      <c r="F153" s="93"/>
      <c r="G153" s="93"/>
      <c r="H153" s="76"/>
      <c r="I153" s="76"/>
      <c r="J153" s="76"/>
      <c r="K153" s="112"/>
    </row>
    <row r="154" spans="3:12">
      <c r="F154" s="93"/>
      <c r="G154" s="76"/>
      <c r="H154" s="76"/>
      <c r="I154" s="76"/>
    </row>
    <row r="155" spans="3:12" ht="30.75" thickBot="1">
      <c r="C155" s="149" t="s">
        <v>44</v>
      </c>
      <c r="D155" s="149" t="s">
        <v>55</v>
      </c>
      <c r="E155" s="149" t="s">
        <v>57</v>
      </c>
      <c r="F155" s="150" t="s">
        <v>27</v>
      </c>
      <c r="G155" s="150" t="s">
        <v>131</v>
      </c>
      <c r="H155" s="149" t="s">
        <v>46</v>
      </c>
      <c r="I155" s="149" t="s">
        <v>132</v>
      </c>
      <c r="J155" s="149" t="s">
        <v>410</v>
      </c>
      <c r="K155" s="149" t="s">
        <v>411</v>
      </c>
      <c r="L155" s="149" t="s">
        <v>464</v>
      </c>
    </row>
    <row r="156" spans="3:12" ht="15.75" thickBot="1">
      <c r="C156" s="306" t="s">
        <v>1339</v>
      </c>
      <c r="D156" s="158"/>
      <c r="E156" s="96">
        <f>HLOOKUP($C156,$CB$2:$CE$3,2,0)</f>
        <v>15000</v>
      </c>
      <c r="F156" s="97">
        <f>D156*E156</f>
        <v>0</v>
      </c>
      <c r="G156" s="165"/>
      <c r="H156" s="98" t="s">
        <v>1014</v>
      </c>
      <c r="I156" s="98" t="str">
        <f>VLOOKUP(H156,Presupuesto!$B$11:$C$565,2,0)</f>
        <v>EQUIPO DE COMPUTACION</v>
      </c>
      <c r="J156" s="219" t="s">
        <v>1453</v>
      </c>
      <c r="K156" s="98" t="s">
        <v>394</v>
      </c>
      <c r="L156" s="98"/>
    </row>
    <row r="157" spans="3:12">
      <c r="C157" s="306" t="s">
        <v>1337</v>
      </c>
      <c r="D157" s="151"/>
      <c r="E157" s="96">
        <f>HLOOKUP($C157,$CB$2:$CE$3,2,0)</f>
        <v>35000</v>
      </c>
      <c r="F157" s="97">
        <f>D157*E157</f>
        <v>0</v>
      </c>
      <c r="G157" s="165"/>
      <c r="H157" s="101" t="s">
        <v>1014</v>
      </c>
      <c r="I157" s="101" t="str">
        <f>VLOOKUP(H157,Presupuesto!$B$11:$C$565,2,0)</f>
        <v>EQUIPO DE COMPUTACION</v>
      </c>
      <c r="J157" s="98" t="str">
        <f>$J$156</f>
        <v>Posgrado</v>
      </c>
      <c r="K157" s="98" t="s">
        <v>412</v>
      </c>
      <c r="L157" s="98"/>
    </row>
    <row r="158" spans="3:12">
      <c r="C158" s="99" t="s">
        <v>73</v>
      </c>
      <c r="D158" s="151"/>
      <c r="E158" s="100">
        <v>4000</v>
      </c>
      <c r="F158" s="97">
        <f t="shared" ref="F158:F169" si="14">D158*E158</f>
        <v>0</v>
      </c>
      <c r="G158" s="165"/>
      <c r="H158" s="101" t="s">
        <v>986</v>
      </c>
      <c r="I158" s="101" t="str">
        <f>VLOOKUP(H158,Presupuesto!$B$11:$C$565,2,0)</f>
        <v>EQUIPOS VARIOS DE OFICINA</v>
      </c>
      <c r="J158" s="98" t="str">
        <f t="shared" ref="J158:J169" si="15">$J$156</f>
        <v>Posgrado</v>
      </c>
      <c r="K158" s="98" t="s">
        <v>395</v>
      </c>
      <c r="L158" s="98"/>
    </row>
    <row r="159" spans="3:12">
      <c r="C159" s="99" t="s">
        <v>74</v>
      </c>
      <c r="D159" s="151"/>
      <c r="E159" s="100">
        <v>8000</v>
      </c>
      <c r="F159" s="97">
        <f t="shared" si="14"/>
        <v>0</v>
      </c>
      <c r="G159" s="165"/>
      <c r="H159" s="101" t="s">
        <v>1014</v>
      </c>
      <c r="I159" s="101" t="str">
        <f>VLOOKUP(H159,Presupuesto!$B$11:$C$565,2,0)</f>
        <v>EQUIPO DE COMPUTACION</v>
      </c>
      <c r="J159" s="98" t="str">
        <f t="shared" si="15"/>
        <v>Posgrado</v>
      </c>
      <c r="K159" s="98" t="s">
        <v>395</v>
      </c>
      <c r="L159" s="98"/>
    </row>
    <row r="160" spans="3:12">
      <c r="C160" s="99" t="s">
        <v>75</v>
      </c>
      <c r="D160" s="151"/>
      <c r="E160" s="100">
        <v>5000</v>
      </c>
      <c r="F160" s="97">
        <f t="shared" si="14"/>
        <v>0</v>
      </c>
      <c r="G160" s="165"/>
      <c r="H160" s="101" t="s">
        <v>1014</v>
      </c>
      <c r="I160" s="101" t="str">
        <f>VLOOKUP(H160,Presupuesto!$B$11:$C$565,2,0)</f>
        <v>EQUIPO DE COMPUTACION</v>
      </c>
      <c r="J160" s="98" t="str">
        <f t="shared" si="15"/>
        <v>Posgrado</v>
      </c>
      <c r="K160" s="98" t="s">
        <v>395</v>
      </c>
      <c r="L160" s="98"/>
    </row>
    <row r="161" spans="3:12">
      <c r="C161" s="99" t="s">
        <v>35</v>
      </c>
      <c r="D161" s="151"/>
      <c r="E161" s="100">
        <v>13000</v>
      </c>
      <c r="F161" s="97">
        <f t="shared" si="14"/>
        <v>0</v>
      </c>
      <c r="G161" s="165"/>
      <c r="H161" s="101" t="s">
        <v>1000</v>
      </c>
      <c r="I161" s="101" t="str">
        <f>VLOOKUP(H161,Presupuesto!$B$11:$C$565,2,0)</f>
        <v>EQUIPO DE TRANSPORTE TRACCION Y ELEVACION</v>
      </c>
      <c r="J161" s="98" t="str">
        <f t="shared" si="15"/>
        <v>Posgrado</v>
      </c>
      <c r="K161" s="98" t="s">
        <v>395</v>
      </c>
      <c r="L161" s="98"/>
    </row>
    <row r="162" spans="3:12">
      <c r="C162" s="99" t="s">
        <v>76</v>
      </c>
      <c r="D162" s="151"/>
      <c r="E162" s="100">
        <v>15000</v>
      </c>
      <c r="F162" s="97">
        <f t="shared" si="14"/>
        <v>0</v>
      </c>
      <c r="G162" s="165"/>
      <c r="H162" s="101" t="s">
        <v>1000</v>
      </c>
      <c r="I162" s="101" t="str">
        <f>VLOOKUP(H162,Presupuesto!$B$11:$C$565,2,0)</f>
        <v>EQUIPO DE TRANSPORTE TRACCION Y ELEVACION</v>
      </c>
      <c r="J162" s="98" t="str">
        <f t="shared" si="15"/>
        <v>Posgrado</v>
      </c>
      <c r="K162" s="98" t="s">
        <v>395</v>
      </c>
      <c r="L162" s="98"/>
    </row>
    <row r="163" spans="3:12">
      <c r="C163" s="99" t="s">
        <v>77</v>
      </c>
      <c r="D163" s="151"/>
      <c r="E163" s="100">
        <v>10000</v>
      </c>
      <c r="F163" s="97">
        <f t="shared" si="14"/>
        <v>0</v>
      </c>
      <c r="G163" s="165"/>
      <c r="H163" s="101" t="s">
        <v>1000</v>
      </c>
      <c r="I163" s="101" t="str">
        <f>VLOOKUP(H163,Presupuesto!$B$11:$C$565,2,0)</f>
        <v>EQUIPO DE TRANSPORTE TRACCION Y ELEVACION</v>
      </c>
      <c r="J163" s="98" t="str">
        <f t="shared" si="15"/>
        <v>Posgrado</v>
      </c>
      <c r="K163" s="98" t="s">
        <v>403</v>
      </c>
      <c r="L163" s="98"/>
    </row>
    <row r="164" spans="3:12">
      <c r="C164" s="99" t="s">
        <v>78</v>
      </c>
      <c r="D164" s="151"/>
      <c r="E164" s="100">
        <v>10000</v>
      </c>
      <c r="F164" s="97">
        <f t="shared" si="14"/>
        <v>0</v>
      </c>
      <c r="G164" s="165"/>
      <c r="H164" s="101" t="s">
        <v>1046</v>
      </c>
      <c r="I164" s="101" t="str">
        <f>VLOOKUP(H164,Presupuesto!$B$11:$C$565,2,0)</f>
        <v>APLICACIONES INFORMATICAS</v>
      </c>
      <c r="J164" s="98" t="str">
        <f t="shared" si="15"/>
        <v>Posgrado</v>
      </c>
      <c r="K164" s="98" t="s">
        <v>399</v>
      </c>
      <c r="L164" s="98"/>
    </row>
    <row r="165" spans="3:12">
      <c r="C165" s="109" t="s">
        <v>79</v>
      </c>
      <c r="D165" s="151"/>
      <c r="E165" s="100">
        <v>2000</v>
      </c>
      <c r="F165" s="97">
        <f t="shared" si="14"/>
        <v>0</v>
      </c>
      <c r="G165" s="165"/>
      <c r="H165" s="110" t="s">
        <v>1014</v>
      </c>
      <c r="I165" s="110" t="str">
        <f>VLOOKUP(H165,Presupuesto!$B$11:$C$565,2,0)</f>
        <v>EQUIPO DE COMPUTACION</v>
      </c>
      <c r="J165" s="98" t="str">
        <f t="shared" si="15"/>
        <v>Posgrado</v>
      </c>
      <c r="K165" s="98" t="s">
        <v>395</v>
      </c>
      <c r="L165" s="98"/>
    </row>
    <row r="166" spans="3:12">
      <c r="C166" s="109" t="s">
        <v>1481</v>
      </c>
      <c r="D166" s="151"/>
      <c r="E166" s="100">
        <v>1500</v>
      </c>
      <c r="F166" s="97">
        <f t="shared" si="14"/>
        <v>0</v>
      </c>
      <c r="G166" s="165"/>
      <c r="H166" s="110" t="s">
        <v>946</v>
      </c>
      <c r="I166" s="110" t="str">
        <f>VLOOKUP(H166,Presupuesto!$B$11:$C$565,2,0)</f>
        <v>UTILES Y MATERIALES ELECTRICOS</v>
      </c>
      <c r="J166" s="98" t="str">
        <f t="shared" si="15"/>
        <v>Posgrado</v>
      </c>
      <c r="K166" s="98" t="s">
        <v>395</v>
      </c>
      <c r="L166" s="98"/>
    </row>
    <row r="167" spans="3:12">
      <c r="C167" s="109" t="s">
        <v>80</v>
      </c>
      <c r="D167" s="151"/>
      <c r="E167" s="100">
        <v>1500</v>
      </c>
      <c r="F167" s="97">
        <f t="shared" si="14"/>
        <v>0</v>
      </c>
      <c r="G167" s="165"/>
      <c r="H167" s="110" t="s">
        <v>1014</v>
      </c>
      <c r="I167" s="110" t="str">
        <f>VLOOKUP(H167,Presupuesto!$B$11:$C$565,2,0)</f>
        <v>EQUIPO DE COMPUTACION</v>
      </c>
      <c r="J167" s="98" t="str">
        <f t="shared" si="15"/>
        <v>Posgrado</v>
      </c>
      <c r="K167" s="98" t="s">
        <v>395</v>
      </c>
      <c r="L167" s="98"/>
    </row>
    <row r="168" spans="3:12">
      <c r="C168" s="109" t="s">
        <v>81</v>
      </c>
      <c r="D168" s="151"/>
      <c r="E168" s="100">
        <v>500</v>
      </c>
      <c r="F168" s="97">
        <f t="shared" si="14"/>
        <v>0</v>
      </c>
      <c r="G168" s="165"/>
      <c r="H168" s="110" t="s">
        <v>955</v>
      </c>
      <c r="I168" s="110" t="str">
        <f>VLOOKUP(H168,Presupuesto!$B$11:$C$565,2,0)</f>
        <v>OTROS RESPUESTOS Y ACCESORIOS MENORES</v>
      </c>
      <c r="J168" s="98" t="str">
        <f t="shared" si="15"/>
        <v>Posgrado</v>
      </c>
      <c r="K168" s="98" t="s">
        <v>395</v>
      </c>
      <c r="L168" s="98"/>
    </row>
    <row r="169" spans="3:12" ht="15.75" thickBot="1">
      <c r="C169" s="102" t="s">
        <v>82</v>
      </c>
      <c r="D169" s="159"/>
      <c r="E169" s="104">
        <v>20</v>
      </c>
      <c r="F169" s="105">
        <f t="shared" si="14"/>
        <v>0</v>
      </c>
      <c r="G169" s="162"/>
      <c r="H169" s="106" t="s">
        <v>955</v>
      </c>
      <c r="I169" s="106" t="str">
        <f>VLOOKUP(H169,Presupuesto!$B$11:$C$565,2,0)</f>
        <v>OTROS RESPUESTOS Y ACCESORIOS MENORES</v>
      </c>
      <c r="J169" s="106" t="str">
        <f t="shared" si="15"/>
        <v>Posgrado</v>
      </c>
      <c r="K169" s="124" t="s">
        <v>394</v>
      </c>
      <c r="L169" s="124"/>
    </row>
    <row r="170" spans="3:12">
      <c r="F170" s="93"/>
      <c r="G170" s="76"/>
      <c r="H170" s="76"/>
      <c r="I170" s="76"/>
    </row>
    <row r="171" spans="3:12" ht="15.75" thickBot="1"/>
    <row r="172" spans="3:12" ht="15.75" thickBot="1">
      <c r="C172" s="29" t="s">
        <v>43</v>
      </c>
      <c r="D172" s="108">
        <f>SUM(F179:F192)</f>
        <v>0</v>
      </c>
      <c r="F172" s="70"/>
      <c r="G172" s="79"/>
      <c r="H172" s="70"/>
      <c r="I172" s="70"/>
    </row>
    <row r="173" spans="3:12">
      <c r="C173" s="70"/>
      <c r="D173" s="31"/>
      <c r="E173" s="93"/>
      <c r="F173" s="93"/>
      <c r="G173" s="93"/>
      <c r="H173" s="76"/>
      <c r="I173" s="76"/>
      <c r="J173" s="76"/>
      <c r="K173" s="112"/>
    </row>
    <row r="174" spans="3:12">
      <c r="C174" s="70"/>
      <c r="D174" s="31"/>
      <c r="E174" s="93"/>
      <c r="F174" s="93"/>
      <c r="G174" s="93"/>
      <c r="H174" s="76"/>
      <c r="I174" s="76"/>
      <c r="J174" s="76"/>
      <c r="K174" s="112"/>
    </row>
    <row r="175" spans="3:12" ht="15.75">
      <c r="C175" s="202" t="s">
        <v>392</v>
      </c>
      <c r="D175" s="370"/>
      <c r="E175" s="93"/>
      <c r="F175" s="93"/>
      <c r="G175" s="93"/>
      <c r="H175" s="76"/>
      <c r="I175" s="76"/>
      <c r="J175" s="76"/>
      <c r="K175" s="112"/>
    </row>
    <row r="176" spans="3:12" ht="18.75">
      <c r="C176" s="211" t="e">
        <f>IFERROR(VLOOKUP(D175,'1. Desarrollo e Innov. Curricu.'!$E:$F,2,FALSE),IFERROR(VLOOKUP(D175,'2. Investigación Científica'!$E:$F,2,FALSE),IFERROR(VLOOKUP(D175,'3. Vinculación Univ. Sociedad'!$E:$F,2,FALSE),IFERROR(VLOOKUP(D175,'4. Docencia y Profesorado Univ.'!$E:$F,2,FALSE),IFERROR(VLOOKUP(D175,'5. Estudiantes y Graduados'!$E:$F,2,FALSE),IFERROR(VLOOKUP(D175,'11. Gestion Administrativa'!$E:$F,2,FALSE),IFERROR(VLOOKUP(D175,'13. Gestión Académica'!$E:$F,2,FALSE),IFERROR(VLOOKUP(D175,'8. Asegura. de la Calid. y M'!$E:$F,2,FALSE),IFERROR(VLOOKUP(D175,'6. Gestión del Conocimiento'!$E:$F,2,FALSE),IFERROR(VLOOKUP(D175,'15. Gobernabilidad y Proceso...'!$E:$F,2,FALSE),IFERROR(VLOOKUP(D175,'12. Gestión del Talento Humano'!$E:$F,2,FALSE),IFERROR(VLOOKUP(D175,'14. Internacional... de la E.S.'!$E:$F,2,FALSE),IFERROR(VLOOKUP(D175,'10. Posgrado'!$E:$F,2,FALSE),IFERROR(VLOOKUP(D175,'16. Desa. del Sistema Educ.Sup.'!$E:$F,2,FALSE),IFERROR(VLOOKUP(D175,'9. Cultura de Inno. Insti...'!$E:$F,2,FALSE),VLOOKUP(D175,'7. Lo Esencial de la Reforma U.'!$E:$F,2,0))))))))))))))))</f>
        <v>#N/A</v>
      </c>
      <c r="D176" s="31"/>
      <c r="E176" s="93"/>
      <c r="F176" s="93"/>
      <c r="G176" s="93"/>
      <c r="H176" s="76"/>
      <c r="I176" s="76"/>
      <c r="J176" s="76"/>
      <c r="K176" s="112"/>
    </row>
    <row r="177" spans="3:12">
      <c r="F177" s="93"/>
      <c r="G177" s="76"/>
      <c r="H177" s="76"/>
      <c r="I177" s="76"/>
    </row>
    <row r="178" spans="3:12" ht="30.75" thickBot="1">
      <c r="C178" s="149" t="s">
        <v>44</v>
      </c>
      <c r="D178" s="149" t="s">
        <v>55</v>
      </c>
      <c r="E178" s="149" t="s">
        <v>57</v>
      </c>
      <c r="F178" s="150" t="s">
        <v>27</v>
      </c>
      <c r="G178" s="150" t="s">
        <v>131</v>
      </c>
      <c r="H178" s="149" t="s">
        <v>46</v>
      </c>
      <c r="I178" s="149" t="s">
        <v>132</v>
      </c>
      <c r="J178" s="149" t="s">
        <v>410</v>
      </c>
      <c r="K178" s="149" t="s">
        <v>411</v>
      </c>
      <c r="L178" s="149" t="s">
        <v>464</v>
      </c>
    </row>
    <row r="179" spans="3:12" ht="15.75" thickBot="1">
      <c r="C179" s="306" t="s">
        <v>1339</v>
      </c>
      <c r="D179" s="158"/>
      <c r="E179" s="96">
        <f>HLOOKUP($C179,$CB$2:$CE$3,2,0)</f>
        <v>15000</v>
      </c>
      <c r="F179" s="97">
        <f>D179*E179</f>
        <v>0</v>
      </c>
      <c r="G179" s="165"/>
      <c r="H179" s="98" t="s">
        <v>1014</v>
      </c>
      <c r="I179" s="98" t="str">
        <f>VLOOKUP(H179,Presupuesto!$B$11:$C$565,2,0)</f>
        <v>EQUIPO DE COMPUTACION</v>
      </c>
      <c r="J179" s="219" t="s">
        <v>1453</v>
      </c>
      <c r="K179" s="98" t="s">
        <v>394</v>
      </c>
      <c r="L179" s="98"/>
    </row>
    <row r="180" spans="3:12">
      <c r="C180" s="306" t="s">
        <v>1337</v>
      </c>
      <c r="D180" s="151"/>
      <c r="E180" s="96">
        <f>HLOOKUP($C180,$CB$2:$CE$3,2,0)</f>
        <v>35000</v>
      </c>
      <c r="F180" s="97">
        <f>D180*E180</f>
        <v>0</v>
      </c>
      <c r="G180" s="165"/>
      <c r="H180" s="101" t="s">
        <v>1014</v>
      </c>
      <c r="I180" s="101" t="str">
        <f>VLOOKUP(H180,Presupuesto!$B$11:$C$565,2,0)</f>
        <v>EQUIPO DE COMPUTACION</v>
      </c>
      <c r="J180" s="98" t="str">
        <f>$J$179</f>
        <v>Posgrado</v>
      </c>
      <c r="K180" s="98" t="s">
        <v>412</v>
      </c>
      <c r="L180" s="98"/>
    </row>
    <row r="181" spans="3:12">
      <c r="C181" s="99" t="s">
        <v>73</v>
      </c>
      <c r="D181" s="151"/>
      <c r="E181" s="100">
        <v>4000</v>
      </c>
      <c r="F181" s="97">
        <f t="shared" ref="F181:F192" si="16">D181*E181</f>
        <v>0</v>
      </c>
      <c r="G181" s="165"/>
      <c r="H181" s="101" t="s">
        <v>986</v>
      </c>
      <c r="I181" s="101" t="str">
        <f>VLOOKUP(H181,Presupuesto!$B$11:$C$565,2,0)</f>
        <v>EQUIPOS VARIOS DE OFICINA</v>
      </c>
      <c r="J181" s="98" t="str">
        <f t="shared" ref="J181:J192" si="17">$J$179</f>
        <v>Posgrado</v>
      </c>
      <c r="K181" s="98" t="s">
        <v>395</v>
      </c>
      <c r="L181" s="98"/>
    </row>
    <row r="182" spans="3:12">
      <c r="C182" s="99" t="s">
        <v>74</v>
      </c>
      <c r="D182" s="151"/>
      <c r="E182" s="100">
        <v>8000</v>
      </c>
      <c r="F182" s="97">
        <f t="shared" si="16"/>
        <v>0</v>
      </c>
      <c r="G182" s="165"/>
      <c r="H182" s="101" t="s">
        <v>1014</v>
      </c>
      <c r="I182" s="101" t="str">
        <f>VLOOKUP(H182,Presupuesto!$B$11:$C$565,2,0)</f>
        <v>EQUIPO DE COMPUTACION</v>
      </c>
      <c r="J182" s="98" t="str">
        <f t="shared" si="17"/>
        <v>Posgrado</v>
      </c>
      <c r="K182" s="98" t="s">
        <v>395</v>
      </c>
      <c r="L182" s="98"/>
    </row>
    <row r="183" spans="3:12">
      <c r="C183" s="99" t="s">
        <v>75</v>
      </c>
      <c r="D183" s="151"/>
      <c r="E183" s="100">
        <v>5000</v>
      </c>
      <c r="F183" s="97">
        <f t="shared" si="16"/>
        <v>0</v>
      </c>
      <c r="G183" s="165"/>
      <c r="H183" s="101" t="s">
        <v>1014</v>
      </c>
      <c r="I183" s="101" t="str">
        <f>VLOOKUP(H183,Presupuesto!$B$11:$C$565,2,0)</f>
        <v>EQUIPO DE COMPUTACION</v>
      </c>
      <c r="J183" s="98" t="str">
        <f t="shared" si="17"/>
        <v>Posgrado</v>
      </c>
      <c r="K183" s="98" t="s">
        <v>395</v>
      </c>
      <c r="L183" s="98"/>
    </row>
    <row r="184" spans="3:12">
      <c r="C184" s="99" t="s">
        <v>35</v>
      </c>
      <c r="D184" s="151"/>
      <c r="E184" s="100">
        <v>13000</v>
      </c>
      <c r="F184" s="97">
        <f t="shared" si="16"/>
        <v>0</v>
      </c>
      <c r="G184" s="165"/>
      <c r="H184" s="101" t="s">
        <v>1000</v>
      </c>
      <c r="I184" s="101" t="str">
        <f>VLOOKUP(H184,Presupuesto!$B$11:$C$565,2,0)</f>
        <v>EQUIPO DE TRANSPORTE TRACCION Y ELEVACION</v>
      </c>
      <c r="J184" s="98" t="str">
        <f t="shared" si="17"/>
        <v>Posgrado</v>
      </c>
      <c r="K184" s="98" t="s">
        <v>395</v>
      </c>
      <c r="L184" s="98"/>
    </row>
    <row r="185" spans="3:12">
      <c r="C185" s="99" t="s">
        <v>76</v>
      </c>
      <c r="D185" s="151"/>
      <c r="E185" s="100">
        <v>15000</v>
      </c>
      <c r="F185" s="97">
        <f t="shared" si="16"/>
        <v>0</v>
      </c>
      <c r="G185" s="165"/>
      <c r="H185" s="101" t="s">
        <v>1000</v>
      </c>
      <c r="I185" s="101" t="str">
        <f>VLOOKUP(H185,Presupuesto!$B$11:$C$565,2,0)</f>
        <v>EQUIPO DE TRANSPORTE TRACCION Y ELEVACION</v>
      </c>
      <c r="J185" s="98" t="str">
        <f t="shared" si="17"/>
        <v>Posgrado</v>
      </c>
      <c r="K185" s="98" t="s">
        <v>395</v>
      </c>
      <c r="L185" s="98"/>
    </row>
    <row r="186" spans="3:12">
      <c r="C186" s="99" t="s">
        <v>77</v>
      </c>
      <c r="D186" s="151"/>
      <c r="E186" s="100">
        <v>10000</v>
      </c>
      <c r="F186" s="97">
        <f t="shared" si="16"/>
        <v>0</v>
      </c>
      <c r="G186" s="165"/>
      <c r="H186" s="101" t="s">
        <v>1000</v>
      </c>
      <c r="I186" s="101" t="str">
        <f>VLOOKUP(H186,Presupuesto!$B$11:$C$565,2,0)</f>
        <v>EQUIPO DE TRANSPORTE TRACCION Y ELEVACION</v>
      </c>
      <c r="J186" s="98" t="str">
        <f t="shared" si="17"/>
        <v>Posgrado</v>
      </c>
      <c r="K186" s="98" t="s">
        <v>403</v>
      </c>
      <c r="L186" s="98"/>
    </row>
    <row r="187" spans="3:12">
      <c r="C187" s="99" t="s">
        <v>78</v>
      </c>
      <c r="D187" s="151"/>
      <c r="E187" s="100">
        <v>10000</v>
      </c>
      <c r="F187" s="97">
        <f t="shared" si="16"/>
        <v>0</v>
      </c>
      <c r="G187" s="165"/>
      <c r="H187" s="101" t="s">
        <v>1046</v>
      </c>
      <c r="I187" s="101" t="str">
        <f>VLOOKUP(H187,Presupuesto!$B$11:$C$565,2,0)</f>
        <v>APLICACIONES INFORMATICAS</v>
      </c>
      <c r="J187" s="98" t="str">
        <f t="shared" si="17"/>
        <v>Posgrado</v>
      </c>
      <c r="K187" s="98" t="s">
        <v>399</v>
      </c>
      <c r="L187" s="98"/>
    </row>
    <row r="188" spans="3:12">
      <c r="C188" s="109" t="s">
        <v>79</v>
      </c>
      <c r="D188" s="151"/>
      <c r="E188" s="100">
        <v>2000</v>
      </c>
      <c r="F188" s="97">
        <f t="shared" si="16"/>
        <v>0</v>
      </c>
      <c r="G188" s="165"/>
      <c r="H188" s="110" t="s">
        <v>1014</v>
      </c>
      <c r="I188" s="110" t="str">
        <f>VLOOKUP(H188,Presupuesto!$B$11:$C$565,2,0)</f>
        <v>EQUIPO DE COMPUTACION</v>
      </c>
      <c r="J188" s="98" t="str">
        <f t="shared" si="17"/>
        <v>Posgrado</v>
      </c>
      <c r="K188" s="98" t="s">
        <v>395</v>
      </c>
      <c r="L188" s="98"/>
    </row>
    <row r="189" spans="3:12">
      <c r="C189" s="109" t="s">
        <v>1481</v>
      </c>
      <c r="D189" s="151"/>
      <c r="E189" s="100">
        <v>1500</v>
      </c>
      <c r="F189" s="97">
        <f t="shared" si="16"/>
        <v>0</v>
      </c>
      <c r="G189" s="165"/>
      <c r="H189" s="110" t="s">
        <v>946</v>
      </c>
      <c r="I189" s="110" t="str">
        <f>VLOOKUP(H189,Presupuesto!$B$11:$C$565,2,0)</f>
        <v>UTILES Y MATERIALES ELECTRICOS</v>
      </c>
      <c r="J189" s="98" t="str">
        <f t="shared" si="17"/>
        <v>Posgrado</v>
      </c>
      <c r="K189" s="98" t="s">
        <v>395</v>
      </c>
      <c r="L189" s="98"/>
    </row>
    <row r="190" spans="3:12">
      <c r="C190" s="109" t="s">
        <v>80</v>
      </c>
      <c r="D190" s="151"/>
      <c r="E190" s="100">
        <v>1500</v>
      </c>
      <c r="F190" s="97">
        <f t="shared" si="16"/>
        <v>0</v>
      </c>
      <c r="G190" s="165"/>
      <c r="H190" s="110" t="s">
        <v>1014</v>
      </c>
      <c r="I190" s="110" t="str">
        <f>VLOOKUP(H190,Presupuesto!$B$11:$C$565,2,0)</f>
        <v>EQUIPO DE COMPUTACION</v>
      </c>
      <c r="J190" s="98" t="str">
        <f t="shared" si="17"/>
        <v>Posgrado</v>
      </c>
      <c r="K190" s="98" t="s">
        <v>395</v>
      </c>
      <c r="L190" s="98"/>
    </row>
    <row r="191" spans="3:12">
      <c r="C191" s="109" t="s">
        <v>81</v>
      </c>
      <c r="D191" s="151"/>
      <c r="E191" s="100">
        <v>500</v>
      </c>
      <c r="F191" s="97">
        <f t="shared" si="16"/>
        <v>0</v>
      </c>
      <c r="G191" s="165"/>
      <c r="H191" s="110" t="s">
        <v>955</v>
      </c>
      <c r="I191" s="110" t="str">
        <f>VLOOKUP(H191,Presupuesto!$B$11:$C$565,2,0)</f>
        <v>OTROS RESPUESTOS Y ACCESORIOS MENORES</v>
      </c>
      <c r="J191" s="98" t="str">
        <f t="shared" si="17"/>
        <v>Posgrado</v>
      </c>
      <c r="K191" s="98" t="s">
        <v>395</v>
      </c>
      <c r="L191" s="98"/>
    </row>
    <row r="192" spans="3:12" ht="15.75" thickBot="1">
      <c r="C192" s="102" t="s">
        <v>82</v>
      </c>
      <c r="D192" s="159"/>
      <c r="E192" s="104">
        <v>20</v>
      </c>
      <c r="F192" s="105">
        <f t="shared" si="16"/>
        <v>0</v>
      </c>
      <c r="G192" s="162"/>
      <c r="H192" s="106" t="s">
        <v>955</v>
      </c>
      <c r="I192" s="106" t="str">
        <f>VLOOKUP(H192,Presupuesto!$B$11:$C$565,2,0)</f>
        <v>OTROS RESPUESTOS Y ACCESORIOS MENORES</v>
      </c>
      <c r="J192" s="106" t="str">
        <f t="shared" si="17"/>
        <v>Posgrado</v>
      </c>
      <c r="K192" s="124" t="s">
        <v>394</v>
      </c>
      <c r="L192" s="124"/>
    </row>
    <row r="194" spans="3:12" ht="15.75" thickBot="1"/>
    <row r="195" spans="3:12" ht="15.75" thickBot="1">
      <c r="C195" s="29" t="s">
        <v>43</v>
      </c>
      <c r="D195" s="108">
        <f>SUM(F202:F215)</f>
        <v>0</v>
      </c>
      <c r="F195" s="70"/>
      <c r="G195" s="79"/>
      <c r="H195" s="70"/>
      <c r="I195" s="70"/>
    </row>
    <row r="196" spans="3:12">
      <c r="C196" s="70"/>
      <c r="D196" s="31"/>
      <c r="E196" s="93"/>
      <c r="F196" s="93"/>
      <c r="G196" s="93"/>
      <c r="H196" s="76"/>
      <c r="I196" s="76"/>
      <c r="J196" s="76"/>
      <c r="K196" s="112"/>
    </row>
    <row r="197" spans="3:12">
      <c r="C197" s="70"/>
      <c r="D197" s="31"/>
      <c r="E197" s="93"/>
      <c r="F197" s="93"/>
      <c r="G197" s="93"/>
      <c r="H197" s="76"/>
      <c r="I197" s="76"/>
      <c r="J197" s="76"/>
      <c r="K197" s="112"/>
    </row>
    <row r="198" spans="3:12" ht="15.75">
      <c r="C198" s="202" t="s">
        <v>392</v>
      </c>
      <c r="D198" s="370"/>
      <c r="E198" s="93"/>
      <c r="F198" s="93"/>
      <c r="G198" s="93"/>
      <c r="H198" s="76"/>
      <c r="I198" s="76"/>
      <c r="J198" s="76"/>
      <c r="K198" s="112"/>
    </row>
    <row r="199" spans="3:12" ht="18.75">
      <c r="C199" s="211" t="e">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Posgrado'!$E:$F,2,FALSE),IFERROR(VLOOKUP(D198,'16. Desa. del Sistema Educ.Sup.'!$E:$F,2,FALSE),IFERROR(VLOOKUP(D198,'9. Cultura de Inno. Insti...'!$E:$F,2,FALSE),VLOOKUP(D198,'7. Lo Esencial de la Reforma U.'!$E:$F,2,0))))))))))))))))</f>
        <v>#N/A</v>
      </c>
      <c r="D199" s="31"/>
      <c r="E199" s="93"/>
      <c r="F199" s="93"/>
      <c r="G199" s="93"/>
      <c r="H199" s="76"/>
      <c r="I199" s="76"/>
      <c r="J199" s="76"/>
      <c r="K199" s="112"/>
    </row>
    <row r="200" spans="3:12">
      <c r="F200" s="93"/>
      <c r="G200" s="76"/>
      <c r="H200" s="76"/>
      <c r="I200" s="76"/>
    </row>
    <row r="201" spans="3:12" ht="30.75" thickBot="1">
      <c r="C201" s="149" t="s">
        <v>44</v>
      </c>
      <c r="D201" s="149" t="s">
        <v>55</v>
      </c>
      <c r="E201" s="149" t="s">
        <v>57</v>
      </c>
      <c r="F201" s="150" t="s">
        <v>27</v>
      </c>
      <c r="G201" s="150" t="s">
        <v>131</v>
      </c>
      <c r="H201" s="149" t="s">
        <v>46</v>
      </c>
      <c r="I201" s="149" t="s">
        <v>132</v>
      </c>
      <c r="J201" s="149" t="s">
        <v>410</v>
      </c>
      <c r="K201" s="149" t="s">
        <v>411</v>
      </c>
      <c r="L201" s="149" t="s">
        <v>464</v>
      </c>
    </row>
    <row r="202" spans="3:12" ht="15.75" thickBot="1">
      <c r="C202" s="306" t="s">
        <v>1339</v>
      </c>
      <c r="D202" s="158"/>
      <c r="E202" s="96">
        <f>HLOOKUP($C202,$CB$2:$CE$3,2,0)</f>
        <v>15000</v>
      </c>
      <c r="F202" s="97">
        <f>D202*E202</f>
        <v>0</v>
      </c>
      <c r="G202" s="165"/>
      <c r="H202" s="98" t="s">
        <v>1014</v>
      </c>
      <c r="I202" s="98" t="str">
        <f>VLOOKUP(H202,Presupuesto!$B$11:$C$565,2,0)</f>
        <v>EQUIPO DE COMPUTACION</v>
      </c>
      <c r="J202" s="219" t="s">
        <v>1453</v>
      </c>
      <c r="K202" s="98" t="s">
        <v>394</v>
      </c>
      <c r="L202" s="98"/>
    </row>
    <row r="203" spans="3:12">
      <c r="C203" s="306" t="s">
        <v>1337</v>
      </c>
      <c r="D203" s="151"/>
      <c r="E203" s="96">
        <f>HLOOKUP($C203,$CB$2:$CE$3,2,0)</f>
        <v>35000</v>
      </c>
      <c r="F203" s="97">
        <f>D203*E203</f>
        <v>0</v>
      </c>
      <c r="G203" s="165"/>
      <c r="H203" s="101" t="s">
        <v>1014</v>
      </c>
      <c r="I203" s="101" t="str">
        <f>VLOOKUP(H203,Presupuesto!$B$11:$C$565,2,0)</f>
        <v>EQUIPO DE COMPUTACION</v>
      </c>
      <c r="J203" s="98" t="str">
        <f>$J$202</f>
        <v>Posgrado</v>
      </c>
      <c r="K203" s="98" t="s">
        <v>412</v>
      </c>
      <c r="L203" s="98"/>
    </row>
    <row r="204" spans="3:12">
      <c r="C204" s="99" t="s">
        <v>73</v>
      </c>
      <c r="D204" s="151"/>
      <c r="E204" s="100">
        <v>4000</v>
      </c>
      <c r="F204" s="97">
        <f t="shared" ref="F204:F215" si="18">D204*E204</f>
        <v>0</v>
      </c>
      <c r="G204" s="165"/>
      <c r="H204" s="101" t="s">
        <v>986</v>
      </c>
      <c r="I204" s="101" t="str">
        <f>VLOOKUP(H204,Presupuesto!$B$11:$C$565,2,0)</f>
        <v>EQUIPOS VARIOS DE OFICINA</v>
      </c>
      <c r="J204" s="98" t="str">
        <f t="shared" ref="J204:J215" si="19">$J$202</f>
        <v>Posgrado</v>
      </c>
      <c r="K204" s="98" t="s">
        <v>395</v>
      </c>
      <c r="L204" s="98"/>
    </row>
    <row r="205" spans="3:12">
      <c r="C205" s="99" t="s">
        <v>74</v>
      </c>
      <c r="D205" s="151"/>
      <c r="E205" s="100">
        <v>8000</v>
      </c>
      <c r="F205" s="97">
        <f t="shared" si="18"/>
        <v>0</v>
      </c>
      <c r="G205" s="165"/>
      <c r="H205" s="101" t="s">
        <v>1014</v>
      </c>
      <c r="I205" s="101" t="str">
        <f>VLOOKUP(H205,Presupuesto!$B$11:$C$565,2,0)</f>
        <v>EQUIPO DE COMPUTACION</v>
      </c>
      <c r="J205" s="98" t="str">
        <f t="shared" si="19"/>
        <v>Posgrado</v>
      </c>
      <c r="K205" s="98" t="s">
        <v>395</v>
      </c>
      <c r="L205" s="98"/>
    </row>
    <row r="206" spans="3:12">
      <c r="C206" s="99" t="s">
        <v>75</v>
      </c>
      <c r="D206" s="151"/>
      <c r="E206" s="100">
        <v>5000</v>
      </c>
      <c r="F206" s="97">
        <f t="shared" si="18"/>
        <v>0</v>
      </c>
      <c r="G206" s="165"/>
      <c r="H206" s="101" t="s">
        <v>1014</v>
      </c>
      <c r="I206" s="101" t="str">
        <f>VLOOKUP(H206,Presupuesto!$B$11:$C$565,2,0)</f>
        <v>EQUIPO DE COMPUTACION</v>
      </c>
      <c r="J206" s="98" t="str">
        <f t="shared" si="19"/>
        <v>Posgrado</v>
      </c>
      <c r="K206" s="98" t="s">
        <v>395</v>
      </c>
      <c r="L206" s="98"/>
    </row>
    <row r="207" spans="3:12">
      <c r="C207" s="99" t="s">
        <v>35</v>
      </c>
      <c r="D207" s="151"/>
      <c r="E207" s="100">
        <v>13000</v>
      </c>
      <c r="F207" s="97">
        <f t="shared" si="18"/>
        <v>0</v>
      </c>
      <c r="G207" s="165"/>
      <c r="H207" s="101" t="s">
        <v>1000</v>
      </c>
      <c r="I207" s="101" t="str">
        <f>VLOOKUP(H207,Presupuesto!$B$11:$C$565,2,0)</f>
        <v>EQUIPO DE TRANSPORTE TRACCION Y ELEVACION</v>
      </c>
      <c r="J207" s="98" t="str">
        <f t="shared" si="19"/>
        <v>Posgrado</v>
      </c>
      <c r="K207" s="98" t="s">
        <v>395</v>
      </c>
      <c r="L207" s="98"/>
    </row>
    <row r="208" spans="3:12">
      <c r="C208" s="99" t="s">
        <v>76</v>
      </c>
      <c r="D208" s="151"/>
      <c r="E208" s="100">
        <v>15000</v>
      </c>
      <c r="F208" s="97">
        <f t="shared" si="18"/>
        <v>0</v>
      </c>
      <c r="G208" s="165"/>
      <c r="H208" s="101" t="s">
        <v>1000</v>
      </c>
      <c r="I208" s="101" t="str">
        <f>VLOOKUP(H208,Presupuesto!$B$11:$C$565,2,0)</f>
        <v>EQUIPO DE TRANSPORTE TRACCION Y ELEVACION</v>
      </c>
      <c r="J208" s="98" t="str">
        <f t="shared" si="19"/>
        <v>Posgrado</v>
      </c>
      <c r="K208" s="98" t="s">
        <v>395</v>
      </c>
      <c r="L208" s="98"/>
    </row>
    <row r="209" spans="3:12">
      <c r="C209" s="99" t="s">
        <v>77</v>
      </c>
      <c r="D209" s="151"/>
      <c r="E209" s="100">
        <v>10000</v>
      </c>
      <c r="F209" s="97">
        <f t="shared" si="18"/>
        <v>0</v>
      </c>
      <c r="G209" s="165"/>
      <c r="H209" s="101" t="s">
        <v>1000</v>
      </c>
      <c r="I209" s="101" t="str">
        <f>VLOOKUP(H209,Presupuesto!$B$11:$C$565,2,0)</f>
        <v>EQUIPO DE TRANSPORTE TRACCION Y ELEVACION</v>
      </c>
      <c r="J209" s="98" t="str">
        <f t="shared" si="19"/>
        <v>Posgrado</v>
      </c>
      <c r="K209" s="98" t="s">
        <v>403</v>
      </c>
      <c r="L209" s="98"/>
    </row>
    <row r="210" spans="3:12">
      <c r="C210" s="99" t="s">
        <v>78</v>
      </c>
      <c r="D210" s="151"/>
      <c r="E210" s="100">
        <v>10000</v>
      </c>
      <c r="F210" s="97">
        <f t="shared" si="18"/>
        <v>0</v>
      </c>
      <c r="G210" s="165"/>
      <c r="H210" s="101" t="s">
        <v>1046</v>
      </c>
      <c r="I210" s="101" t="str">
        <f>VLOOKUP(H210,Presupuesto!$B$11:$C$565,2,0)</f>
        <v>APLICACIONES INFORMATICAS</v>
      </c>
      <c r="J210" s="98" t="str">
        <f t="shared" si="19"/>
        <v>Posgrado</v>
      </c>
      <c r="K210" s="98" t="s">
        <v>399</v>
      </c>
      <c r="L210" s="98"/>
    </row>
    <row r="211" spans="3:12">
      <c r="C211" s="109" t="s">
        <v>79</v>
      </c>
      <c r="D211" s="151"/>
      <c r="E211" s="100">
        <v>2000</v>
      </c>
      <c r="F211" s="97">
        <f t="shared" si="18"/>
        <v>0</v>
      </c>
      <c r="G211" s="165"/>
      <c r="H211" s="110" t="s">
        <v>1014</v>
      </c>
      <c r="I211" s="110" t="str">
        <f>VLOOKUP(H211,Presupuesto!$B$11:$C$565,2,0)</f>
        <v>EQUIPO DE COMPUTACION</v>
      </c>
      <c r="J211" s="98" t="str">
        <f t="shared" si="19"/>
        <v>Posgrado</v>
      </c>
      <c r="K211" s="98" t="s">
        <v>395</v>
      </c>
      <c r="L211" s="98"/>
    </row>
    <row r="212" spans="3:12">
      <c r="C212" s="109" t="s">
        <v>1481</v>
      </c>
      <c r="D212" s="151"/>
      <c r="E212" s="100">
        <v>1500</v>
      </c>
      <c r="F212" s="97">
        <f t="shared" si="18"/>
        <v>0</v>
      </c>
      <c r="G212" s="165"/>
      <c r="H212" s="110" t="s">
        <v>946</v>
      </c>
      <c r="I212" s="110" t="str">
        <f>VLOOKUP(H212,Presupuesto!$B$11:$C$565,2,0)</f>
        <v>UTILES Y MATERIALES ELECTRICOS</v>
      </c>
      <c r="J212" s="98" t="str">
        <f t="shared" si="19"/>
        <v>Posgrado</v>
      </c>
      <c r="K212" s="98" t="s">
        <v>395</v>
      </c>
      <c r="L212" s="98"/>
    </row>
    <row r="213" spans="3:12">
      <c r="C213" s="109" t="s">
        <v>80</v>
      </c>
      <c r="D213" s="151"/>
      <c r="E213" s="100">
        <v>1500</v>
      </c>
      <c r="F213" s="97">
        <f t="shared" si="18"/>
        <v>0</v>
      </c>
      <c r="G213" s="165"/>
      <c r="H213" s="110" t="s">
        <v>1014</v>
      </c>
      <c r="I213" s="110" t="str">
        <f>VLOOKUP(H213,Presupuesto!$B$11:$C$565,2,0)</f>
        <v>EQUIPO DE COMPUTACION</v>
      </c>
      <c r="J213" s="98" t="str">
        <f t="shared" si="19"/>
        <v>Posgrado</v>
      </c>
      <c r="K213" s="98" t="s">
        <v>395</v>
      </c>
      <c r="L213" s="98"/>
    </row>
    <row r="214" spans="3:12">
      <c r="C214" s="109" t="s">
        <v>81</v>
      </c>
      <c r="D214" s="151"/>
      <c r="E214" s="100">
        <v>500</v>
      </c>
      <c r="F214" s="97">
        <f t="shared" si="18"/>
        <v>0</v>
      </c>
      <c r="G214" s="165"/>
      <c r="H214" s="110" t="s">
        <v>955</v>
      </c>
      <c r="I214" s="110" t="str">
        <f>VLOOKUP(H214,Presupuesto!$B$11:$C$565,2,0)</f>
        <v>OTROS RESPUESTOS Y ACCESORIOS MENORES</v>
      </c>
      <c r="J214" s="98" t="str">
        <f t="shared" si="19"/>
        <v>Posgrado</v>
      </c>
      <c r="K214" s="98" t="s">
        <v>395</v>
      </c>
      <c r="L214" s="98"/>
    </row>
    <row r="215" spans="3:12" ht="15.75" thickBot="1">
      <c r="C215" s="102" t="s">
        <v>82</v>
      </c>
      <c r="D215" s="159"/>
      <c r="E215" s="104">
        <v>20</v>
      </c>
      <c r="F215" s="105">
        <f t="shared" si="18"/>
        <v>0</v>
      </c>
      <c r="G215" s="162"/>
      <c r="H215" s="106" t="s">
        <v>955</v>
      </c>
      <c r="I215" s="106" t="str">
        <f>VLOOKUP(H215,Presupuesto!$B$11:$C$565,2,0)</f>
        <v>OTROS RESPUESTOS Y ACCESORIOS MENORES</v>
      </c>
      <c r="J215" s="106" t="str">
        <f t="shared" si="19"/>
        <v>Posgrado</v>
      </c>
      <c r="K215" s="124" t="s">
        <v>394</v>
      </c>
      <c r="L215" s="124"/>
    </row>
    <row r="216" spans="3:12">
      <c r="F216" s="93"/>
      <c r="G216" s="76"/>
      <c r="H216" s="76"/>
      <c r="I216" s="76"/>
    </row>
    <row r="217" spans="3:12" ht="15.75" thickBot="1"/>
    <row r="218" spans="3:12" ht="15.75" thickBot="1">
      <c r="C218" s="29" t="s">
        <v>43</v>
      </c>
      <c r="D218" s="108">
        <f>SUM(F225:F238)</f>
        <v>0</v>
      </c>
      <c r="F218" s="70"/>
      <c r="G218" s="79"/>
      <c r="H218" s="70"/>
      <c r="I218" s="70"/>
    </row>
    <row r="219" spans="3:12">
      <c r="C219" s="70"/>
      <c r="D219" s="31"/>
      <c r="E219" s="93"/>
      <c r="F219" s="93"/>
      <c r="G219" s="93"/>
      <c r="H219" s="76"/>
      <c r="I219" s="76"/>
      <c r="J219" s="76"/>
      <c r="K219" s="112"/>
    </row>
    <row r="220" spans="3:12">
      <c r="C220" s="70"/>
      <c r="D220" s="31"/>
      <c r="E220" s="93"/>
      <c r="F220" s="93"/>
      <c r="G220" s="93"/>
      <c r="H220" s="76"/>
      <c r="I220" s="76"/>
      <c r="J220" s="76"/>
      <c r="K220" s="112"/>
    </row>
    <row r="221" spans="3:12" ht="15.75">
      <c r="C221" s="202" t="s">
        <v>392</v>
      </c>
      <c r="D221" s="370"/>
      <c r="E221" s="93"/>
      <c r="F221" s="93"/>
      <c r="G221" s="93"/>
      <c r="H221" s="76"/>
      <c r="I221" s="76"/>
      <c r="J221" s="76"/>
      <c r="K221" s="112"/>
    </row>
    <row r="222" spans="3:12" ht="18.75">
      <c r="C222" s="211" t="e">
        <f>IFERROR(VLOOKUP(D221,'1. Desarrollo e Innov. Curricu.'!$E:$F,2,FALSE),IFERROR(VLOOKUP(D221,'2. Investigación Científica'!$E:$F,2,FALSE),IFERROR(VLOOKUP(D221,'3. Vinculación Univ. Sociedad'!$E:$F,2,FALSE),IFERROR(VLOOKUP(D221,'4. Docencia y Profesorado Univ.'!$E:$F,2,FALSE),IFERROR(VLOOKUP(D221,'5. Estudiantes y Graduados'!$E:$F,2,FALSE),IFERROR(VLOOKUP(D221,'11. Gestion Administrativa'!$E:$F,2,FALSE),IFERROR(VLOOKUP(D221,'13. Gestión Académica'!$E:$F,2,FALSE),IFERROR(VLOOKUP(D221,'8. Asegura. de la Calid. y M'!$E:$F,2,FALSE),IFERROR(VLOOKUP(D221,'6. Gestión del Conocimiento'!$E:$F,2,FALSE),IFERROR(VLOOKUP(D221,'15. Gobernabilidad y Proceso...'!$E:$F,2,FALSE),IFERROR(VLOOKUP(D221,'12. Gestión del Talento Humano'!$E:$F,2,FALSE),IFERROR(VLOOKUP(D221,'14. Internacional... de la E.S.'!$E:$F,2,FALSE),IFERROR(VLOOKUP(D221,'10. Posgrado'!$E:$F,2,FALSE),IFERROR(VLOOKUP(D221,'16. Desa. del Sistema Educ.Sup.'!$E:$F,2,FALSE),IFERROR(VLOOKUP(D221,'9. Cultura de Inno. Insti...'!$E:$F,2,FALSE),VLOOKUP(D221,'7. Lo Esencial de la Reforma U.'!$E:$F,2,0))))))))))))))))</f>
        <v>#N/A</v>
      </c>
      <c r="D222" s="31"/>
      <c r="E222" s="93"/>
      <c r="F222" s="93"/>
      <c r="G222" s="93"/>
      <c r="H222" s="76"/>
      <c r="I222" s="76"/>
      <c r="J222" s="76"/>
      <c r="K222" s="112"/>
    </row>
    <row r="223" spans="3:12">
      <c r="F223" s="93"/>
      <c r="G223" s="76"/>
      <c r="H223" s="76"/>
      <c r="I223" s="76"/>
    </row>
    <row r="224" spans="3:12" ht="30.75" thickBot="1">
      <c r="C224" s="149" t="s">
        <v>44</v>
      </c>
      <c r="D224" s="149" t="s">
        <v>55</v>
      </c>
      <c r="E224" s="149" t="s">
        <v>57</v>
      </c>
      <c r="F224" s="150" t="s">
        <v>27</v>
      </c>
      <c r="G224" s="150" t="s">
        <v>131</v>
      </c>
      <c r="H224" s="149" t="s">
        <v>46</v>
      </c>
      <c r="I224" s="149" t="s">
        <v>132</v>
      </c>
      <c r="J224" s="149" t="s">
        <v>410</v>
      </c>
      <c r="K224" s="149" t="s">
        <v>411</v>
      </c>
      <c r="L224" s="149" t="s">
        <v>464</v>
      </c>
    </row>
    <row r="225" spans="3:12" ht="15.75" thickBot="1">
      <c r="C225" s="306" t="s">
        <v>1339</v>
      </c>
      <c r="D225" s="158"/>
      <c r="E225" s="96">
        <f>HLOOKUP($C225,$CB$2:$CE$3,2,0)</f>
        <v>15000</v>
      </c>
      <c r="F225" s="97">
        <f>D225*E225</f>
        <v>0</v>
      </c>
      <c r="G225" s="165"/>
      <c r="H225" s="98" t="s">
        <v>1014</v>
      </c>
      <c r="I225" s="98" t="str">
        <f>VLOOKUP(H225,Presupuesto!$B$11:$C$565,2,0)</f>
        <v>EQUIPO DE COMPUTACION</v>
      </c>
      <c r="J225" s="219" t="s">
        <v>1453</v>
      </c>
      <c r="K225" s="98" t="s">
        <v>394</v>
      </c>
      <c r="L225" s="98"/>
    </row>
    <row r="226" spans="3:12">
      <c r="C226" s="306" t="s">
        <v>1337</v>
      </c>
      <c r="D226" s="151"/>
      <c r="E226" s="96">
        <f>HLOOKUP($C226,$CB$2:$CE$3,2,0)</f>
        <v>35000</v>
      </c>
      <c r="F226" s="97">
        <f>D226*E226</f>
        <v>0</v>
      </c>
      <c r="G226" s="165"/>
      <c r="H226" s="101" t="s">
        <v>1014</v>
      </c>
      <c r="I226" s="101" t="str">
        <f>VLOOKUP(H226,Presupuesto!$B$11:$C$565,2,0)</f>
        <v>EQUIPO DE COMPUTACION</v>
      </c>
      <c r="J226" s="98" t="str">
        <f>$J$225</f>
        <v>Posgrado</v>
      </c>
      <c r="K226" s="98" t="s">
        <v>412</v>
      </c>
      <c r="L226" s="98"/>
    </row>
    <row r="227" spans="3:12">
      <c r="C227" s="99" t="s">
        <v>73</v>
      </c>
      <c r="D227" s="151"/>
      <c r="E227" s="100">
        <v>4000</v>
      </c>
      <c r="F227" s="97">
        <f t="shared" ref="F227:F238" si="20">D227*E227</f>
        <v>0</v>
      </c>
      <c r="G227" s="165"/>
      <c r="H227" s="101" t="s">
        <v>986</v>
      </c>
      <c r="I227" s="101" t="str">
        <f>VLOOKUP(H227,Presupuesto!$B$11:$C$565,2,0)</f>
        <v>EQUIPOS VARIOS DE OFICINA</v>
      </c>
      <c r="J227" s="98" t="str">
        <f t="shared" ref="J227:J238" si="21">$J$225</f>
        <v>Posgrado</v>
      </c>
      <c r="K227" s="98" t="s">
        <v>395</v>
      </c>
      <c r="L227" s="98"/>
    </row>
    <row r="228" spans="3:12">
      <c r="C228" s="99" t="s">
        <v>74</v>
      </c>
      <c r="D228" s="151"/>
      <c r="E228" s="100">
        <v>8000</v>
      </c>
      <c r="F228" s="97">
        <f t="shared" si="20"/>
        <v>0</v>
      </c>
      <c r="G228" s="165"/>
      <c r="H228" s="101" t="s">
        <v>1014</v>
      </c>
      <c r="I228" s="101" t="str">
        <f>VLOOKUP(H228,Presupuesto!$B$11:$C$565,2,0)</f>
        <v>EQUIPO DE COMPUTACION</v>
      </c>
      <c r="J228" s="98" t="str">
        <f t="shared" si="21"/>
        <v>Posgrado</v>
      </c>
      <c r="K228" s="98" t="s">
        <v>395</v>
      </c>
      <c r="L228" s="98"/>
    </row>
    <row r="229" spans="3:12">
      <c r="C229" s="99" t="s">
        <v>75</v>
      </c>
      <c r="D229" s="151"/>
      <c r="E229" s="100">
        <v>5000</v>
      </c>
      <c r="F229" s="97">
        <f t="shared" si="20"/>
        <v>0</v>
      </c>
      <c r="G229" s="165"/>
      <c r="H229" s="101" t="s">
        <v>1014</v>
      </c>
      <c r="I229" s="101" t="str">
        <f>VLOOKUP(H229,Presupuesto!$B$11:$C$565,2,0)</f>
        <v>EQUIPO DE COMPUTACION</v>
      </c>
      <c r="J229" s="98" t="str">
        <f t="shared" si="21"/>
        <v>Posgrado</v>
      </c>
      <c r="K229" s="98" t="s">
        <v>395</v>
      </c>
      <c r="L229" s="98"/>
    </row>
    <row r="230" spans="3:12">
      <c r="C230" s="99" t="s">
        <v>35</v>
      </c>
      <c r="D230" s="151"/>
      <c r="E230" s="100">
        <v>13000</v>
      </c>
      <c r="F230" s="97">
        <f t="shared" si="20"/>
        <v>0</v>
      </c>
      <c r="G230" s="165"/>
      <c r="H230" s="101" t="s">
        <v>1000</v>
      </c>
      <c r="I230" s="101" t="str">
        <f>VLOOKUP(H230,Presupuesto!$B$11:$C$565,2,0)</f>
        <v>EQUIPO DE TRANSPORTE TRACCION Y ELEVACION</v>
      </c>
      <c r="J230" s="98" t="str">
        <f t="shared" si="21"/>
        <v>Posgrado</v>
      </c>
      <c r="K230" s="98" t="s">
        <v>395</v>
      </c>
      <c r="L230" s="98"/>
    </row>
    <row r="231" spans="3:12">
      <c r="C231" s="99" t="s">
        <v>76</v>
      </c>
      <c r="D231" s="151"/>
      <c r="E231" s="100">
        <v>15000</v>
      </c>
      <c r="F231" s="97">
        <f t="shared" si="20"/>
        <v>0</v>
      </c>
      <c r="G231" s="165"/>
      <c r="H231" s="101" t="s">
        <v>1000</v>
      </c>
      <c r="I231" s="101" t="str">
        <f>VLOOKUP(H231,Presupuesto!$B$11:$C$565,2,0)</f>
        <v>EQUIPO DE TRANSPORTE TRACCION Y ELEVACION</v>
      </c>
      <c r="J231" s="98" t="str">
        <f t="shared" si="21"/>
        <v>Posgrado</v>
      </c>
      <c r="K231" s="98" t="s">
        <v>395</v>
      </c>
      <c r="L231" s="98"/>
    </row>
    <row r="232" spans="3:12">
      <c r="C232" s="99" t="s">
        <v>77</v>
      </c>
      <c r="D232" s="151"/>
      <c r="E232" s="100">
        <v>10000</v>
      </c>
      <c r="F232" s="97">
        <f t="shared" si="20"/>
        <v>0</v>
      </c>
      <c r="G232" s="165"/>
      <c r="H232" s="101" t="s">
        <v>1000</v>
      </c>
      <c r="I232" s="101" t="str">
        <f>VLOOKUP(H232,Presupuesto!$B$11:$C$565,2,0)</f>
        <v>EQUIPO DE TRANSPORTE TRACCION Y ELEVACION</v>
      </c>
      <c r="J232" s="98" t="str">
        <f t="shared" si="21"/>
        <v>Posgrado</v>
      </c>
      <c r="K232" s="98" t="s">
        <v>403</v>
      </c>
      <c r="L232" s="98"/>
    </row>
    <row r="233" spans="3:12">
      <c r="C233" s="99" t="s">
        <v>78</v>
      </c>
      <c r="D233" s="151"/>
      <c r="E233" s="100">
        <v>10000</v>
      </c>
      <c r="F233" s="97">
        <f t="shared" si="20"/>
        <v>0</v>
      </c>
      <c r="G233" s="165"/>
      <c r="H233" s="101" t="s">
        <v>1046</v>
      </c>
      <c r="I233" s="101" t="str">
        <f>VLOOKUP(H233,Presupuesto!$B$11:$C$565,2,0)</f>
        <v>APLICACIONES INFORMATICAS</v>
      </c>
      <c r="J233" s="98" t="str">
        <f t="shared" si="21"/>
        <v>Posgrado</v>
      </c>
      <c r="K233" s="98" t="s">
        <v>399</v>
      </c>
      <c r="L233" s="98"/>
    </row>
    <row r="234" spans="3:12">
      <c r="C234" s="109" t="s">
        <v>79</v>
      </c>
      <c r="D234" s="151"/>
      <c r="E234" s="100">
        <v>2000</v>
      </c>
      <c r="F234" s="97">
        <f t="shared" si="20"/>
        <v>0</v>
      </c>
      <c r="G234" s="165"/>
      <c r="H234" s="110" t="s">
        <v>1014</v>
      </c>
      <c r="I234" s="110" t="str">
        <f>VLOOKUP(H234,Presupuesto!$B$11:$C$565,2,0)</f>
        <v>EQUIPO DE COMPUTACION</v>
      </c>
      <c r="J234" s="98" t="str">
        <f t="shared" si="21"/>
        <v>Posgrado</v>
      </c>
      <c r="K234" s="98" t="s">
        <v>395</v>
      </c>
      <c r="L234" s="98"/>
    </row>
    <row r="235" spans="3:12">
      <c r="C235" s="109" t="s">
        <v>1481</v>
      </c>
      <c r="D235" s="151"/>
      <c r="E235" s="100">
        <v>1500</v>
      </c>
      <c r="F235" s="97">
        <f t="shared" si="20"/>
        <v>0</v>
      </c>
      <c r="G235" s="165"/>
      <c r="H235" s="110" t="s">
        <v>946</v>
      </c>
      <c r="I235" s="110" t="str">
        <f>VLOOKUP(H235,Presupuesto!$B$11:$C$565,2,0)</f>
        <v>UTILES Y MATERIALES ELECTRICOS</v>
      </c>
      <c r="J235" s="98" t="str">
        <f t="shared" si="21"/>
        <v>Posgrado</v>
      </c>
      <c r="K235" s="98" t="s">
        <v>395</v>
      </c>
      <c r="L235" s="98"/>
    </row>
    <row r="236" spans="3:12">
      <c r="C236" s="109" t="s">
        <v>80</v>
      </c>
      <c r="D236" s="151"/>
      <c r="E236" s="100">
        <v>1500</v>
      </c>
      <c r="F236" s="97">
        <f t="shared" si="20"/>
        <v>0</v>
      </c>
      <c r="G236" s="165"/>
      <c r="H236" s="110" t="s">
        <v>1014</v>
      </c>
      <c r="I236" s="110" t="str">
        <f>VLOOKUP(H236,Presupuesto!$B$11:$C$565,2,0)</f>
        <v>EQUIPO DE COMPUTACION</v>
      </c>
      <c r="J236" s="98" t="str">
        <f t="shared" si="21"/>
        <v>Posgrado</v>
      </c>
      <c r="K236" s="98" t="s">
        <v>395</v>
      </c>
      <c r="L236" s="98"/>
    </row>
    <row r="237" spans="3:12">
      <c r="C237" s="109" t="s">
        <v>81</v>
      </c>
      <c r="D237" s="151"/>
      <c r="E237" s="100">
        <v>500</v>
      </c>
      <c r="F237" s="97">
        <f t="shared" si="20"/>
        <v>0</v>
      </c>
      <c r="G237" s="165"/>
      <c r="H237" s="110" t="s">
        <v>955</v>
      </c>
      <c r="I237" s="110" t="str">
        <f>VLOOKUP(H237,Presupuesto!$B$11:$C$565,2,0)</f>
        <v>OTROS RESPUESTOS Y ACCESORIOS MENORES</v>
      </c>
      <c r="J237" s="98" t="str">
        <f t="shared" si="21"/>
        <v>Posgrado</v>
      </c>
      <c r="K237" s="98" t="s">
        <v>395</v>
      </c>
      <c r="L237" s="98"/>
    </row>
    <row r="238" spans="3:12" ht="15.75" thickBot="1">
      <c r="C238" s="102" t="s">
        <v>82</v>
      </c>
      <c r="D238" s="159"/>
      <c r="E238" s="104">
        <v>20</v>
      </c>
      <c r="F238" s="105">
        <f t="shared" si="20"/>
        <v>0</v>
      </c>
      <c r="G238" s="162"/>
      <c r="H238" s="106" t="s">
        <v>955</v>
      </c>
      <c r="I238" s="106" t="str">
        <f>VLOOKUP(H238,Presupuesto!$B$11:$C$565,2,0)</f>
        <v>OTROS RESPUESTOS Y ACCESORIOS MENORES</v>
      </c>
      <c r="J238" s="106" t="str">
        <f t="shared" si="21"/>
        <v>Posgrado</v>
      </c>
      <c r="K238" s="124" t="s">
        <v>394</v>
      </c>
      <c r="L238" s="124"/>
    </row>
    <row r="240" spans="3:12" ht="15.75" thickBot="1"/>
    <row r="241" spans="3:12" ht="15.75" thickBot="1">
      <c r="C241" s="29" t="s">
        <v>43</v>
      </c>
      <c r="D241" s="108">
        <f>SUM(F248:F261)</f>
        <v>0</v>
      </c>
      <c r="F241" s="70"/>
      <c r="G241" s="79"/>
      <c r="H241" s="70"/>
      <c r="I241" s="70"/>
    </row>
    <row r="242" spans="3:12">
      <c r="C242" s="70"/>
      <c r="D242" s="31"/>
      <c r="E242" s="93"/>
      <c r="F242" s="93"/>
      <c r="G242" s="93"/>
      <c r="H242" s="76"/>
      <c r="I242" s="76"/>
      <c r="J242" s="76"/>
      <c r="K242" s="112"/>
    </row>
    <row r="243" spans="3:12">
      <c r="C243" s="70"/>
      <c r="D243" s="31"/>
      <c r="E243" s="93"/>
      <c r="F243" s="93"/>
      <c r="G243" s="93"/>
      <c r="H243" s="76"/>
      <c r="I243" s="76"/>
      <c r="J243" s="76"/>
      <c r="K243" s="112"/>
    </row>
    <row r="244" spans="3:12" ht="15.75">
      <c r="C244" s="202" t="s">
        <v>392</v>
      </c>
      <c r="D244" s="370"/>
      <c r="E244" s="93"/>
      <c r="F244" s="93"/>
      <c r="G244" s="93"/>
      <c r="H244" s="76"/>
      <c r="I244" s="76"/>
      <c r="J244" s="76"/>
      <c r="K244" s="112"/>
    </row>
    <row r="245" spans="3:12" ht="18.75">
      <c r="C245" s="211" t="e">
        <f>IFERROR(VLOOKUP(D244,'1. Desarrollo e Innov. Curricu.'!$E:$F,2,FALSE),IFERROR(VLOOKUP(D244,'2. Investigación Científica'!$E:$F,2,FALSE),IFERROR(VLOOKUP(D244,'3. Vinculación Univ. Sociedad'!$E:$F,2,FALSE),IFERROR(VLOOKUP(D244,'4. Docencia y Profesorado Univ.'!$E:$F,2,FALSE),IFERROR(VLOOKUP(D244,'5. Estudiantes y Graduados'!$E:$F,2,FALSE),IFERROR(VLOOKUP(D244,'11. Gestion Administrativa'!$E:$F,2,FALSE),IFERROR(VLOOKUP(D244,'13. Gestión Académica'!$E:$F,2,FALSE),IFERROR(VLOOKUP(D244,'8. Asegura. de la Calid. y M'!$E:$F,2,FALSE),IFERROR(VLOOKUP(D244,'6. Gestión del Conocimiento'!$E:$F,2,FALSE),IFERROR(VLOOKUP(D244,'15. Gobernabilidad y Proceso...'!$E:$F,2,FALSE),IFERROR(VLOOKUP(D244,'12. Gestión del Talento Humano'!$E:$F,2,FALSE),IFERROR(VLOOKUP(D244,'14. Internacional... de la E.S.'!$E:$F,2,FALSE),IFERROR(VLOOKUP(D244,'10. Posgrado'!$E:$F,2,FALSE),IFERROR(VLOOKUP(D244,'16. Desa. del Sistema Educ.Sup.'!$E:$F,2,FALSE),IFERROR(VLOOKUP(D244,'9. Cultura de Inno. Insti...'!$E:$F,2,FALSE),VLOOKUP(D244,'7. Lo Esencial de la Reforma U.'!$E:$F,2,0))))))))))))))))</f>
        <v>#N/A</v>
      </c>
      <c r="D245" s="31"/>
      <c r="E245" s="93"/>
      <c r="F245" s="93"/>
      <c r="G245" s="93"/>
      <c r="H245" s="76"/>
      <c r="I245" s="76"/>
      <c r="J245" s="76"/>
      <c r="K245" s="112"/>
    </row>
    <row r="246" spans="3:12">
      <c r="F246" s="93"/>
      <c r="G246" s="76"/>
      <c r="H246" s="76"/>
      <c r="I246" s="76"/>
    </row>
    <row r="247" spans="3:12" ht="30.75" thickBot="1">
      <c r="C247" s="149" t="s">
        <v>44</v>
      </c>
      <c r="D247" s="149" t="s">
        <v>55</v>
      </c>
      <c r="E247" s="149" t="s">
        <v>57</v>
      </c>
      <c r="F247" s="150" t="s">
        <v>27</v>
      </c>
      <c r="G247" s="150" t="s">
        <v>131</v>
      </c>
      <c r="H247" s="149" t="s">
        <v>46</v>
      </c>
      <c r="I247" s="149" t="s">
        <v>132</v>
      </c>
      <c r="J247" s="149" t="s">
        <v>410</v>
      </c>
      <c r="K247" s="149" t="s">
        <v>411</v>
      </c>
      <c r="L247" s="149" t="s">
        <v>464</v>
      </c>
    </row>
    <row r="248" spans="3:12" ht="15.75" thickBot="1">
      <c r="C248" s="306" t="s">
        <v>1339</v>
      </c>
      <c r="D248" s="158"/>
      <c r="E248" s="96">
        <f>HLOOKUP($C248,$CB$2:$CE$3,2,0)</f>
        <v>15000</v>
      </c>
      <c r="F248" s="97">
        <f>D248*E248</f>
        <v>0</v>
      </c>
      <c r="G248" s="165"/>
      <c r="H248" s="98" t="s">
        <v>1014</v>
      </c>
      <c r="I248" s="98" t="str">
        <f>VLOOKUP(H248,Presupuesto!$B$11:$C$565,2,0)</f>
        <v>EQUIPO DE COMPUTACION</v>
      </c>
      <c r="J248" s="219" t="s">
        <v>1453</v>
      </c>
      <c r="K248" s="98" t="s">
        <v>394</v>
      </c>
      <c r="L248" s="98"/>
    </row>
    <row r="249" spans="3:12">
      <c r="C249" s="306" t="s">
        <v>1337</v>
      </c>
      <c r="D249" s="151"/>
      <c r="E249" s="96">
        <f>HLOOKUP($C249,$CB$2:$CE$3,2,0)</f>
        <v>35000</v>
      </c>
      <c r="F249" s="97">
        <f>D249*E249</f>
        <v>0</v>
      </c>
      <c r="G249" s="165"/>
      <c r="H249" s="101" t="s">
        <v>1014</v>
      </c>
      <c r="I249" s="101" t="str">
        <f>VLOOKUP(H249,Presupuesto!$B$11:$C$565,2,0)</f>
        <v>EQUIPO DE COMPUTACION</v>
      </c>
      <c r="J249" s="98" t="str">
        <f>$J$248</f>
        <v>Posgrado</v>
      </c>
      <c r="K249" s="98" t="s">
        <v>412</v>
      </c>
      <c r="L249" s="98"/>
    </row>
    <row r="250" spans="3:12">
      <c r="C250" s="99" t="s">
        <v>73</v>
      </c>
      <c r="D250" s="151"/>
      <c r="E250" s="100">
        <v>4000</v>
      </c>
      <c r="F250" s="97">
        <f t="shared" ref="F250:F261" si="22">D250*E250</f>
        <v>0</v>
      </c>
      <c r="G250" s="165"/>
      <c r="H250" s="101" t="s">
        <v>986</v>
      </c>
      <c r="I250" s="101" t="str">
        <f>VLOOKUP(H250,Presupuesto!$B$11:$C$565,2,0)</f>
        <v>EQUIPOS VARIOS DE OFICINA</v>
      </c>
      <c r="J250" s="98" t="str">
        <f t="shared" ref="J250:J261" si="23">$J$248</f>
        <v>Posgrado</v>
      </c>
      <c r="K250" s="98" t="s">
        <v>395</v>
      </c>
      <c r="L250" s="98"/>
    </row>
    <row r="251" spans="3:12">
      <c r="C251" s="99" t="s">
        <v>74</v>
      </c>
      <c r="D251" s="151"/>
      <c r="E251" s="100">
        <v>8000</v>
      </c>
      <c r="F251" s="97">
        <f t="shared" si="22"/>
        <v>0</v>
      </c>
      <c r="G251" s="165"/>
      <c r="H251" s="101" t="s">
        <v>1014</v>
      </c>
      <c r="I251" s="101" t="str">
        <f>VLOOKUP(H251,Presupuesto!$B$11:$C$565,2,0)</f>
        <v>EQUIPO DE COMPUTACION</v>
      </c>
      <c r="J251" s="98" t="str">
        <f t="shared" si="23"/>
        <v>Posgrado</v>
      </c>
      <c r="K251" s="98" t="s">
        <v>395</v>
      </c>
      <c r="L251" s="98"/>
    </row>
    <row r="252" spans="3:12">
      <c r="C252" s="99" t="s">
        <v>75</v>
      </c>
      <c r="D252" s="151"/>
      <c r="E252" s="100">
        <v>5000</v>
      </c>
      <c r="F252" s="97">
        <f t="shared" si="22"/>
        <v>0</v>
      </c>
      <c r="G252" s="165"/>
      <c r="H252" s="101" t="s">
        <v>1014</v>
      </c>
      <c r="I252" s="101" t="str">
        <f>VLOOKUP(H252,Presupuesto!$B$11:$C$565,2,0)</f>
        <v>EQUIPO DE COMPUTACION</v>
      </c>
      <c r="J252" s="98" t="str">
        <f t="shared" si="23"/>
        <v>Posgrado</v>
      </c>
      <c r="K252" s="98" t="s">
        <v>395</v>
      </c>
      <c r="L252" s="98"/>
    </row>
    <row r="253" spans="3:12">
      <c r="C253" s="99" t="s">
        <v>35</v>
      </c>
      <c r="D253" s="151"/>
      <c r="E253" s="100">
        <v>13000</v>
      </c>
      <c r="F253" s="97">
        <f t="shared" si="22"/>
        <v>0</v>
      </c>
      <c r="G253" s="165"/>
      <c r="H253" s="101" t="s">
        <v>1000</v>
      </c>
      <c r="I253" s="101" t="str">
        <f>VLOOKUP(H253,Presupuesto!$B$11:$C$565,2,0)</f>
        <v>EQUIPO DE TRANSPORTE TRACCION Y ELEVACION</v>
      </c>
      <c r="J253" s="98" t="str">
        <f t="shared" si="23"/>
        <v>Posgrado</v>
      </c>
      <c r="K253" s="98" t="s">
        <v>395</v>
      </c>
      <c r="L253" s="98"/>
    </row>
    <row r="254" spans="3:12">
      <c r="C254" s="99" t="s">
        <v>76</v>
      </c>
      <c r="D254" s="151"/>
      <c r="E254" s="100">
        <v>15000</v>
      </c>
      <c r="F254" s="97">
        <f t="shared" si="22"/>
        <v>0</v>
      </c>
      <c r="G254" s="165"/>
      <c r="H254" s="101" t="s">
        <v>1000</v>
      </c>
      <c r="I254" s="101" t="str">
        <f>VLOOKUP(H254,Presupuesto!$B$11:$C$565,2,0)</f>
        <v>EQUIPO DE TRANSPORTE TRACCION Y ELEVACION</v>
      </c>
      <c r="J254" s="98" t="str">
        <f t="shared" si="23"/>
        <v>Posgrado</v>
      </c>
      <c r="K254" s="98" t="s">
        <v>395</v>
      </c>
      <c r="L254" s="98"/>
    </row>
    <row r="255" spans="3:12">
      <c r="C255" s="99" t="s">
        <v>77</v>
      </c>
      <c r="D255" s="151"/>
      <c r="E255" s="100">
        <v>10000</v>
      </c>
      <c r="F255" s="97">
        <f t="shared" si="22"/>
        <v>0</v>
      </c>
      <c r="G255" s="165"/>
      <c r="H255" s="101" t="s">
        <v>1000</v>
      </c>
      <c r="I255" s="101" t="str">
        <f>VLOOKUP(H255,Presupuesto!$B$11:$C$565,2,0)</f>
        <v>EQUIPO DE TRANSPORTE TRACCION Y ELEVACION</v>
      </c>
      <c r="J255" s="98" t="str">
        <f t="shared" si="23"/>
        <v>Posgrado</v>
      </c>
      <c r="K255" s="98" t="s">
        <v>403</v>
      </c>
      <c r="L255" s="98"/>
    </row>
    <row r="256" spans="3:12">
      <c r="C256" s="99" t="s">
        <v>78</v>
      </c>
      <c r="D256" s="151"/>
      <c r="E256" s="100">
        <v>10000</v>
      </c>
      <c r="F256" s="97">
        <f t="shared" si="22"/>
        <v>0</v>
      </c>
      <c r="G256" s="165"/>
      <c r="H256" s="101" t="s">
        <v>1046</v>
      </c>
      <c r="I256" s="101" t="str">
        <f>VLOOKUP(H256,Presupuesto!$B$11:$C$565,2,0)</f>
        <v>APLICACIONES INFORMATICAS</v>
      </c>
      <c r="J256" s="98" t="str">
        <f t="shared" si="23"/>
        <v>Posgrado</v>
      </c>
      <c r="K256" s="98" t="s">
        <v>399</v>
      </c>
      <c r="L256" s="98"/>
    </row>
    <row r="257" spans="3:12">
      <c r="C257" s="109" t="s">
        <v>79</v>
      </c>
      <c r="D257" s="151"/>
      <c r="E257" s="100">
        <v>2000</v>
      </c>
      <c r="F257" s="97">
        <f t="shared" si="22"/>
        <v>0</v>
      </c>
      <c r="G257" s="165"/>
      <c r="H257" s="110" t="s">
        <v>1014</v>
      </c>
      <c r="I257" s="110" t="str">
        <f>VLOOKUP(H257,Presupuesto!$B$11:$C$565,2,0)</f>
        <v>EQUIPO DE COMPUTACION</v>
      </c>
      <c r="J257" s="98" t="str">
        <f t="shared" si="23"/>
        <v>Posgrado</v>
      </c>
      <c r="K257" s="98" t="s">
        <v>395</v>
      </c>
      <c r="L257" s="98"/>
    </row>
    <row r="258" spans="3:12">
      <c r="C258" s="109" t="s">
        <v>1481</v>
      </c>
      <c r="D258" s="151"/>
      <c r="E258" s="100">
        <v>1500</v>
      </c>
      <c r="F258" s="97">
        <f t="shared" si="22"/>
        <v>0</v>
      </c>
      <c r="G258" s="165"/>
      <c r="H258" s="110" t="s">
        <v>946</v>
      </c>
      <c r="I258" s="110" t="str">
        <f>VLOOKUP(H258,Presupuesto!$B$11:$C$565,2,0)</f>
        <v>UTILES Y MATERIALES ELECTRICOS</v>
      </c>
      <c r="J258" s="98" t="str">
        <f t="shared" si="23"/>
        <v>Posgrado</v>
      </c>
      <c r="K258" s="98" t="s">
        <v>395</v>
      </c>
      <c r="L258" s="98"/>
    </row>
    <row r="259" spans="3:12">
      <c r="C259" s="109" t="s">
        <v>80</v>
      </c>
      <c r="D259" s="151"/>
      <c r="E259" s="100">
        <v>1500</v>
      </c>
      <c r="F259" s="97">
        <f t="shared" si="22"/>
        <v>0</v>
      </c>
      <c r="G259" s="165"/>
      <c r="H259" s="110" t="s">
        <v>1014</v>
      </c>
      <c r="I259" s="110" t="str">
        <f>VLOOKUP(H259,Presupuesto!$B$11:$C$565,2,0)</f>
        <v>EQUIPO DE COMPUTACION</v>
      </c>
      <c r="J259" s="98" t="str">
        <f t="shared" si="23"/>
        <v>Posgrado</v>
      </c>
      <c r="K259" s="98" t="s">
        <v>395</v>
      </c>
      <c r="L259" s="98"/>
    </row>
    <row r="260" spans="3:12">
      <c r="C260" s="109" t="s">
        <v>81</v>
      </c>
      <c r="D260" s="151"/>
      <c r="E260" s="100">
        <v>500</v>
      </c>
      <c r="F260" s="97">
        <f t="shared" si="22"/>
        <v>0</v>
      </c>
      <c r="G260" s="165"/>
      <c r="H260" s="110" t="s">
        <v>955</v>
      </c>
      <c r="I260" s="110" t="str">
        <f>VLOOKUP(H260,Presupuesto!$B$11:$C$565,2,0)</f>
        <v>OTROS RESPUESTOS Y ACCESORIOS MENORES</v>
      </c>
      <c r="J260" s="98" t="str">
        <f t="shared" si="23"/>
        <v>Posgrado</v>
      </c>
      <c r="K260" s="98" t="s">
        <v>395</v>
      </c>
      <c r="L260" s="98"/>
    </row>
    <row r="261" spans="3:12" ht="15.75" thickBot="1">
      <c r="C261" s="102" t="s">
        <v>82</v>
      </c>
      <c r="D261" s="159"/>
      <c r="E261" s="104">
        <v>20</v>
      </c>
      <c r="F261" s="105">
        <f t="shared" si="22"/>
        <v>0</v>
      </c>
      <c r="G261" s="162"/>
      <c r="H261" s="106" t="s">
        <v>955</v>
      </c>
      <c r="I261" s="106" t="str">
        <f>VLOOKUP(H261,Presupuesto!$B$11:$C$565,2,0)</f>
        <v>OTROS RESPUESTOS Y ACCESORIOS MENORES</v>
      </c>
      <c r="J261" s="106" t="str">
        <f t="shared" si="23"/>
        <v>Posgrado</v>
      </c>
      <c r="K261" s="124" t="s">
        <v>394</v>
      </c>
      <c r="L261" s="124"/>
    </row>
    <row r="262" spans="3:12">
      <c r="F262" s="93"/>
      <c r="G262" s="76"/>
      <c r="H262" s="76"/>
      <c r="I262" s="76"/>
    </row>
    <row r="263" spans="3:12" ht="15.75" thickBot="1"/>
    <row r="264" spans="3:12" ht="15.75" thickBot="1">
      <c r="C264" s="29" t="s">
        <v>43</v>
      </c>
      <c r="D264" s="108">
        <f>SUM(F271:F284)</f>
        <v>0</v>
      </c>
      <c r="F264" s="70"/>
      <c r="G264" s="79"/>
      <c r="H264" s="70"/>
      <c r="I264" s="70"/>
    </row>
    <row r="265" spans="3:12">
      <c r="C265" s="70"/>
      <c r="D265" s="31"/>
      <c r="E265" s="93"/>
      <c r="F265" s="93"/>
      <c r="G265" s="93"/>
      <c r="H265" s="76"/>
      <c r="I265" s="76"/>
      <c r="J265" s="76"/>
      <c r="K265" s="112"/>
    </row>
    <row r="266" spans="3:12">
      <c r="C266" s="70"/>
      <c r="D266" s="31"/>
      <c r="E266" s="93"/>
      <c r="F266" s="93"/>
      <c r="G266" s="93"/>
      <c r="H266" s="76"/>
      <c r="I266" s="76"/>
      <c r="J266" s="76"/>
      <c r="K266" s="112"/>
    </row>
    <row r="267" spans="3:12" ht="15.75">
      <c r="C267" s="202" t="s">
        <v>392</v>
      </c>
      <c r="D267" s="370"/>
      <c r="E267" s="93"/>
      <c r="F267" s="93"/>
      <c r="G267" s="93"/>
      <c r="H267" s="76"/>
      <c r="I267" s="76"/>
      <c r="J267" s="76"/>
      <c r="K267" s="112"/>
    </row>
    <row r="268" spans="3:12" ht="18.75">
      <c r="C268" s="211" t="e">
        <f>IFERROR(VLOOKUP(D267,'1. Desarrollo e Innov. Curricu.'!$E:$F,2,FALSE),IFERROR(VLOOKUP(D267,'2. Investigación Científica'!$E:$F,2,FALSE),IFERROR(VLOOKUP(D267,'3. Vinculación Univ. Sociedad'!$E:$F,2,FALSE),IFERROR(VLOOKUP(D267,'4. Docencia y Profesorado Univ.'!$E:$F,2,FALSE),IFERROR(VLOOKUP(D267,'5. Estudiantes y Graduados'!$E:$F,2,FALSE),IFERROR(VLOOKUP(D267,'11. Gestion Administrativa'!$E:$F,2,FALSE),IFERROR(VLOOKUP(D267,'13. Gestión Académica'!$E:$F,2,FALSE),IFERROR(VLOOKUP(D267,'8. Asegura. de la Calid. y M'!$E:$F,2,FALSE),IFERROR(VLOOKUP(D267,'6. Gestión del Conocimiento'!$E:$F,2,FALSE),IFERROR(VLOOKUP(D267,'15. Gobernabilidad y Proceso...'!$E:$F,2,FALSE),IFERROR(VLOOKUP(D267,'12. Gestión del Talento Humano'!$E:$F,2,FALSE),IFERROR(VLOOKUP(D267,'14. Internacional... de la E.S.'!$E:$F,2,FALSE),IFERROR(VLOOKUP(D267,'10. Posgrado'!$E:$F,2,FALSE),IFERROR(VLOOKUP(D267,'16. Desa. del Sistema Educ.Sup.'!$E:$F,2,FALSE),IFERROR(VLOOKUP(D267,'9. Cultura de Inno. Insti...'!$E:$F,2,FALSE),VLOOKUP(D267,'7. Lo Esencial de la Reforma U.'!$E:$F,2,0))))))))))))))))</f>
        <v>#N/A</v>
      </c>
      <c r="D268" s="31"/>
      <c r="E268" s="93"/>
      <c r="F268" s="93"/>
      <c r="G268" s="93"/>
      <c r="H268" s="76"/>
      <c r="I268" s="76"/>
      <c r="J268" s="76"/>
      <c r="K268" s="112"/>
    </row>
    <row r="269" spans="3:12">
      <c r="F269" s="93"/>
      <c r="G269" s="76"/>
      <c r="H269" s="76"/>
      <c r="I269" s="76"/>
    </row>
    <row r="270" spans="3:12" ht="30.75" thickBot="1">
      <c r="C270" s="149" t="s">
        <v>44</v>
      </c>
      <c r="D270" s="149" t="s">
        <v>55</v>
      </c>
      <c r="E270" s="149" t="s">
        <v>57</v>
      </c>
      <c r="F270" s="150" t="s">
        <v>27</v>
      </c>
      <c r="G270" s="150" t="s">
        <v>131</v>
      </c>
      <c r="H270" s="149" t="s">
        <v>46</v>
      </c>
      <c r="I270" s="149" t="s">
        <v>132</v>
      </c>
      <c r="J270" s="149" t="s">
        <v>410</v>
      </c>
      <c r="K270" s="149" t="s">
        <v>411</v>
      </c>
      <c r="L270" s="149" t="s">
        <v>464</v>
      </c>
    </row>
    <row r="271" spans="3:12" ht="15.75" thickBot="1">
      <c r="C271" s="306" t="s">
        <v>1339</v>
      </c>
      <c r="D271" s="158"/>
      <c r="E271" s="96">
        <f>HLOOKUP($C271,$CB$2:$CE$3,2,0)</f>
        <v>15000</v>
      </c>
      <c r="F271" s="97">
        <f>D271*E271</f>
        <v>0</v>
      </c>
      <c r="G271" s="165"/>
      <c r="H271" s="98" t="s">
        <v>1014</v>
      </c>
      <c r="I271" s="98" t="str">
        <f>VLOOKUP(H271,Presupuesto!$B$11:$C$565,2,0)</f>
        <v>EQUIPO DE COMPUTACION</v>
      </c>
      <c r="J271" s="219" t="s">
        <v>1478</v>
      </c>
      <c r="K271" s="98" t="s">
        <v>394</v>
      </c>
      <c r="L271" s="98"/>
    </row>
    <row r="272" spans="3:12">
      <c r="C272" s="306" t="s">
        <v>1337</v>
      </c>
      <c r="D272" s="151"/>
      <c r="E272" s="96">
        <f>HLOOKUP($C272,$CB$2:$CE$3,2,0)</f>
        <v>35000</v>
      </c>
      <c r="F272" s="97">
        <f>D272*E272</f>
        <v>0</v>
      </c>
      <c r="G272" s="165"/>
      <c r="H272" s="101" t="s">
        <v>1014</v>
      </c>
      <c r="I272" s="101" t="str">
        <f>VLOOKUP(H272,Presupuesto!$B$11:$C$565,2,0)</f>
        <v>EQUIPO DE COMPUTACION</v>
      </c>
      <c r="J272" s="98" t="str">
        <f>$J$271</f>
        <v>Desarrollo del Sistema de Educación Superior</v>
      </c>
      <c r="K272" s="98" t="s">
        <v>412</v>
      </c>
      <c r="L272" s="98"/>
    </row>
    <row r="273" spans="3:12">
      <c r="C273" s="99" t="s">
        <v>73</v>
      </c>
      <c r="D273" s="151"/>
      <c r="E273" s="100">
        <v>4000</v>
      </c>
      <c r="F273" s="97">
        <f t="shared" ref="F273:F284" si="24">D273*E273</f>
        <v>0</v>
      </c>
      <c r="G273" s="165"/>
      <c r="H273" s="101" t="s">
        <v>986</v>
      </c>
      <c r="I273" s="101" t="str">
        <f>VLOOKUP(H273,Presupuesto!$B$11:$C$565,2,0)</f>
        <v>EQUIPOS VARIOS DE OFICINA</v>
      </c>
      <c r="J273" s="98" t="str">
        <f t="shared" ref="J273:J284" si="25">$J$271</f>
        <v>Desarrollo del Sistema de Educación Superior</v>
      </c>
      <c r="K273" s="98" t="s">
        <v>395</v>
      </c>
      <c r="L273" s="98"/>
    </row>
    <row r="274" spans="3:12">
      <c r="C274" s="99" t="s">
        <v>74</v>
      </c>
      <c r="D274" s="151"/>
      <c r="E274" s="100">
        <v>8000</v>
      </c>
      <c r="F274" s="97">
        <f t="shared" si="24"/>
        <v>0</v>
      </c>
      <c r="G274" s="165"/>
      <c r="H274" s="101" t="s">
        <v>1014</v>
      </c>
      <c r="I274" s="101" t="str">
        <f>VLOOKUP(H274,Presupuesto!$B$11:$C$565,2,0)</f>
        <v>EQUIPO DE COMPUTACION</v>
      </c>
      <c r="J274" s="98" t="str">
        <f t="shared" si="25"/>
        <v>Desarrollo del Sistema de Educación Superior</v>
      </c>
      <c r="K274" s="98" t="s">
        <v>395</v>
      </c>
      <c r="L274" s="98"/>
    </row>
    <row r="275" spans="3:12">
      <c r="C275" s="99" t="s">
        <v>75</v>
      </c>
      <c r="D275" s="151"/>
      <c r="E275" s="100">
        <v>5000</v>
      </c>
      <c r="F275" s="97">
        <f t="shared" si="24"/>
        <v>0</v>
      </c>
      <c r="G275" s="165"/>
      <c r="H275" s="101" t="s">
        <v>1014</v>
      </c>
      <c r="I275" s="101" t="str">
        <f>VLOOKUP(H275,Presupuesto!$B$11:$C$565,2,0)</f>
        <v>EQUIPO DE COMPUTACION</v>
      </c>
      <c r="J275" s="98" t="str">
        <f t="shared" si="25"/>
        <v>Desarrollo del Sistema de Educación Superior</v>
      </c>
      <c r="K275" s="98" t="s">
        <v>395</v>
      </c>
      <c r="L275" s="98"/>
    </row>
    <row r="276" spans="3:12">
      <c r="C276" s="99" t="s">
        <v>35</v>
      </c>
      <c r="D276" s="151"/>
      <c r="E276" s="100">
        <v>13000</v>
      </c>
      <c r="F276" s="97">
        <f t="shared" si="24"/>
        <v>0</v>
      </c>
      <c r="G276" s="165"/>
      <c r="H276" s="101" t="s">
        <v>1000</v>
      </c>
      <c r="I276" s="101" t="str">
        <f>VLOOKUP(H276,Presupuesto!$B$11:$C$565,2,0)</f>
        <v>EQUIPO DE TRANSPORTE TRACCION Y ELEVACION</v>
      </c>
      <c r="J276" s="98" t="str">
        <f t="shared" si="25"/>
        <v>Desarrollo del Sistema de Educación Superior</v>
      </c>
      <c r="K276" s="98" t="s">
        <v>395</v>
      </c>
      <c r="L276" s="98"/>
    </row>
    <row r="277" spans="3:12">
      <c r="C277" s="99" t="s">
        <v>76</v>
      </c>
      <c r="D277" s="151"/>
      <c r="E277" s="100">
        <v>15000</v>
      </c>
      <c r="F277" s="97">
        <f t="shared" si="24"/>
        <v>0</v>
      </c>
      <c r="G277" s="165"/>
      <c r="H277" s="101" t="s">
        <v>1000</v>
      </c>
      <c r="I277" s="101" t="str">
        <f>VLOOKUP(H277,Presupuesto!$B$11:$C$565,2,0)</f>
        <v>EQUIPO DE TRANSPORTE TRACCION Y ELEVACION</v>
      </c>
      <c r="J277" s="98" t="str">
        <f t="shared" si="25"/>
        <v>Desarrollo del Sistema de Educación Superior</v>
      </c>
      <c r="K277" s="98" t="s">
        <v>395</v>
      </c>
      <c r="L277" s="98"/>
    </row>
    <row r="278" spans="3:12">
      <c r="C278" s="99" t="s">
        <v>77</v>
      </c>
      <c r="D278" s="151"/>
      <c r="E278" s="100">
        <v>10000</v>
      </c>
      <c r="F278" s="97">
        <f t="shared" si="24"/>
        <v>0</v>
      </c>
      <c r="G278" s="165"/>
      <c r="H278" s="101" t="s">
        <v>1000</v>
      </c>
      <c r="I278" s="101" t="str">
        <f>VLOOKUP(H278,Presupuesto!$B$11:$C$565,2,0)</f>
        <v>EQUIPO DE TRANSPORTE TRACCION Y ELEVACION</v>
      </c>
      <c r="J278" s="98" t="str">
        <f t="shared" si="25"/>
        <v>Desarrollo del Sistema de Educación Superior</v>
      </c>
      <c r="K278" s="98" t="s">
        <v>403</v>
      </c>
      <c r="L278" s="98"/>
    </row>
    <row r="279" spans="3:12">
      <c r="C279" s="99" t="s">
        <v>78</v>
      </c>
      <c r="D279" s="151"/>
      <c r="E279" s="100">
        <v>10000</v>
      </c>
      <c r="F279" s="97">
        <f t="shared" si="24"/>
        <v>0</v>
      </c>
      <c r="G279" s="165"/>
      <c r="H279" s="101" t="s">
        <v>1046</v>
      </c>
      <c r="I279" s="101" t="str">
        <f>VLOOKUP(H279,Presupuesto!$B$11:$C$565,2,0)</f>
        <v>APLICACIONES INFORMATICAS</v>
      </c>
      <c r="J279" s="98" t="str">
        <f t="shared" si="25"/>
        <v>Desarrollo del Sistema de Educación Superior</v>
      </c>
      <c r="K279" s="98" t="s">
        <v>399</v>
      </c>
      <c r="L279" s="98"/>
    </row>
    <row r="280" spans="3:12">
      <c r="C280" s="109" t="s">
        <v>79</v>
      </c>
      <c r="D280" s="151"/>
      <c r="E280" s="100">
        <v>2000</v>
      </c>
      <c r="F280" s="97">
        <f t="shared" si="24"/>
        <v>0</v>
      </c>
      <c r="G280" s="165"/>
      <c r="H280" s="110" t="s">
        <v>1014</v>
      </c>
      <c r="I280" s="110" t="str">
        <f>VLOOKUP(H280,Presupuesto!$B$11:$C$565,2,0)</f>
        <v>EQUIPO DE COMPUTACION</v>
      </c>
      <c r="J280" s="98" t="str">
        <f t="shared" si="25"/>
        <v>Desarrollo del Sistema de Educación Superior</v>
      </c>
      <c r="K280" s="98" t="s">
        <v>395</v>
      </c>
      <c r="L280" s="98"/>
    </row>
    <row r="281" spans="3:12">
      <c r="C281" s="109" t="s">
        <v>1481</v>
      </c>
      <c r="D281" s="151"/>
      <c r="E281" s="100">
        <v>1500</v>
      </c>
      <c r="F281" s="97">
        <f t="shared" si="24"/>
        <v>0</v>
      </c>
      <c r="G281" s="165"/>
      <c r="H281" s="110" t="s">
        <v>946</v>
      </c>
      <c r="I281" s="110" t="str">
        <f>VLOOKUP(H281,Presupuesto!$B$11:$C$565,2,0)</f>
        <v>UTILES Y MATERIALES ELECTRICOS</v>
      </c>
      <c r="J281" s="98" t="str">
        <f t="shared" si="25"/>
        <v>Desarrollo del Sistema de Educación Superior</v>
      </c>
      <c r="K281" s="98" t="s">
        <v>395</v>
      </c>
      <c r="L281" s="98"/>
    </row>
    <row r="282" spans="3:12">
      <c r="C282" s="109" t="s">
        <v>80</v>
      </c>
      <c r="D282" s="151"/>
      <c r="E282" s="100">
        <v>1500</v>
      </c>
      <c r="F282" s="97">
        <f t="shared" si="24"/>
        <v>0</v>
      </c>
      <c r="G282" s="165"/>
      <c r="H282" s="110" t="s">
        <v>1014</v>
      </c>
      <c r="I282" s="110" t="str">
        <f>VLOOKUP(H282,Presupuesto!$B$11:$C$565,2,0)</f>
        <v>EQUIPO DE COMPUTACION</v>
      </c>
      <c r="J282" s="98" t="str">
        <f t="shared" si="25"/>
        <v>Desarrollo del Sistema de Educación Superior</v>
      </c>
      <c r="K282" s="98" t="s">
        <v>395</v>
      </c>
      <c r="L282" s="98"/>
    </row>
    <row r="283" spans="3:12">
      <c r="C283" s="109" t="s">
        <v>81</v>
      </c>
      <c r="D283" s="151"/>
      <c r="E283" s="100">
        <v>500</v>
      </c>
      <c r="F283" s="97">
        <f t="shared" si="24"/>
        <v>0</v>
      </c>
      <c r="G283" s="165"/>
      <c r="H283" s="110" t="s">
        <v>955</v>
      </c>
      <c r="I283" s="110" t="str">
        <f>VLOOKUP(H283,Presupuesto!$B$11:$C$565,2,0)</f>
        <v>OTROS RESPUESTOS Y ACCESORIOS MENORES</v>
      </c>
      <c r="J283" s="98" t="str">
        <f t="shared" si="25"/>
        <v>Desarrollo del Sistema de Educación Superior</v>
      </c>
      <c r="K283" s="98" t="s">
        <v>395</v>
      </c>
      <c r="L283" s="98"/>
    </row>
    <row r="284" spans="3:12" ht="15.75" thickBot="1">
      <c r="C284" s="102" t="s">
        <v>82</v>
      </c>
      <c r="D284" s="159"/>
      <c r="E284" s="104">
        <v>20</v>
      </c>
      <c r="F284" s="105">
        <f t="shared" si="24"/>
        <v>0</v>
      </c>
      <c r="G284" s="162"/>
      <c r="H284" s="106" t="s">
        <v>955</v>
      </c>
      <c r="I284" s="106" t="str">
        <f>VLOOKUP(H284,Presupuesto!$B$11:$C$565,2,0)</f>
        <v>OTROS RESPUESTOS Y ACCESORIOS MENORES</v>
      </c>
      <c r="J284" s="106" t="str">
        <f t="shared" si="25"/>
        <v>Desarrollo del Sistema de Educación Superior</v>
      </c>
      <c r="K284" s="124" t="s">
        <v>394</v>
      </c>
      <c r="L284"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271:G284 G64:G77 G87:G100 G110:G123 G133:G146 G156:G169 G179:G192 G202:G215 G225:G238 G248:G261 G40:G54">
      <formula1>$R$2:$S$2</formula1>
    </dataValidation>
    <dataValidation type="list" allowBlank="1" showInputMessage="1" showErrorMessage="1" errorTitle="¡Ingreso Inválido!" error="Seleccione una opción de la lista" promptTitle="Mes Requerido" prompt="Seleccione el mes en el que requiere el recurso." sqref="K17:K30 K271:K284 K64:K77 K87:K100 K110:K123 K133:K146 K156:K169 K179:K192 K202:K215 K225:K238 K248:K261 K40:K54">
      <formula1>$U$2:$AF$2</formula1>
    </dataValidation>
    <dataValidation type="list" allowBlank="1" showInputMessage="1" showErrorMessage="1" sqref="C17:C18 C40:C41 C64:C65 C87:C88 C110:C111 C133:C134 C156:C157 C179:C180 C202:C203 C225:C226 C248:C249 C271:C272">
      <formula1>$CB$2:$CE$2</formula1>
    </dataValidation>
    <dataValidation type="list" allowBlank="1" showInputMessage="1" showErrorMessage="1" errorTitle="¡Ingreso Inválido!" error="Verifique el valor ingresado" promptTitle="Objeto de Gasto" prompt="Ingrese el Objeto de Gasto" sqref="H17:H30 H271:H284 H64:H77 H87:H100 H110:H123 H133:H146 H156:H169 H179:H192 H202:H215 H225:H238 H248:H261 H40:H54">
      <formula1>$A$1:$UI$1</formula1>
    </dataValidation>
    <dataValidation type="list" allowBlank="1" showInputMessage="1" showErrorMessage="1" errorTitle="¡Ingreso Inválido!" error="Seleccione una opción de la lista." promptTitle="Dimensión Estratégica" prompt="Seleccione una opción de la lista." sqref="J18:J30 J272:J284 J65:J77 J88:J100 J111:J123 J134:J146 J157:J169 J180:J192 J203:J215 J226:J238 J249:J261 J41:J54">
      <formula1>$A$2:$P$2</formula1>
    </dataValidation>
    <dataValidation type="list" allowBlank="1" showInputMessage="1" showErrorMessage="1" errorTitle="¡Ingreso Inválido!" error="Seleccione una opción de la lista." promptTitle="Dimensión Estratégica" prompt="Seleccione una opción de la lista." sqref="J17 J40 J64 J87 J110 J133 J156 J179 J202 J225 J248 J271">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911"/>
  <sheetViews>
    <sheetView showGridLines="0" topLeftCell="C472" zoomScale="86" zoomScaleNormal="86" workbookViewId="0">
      <selection activeCell="F498" sqref="F498"/>
    </sheetView>
  </sheetViews>
  <sheetFormatPr baseColWidth="10" defaultColWidth="11.5703125" defaultRowHeight="15"/>
  <cols>
    <col min="1" max="1" width="1.85546875" style="86" customWidth="1"/>
    <col min="2" max="2" width="7.85546875" style="86" customWidth="1"/>
    <col min="3" max="3" width="58.7109375" style="86"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54.28515625" style="86" customWidth="1"/>
    <col min="10" max="10" width="28.140625" style="86" bestFit="1" customWidth="1"/>
    <col min="11" max="11" width="19.85546875" style="86" bestFit="1" customWidth="1"/>
    <col min="12" max="16384" width="11.5703125" style="86"/>
  </cols>
  <sheetData>
    <row r="1" spans="1:555" ht="26.25" hidden="1">
      <c r="A1" s="471" t="s">
        <v>251</v>
      </c>
      <c r="B1" s="472" t="s">
        <v>252</v>
      </c>
      <c r="C1" s="469" t="s">
        <v>253</v>
      </c>
      <c r="D1" s="469" t="s">
        <v>496</v>
      </c>
      <c r="E1" s="469" t="s">
        <v>498</v>
      </c>
      <c r="F1" s="469" t="s">
        <v>500</v>
      </c>
      <c r="G1" s="469" t="s">
        <v>502</v>
      </c>
      <c r="H1" s="469" t="s">
        <v>504</v>
      </c>
      <c r="I1" s="469" t="s">
        <v>506</v>
      </c>
      <c r="J1" s="469" t="s">
        <v>254</v>
      </c>
      <c r="K1" s="469" t="s">
        <v>509</v>
      </c>
      <c r="L1" s="469" t="s">
        <v>255</v>
      </c>
      <c r="M1" s="469" t="s">
        <v>511</v>
      </c>
      <c r="N1" s="469" t="s">
        <v>513</v>
      </c>
      <c r="O1" s="469" t="s">
        <v>515</v>
      </c>
      <c r="P1" s="469" t="s">
        <v>256</v>
      </c>
      <c r="Q1" s="469" t="s">
        <v>516</v>
      </c>
      <c r="R1" s="469" t="s">
        <v>519</v>
      </c>
      <c r="S1" s="469" t="s">
        <v>257</v>
      </c>
      <c r="T1" s="469" t="s">
        <v>521</v>
      </c>
      <c r="U1" s="469" t="s">
        <v>258</v>
      </c>
      <c r="V1" s="469" t="s">
        <v>522</v>
      </c>
      <c r="W1" s="469" t="s">
        <v>523</v>
      </c>
      <c r="X1" s="469" t="s">
        <v>527</v>
      </c>
      <c r="Y1" s="469" t="s">
        <v>274</v>
      </c>
      <c r="Z1" s="469" t="s">
        <v>528</v>
      </c>
      <c r="AA1" s="469" t="s">
        <v>530</v>
      </c>
      <c r="AB1" s="469" t="s">
        <v>532</v>
      </c>
      <c r="AC1" s="469" t="s">
        <v>275</v>
      </c>
      <c r="AD1" s="469" t="s">
        <v>534</v>
      </c>
      <c r="AE1" s="469" t="s">
        <v>536</v>
      </c>
      <c r="AF1" s="469" t="s">
        <v>538</v>
      </c>
      <c r="AG1" s="469" t="s">
        <v>540</v>
      </c>
      <c r="AH1" s="469" t="s">
        <v>250</v>
      </c>
      <c r="AI1" s="469" t="s">
        <v>542</v>
      </c>
      <c r="AJ1" s="472" t="s">
        <v>259</v>
      </c>
      <c r="AK1" s="469" t="s">
        <v>544</v>
      </c>
      <c r="AL1" s="469" t="s">
        <v>260</v>
      </c>
      <c r="AM1" s="469" t="s">
        <v>546</v>
      </c>
      <c r="AN1" s="469" t="s">
        <v>548</v>
      </c>
      <c r="AO1" s="469" t="s">
        <v>261</v>
      </c>
      <c r="AP1" s="469" t="s">
        <v>550</v>
      </c>
      <c r="AQ1" s="469" t="s">
        <v>552</v>
      </c>
      <c r="AR1" s="469" t="s">
        <v>262</v>
      </c>
      <c r="AS1" s="469" t="s">
        <v>553</v>
      </c>
      <c r="AT1" s="469" t="s">
        <v>555</v>
      </c>
      <c r="AU1" s="469" t="s">
        <v>556</v>
      </c>
      <c r="AV1" s="469" t="s">
        <v>557</v>
      </c>
      <c r="AW1" s="469" t="s">
        <v>559</v>
      </c>
      <c r="AX1" s="469" t="s">
        <v>561</v>
      </c>
      <c r="AY1" s="469" t="s">
        <v>562</v>
      </c>
      <c r="AZ1" s="469" t="s">
        <v>263</v>
      </c>
      <c r="BA1" s="469" t="s">
        <v>564</v>
      </c>
      <c r="BB1" s="469" t="s">
        <v>566</v>
      </c>
      <c r="BC1" s="469" t="s">
        <v>568</v>
      </c>
      <c r="BD1" s="469" t="s">
        <v>570</v>
      </c>
      <c r="BE1" s="469" t="s">
        <v>572</v>
      </c>
      <c r="BF1" s="469" t="s">
        <v>574</v>
      </c>
      <c r="BG1" s="469" t="s">
        <v>576</v>
      </c>
      <c r="BH1" s="469" t="s">
        <v>578</v>
      </c>
      <c r="BI1" s="469" t="s">
        <v>276</v>
      </c>
      <c r="BJ1" s="469" t="s">
        <v>580</v>
      </c>
      <c r="BK1" s="469" t="s">
        <v>582</v>
      </c>
      <c r="BL1" s="469" t="s">
        <v>584</v>
      </c>
      <c r="BM1" s="469" t="s">
        <v>586</v>
      </c>
      <c r="BN1" s="469" t="s">
        <v>588</v>
      </c>
      <c r="BO1" s="469" t="s">
        <v>590</v>
      </c>
      <c r="BP1" s="469" t="s">
        <v>592</v>
      </c>
      <c r="BQ1" s="469" t="s">
        <v>594</v>
      </c>
      <c r="BR1" s="469" t="s">
        <v>596</v>
      </c>
      <c r="BS1" s="469" t="s">
        <v>598</v>
      </c>
      <c r="BT1" s="472" t="s">
        <v>264</v>
      </c>
      <c r="BU1" s="469" t="s">
        <v>265</v>
      </c>
      <c r="BV1" s="469" t="s">
        <v>600</v>
      </c>
      <c r="BW1" s="469" t="s">
        <v>266</v>
      </c>
      <c r="BX1" s="469" t="s">
        <v>602</v>
      </c>
      <c r="BY1" s="469" t="s">
        <v>604</v>
      </c>
      <c r="BZ1" s="472" t="s">
        <v>267</v>
      </c>
      <c r="CA1" s="469" t="s">
        <v>268</v>
      </c>
      <c r="CB1" s="469" t="s">
        <v>606</v>
      </c>
      <c r="CC1" s="469" t="s">
        <v>269</v>
      </c>
      <c r="CD1" s="469" t="s">
        <v>608</v>
      </c>
      <c r="CE1" s="469" t="s">
        <v>610</v>
      </c>
      <c r="CF1" s="469" t="s">
        <v>612</v>
      </c>
      <c r="CG1" s="472" t="s">
        <v>270</v>
      </c>
      <c r="CH1" s="469" t="s">
        <v>618</v>
      </c>
      <c r="CI1" s="469" t="s">
        <v>620</v>
      </c>
      <c r="CJ1" s="469" t="s">
        <v>271</v>
      </c>
      <c r="CK1" s="469" t="s">
        <v>614</v>
      </c>
      <c r="CL1" s="469" t="s">
        <v>616</v>
      </c>
      <c r="CM1" s="469" t="s">
        <v>272</v>
      </c>
      <c r="CN1" s="469" t="s">
        <v>622</v>
      </c>
      <c r="CO1" s="469" t="s">
        <v>273</v>
      </c>
      <c r="CP1" s="469" t="s">
        <v>623</v>
      </c>
      <c r="CQ1" s="468" t="s">
        <v>277</v>
      </c>
      <c r="CR1" s="472" t="s">
        <v>278</v>
      </c>
      <c r="CS1" s="469" t="s">
        <v>624</v>
      </c>
      <c r="CT1" s="469" t="s">
        <v>625</v>
      </c>
      <c r="CU1" s="469" t="s">
        <v>627</v>
      </c>
      <c r="CV1" s="469" t="s">
        <v>279</v>
      </c>
      <c r="CW1" s="469" t="s">
        <v>629</v>
      </c>
      <c r="CX1" s="469" t="s">
        <v>631</v>
      </c>
      <c r="CY1" s="469" t="s">
        <v>633</v>
      </c>
      <c r="CZ1" s="469" t="s">
        <v>635</v>
      </c>
      <c r="DA1" s="469" t="s">
        <v>637</v>
      </c>
      <c r="DB1" s="469" t="s">
        <v>639</v>
      </c>
      <c r="DC1" s="472" t="s">
        <v>280</v>
      </c>
      <c r="DD1" s="469" t="s">
        <v>281</v>
      </c>
      <c r="DE1" s="469" t="s">
        <v>641</v>
      </c>
      <c r="DF1" s="469" t="s">
        <v>282</v>
      </c>
      <c r="DG1" s="469" t="s">
        <v>643</v>
      </c>
      <c r="DH1" s="469" t="s">
        <v>645</v>
      </c>
      <c r="DI1" s="469" t="s">
        <v>647</v>
      </c>
      <c r="DJ1" s="469" t="s">
        <v>649</v>
      </c>
      <c r="DK1" s="469" t="s">
        <v>651</v>
      </c>
      <c r="DL1" s="469" t="s">
        <v>653</v>
      </c>
      <c r="DM1" s="469" t="s">
        <v>655</v>
      </c>
      <c r="DN1" s="469" t="s">
        <v>283</v>
      </c>
      <c r="DO1" s="469" t="s">
        <v>657</v>
      </c>
      <c r="DP1" s="469" t="s">
        <v>659</v>
      </c>
      <c r="DQ1" s="469" t="s">
        <v>661</v>
      </c>
      <c r="DR1" s="472" t="s">
        <v>284</v>
      </c>
      <c r="DS1" s="469" t="s">
        <v>663</v>
      </c>
      <c r="DT1" s="469" t="s">
        <v>285</v>
      </c>
      <c r="DU1" s="469" t="s">
        <v>665</v>
      </c>
      <c r="DV1" s="469" t="s">
        <v>286</v>
      </c>
      <c r="DW1" s="469" t="s">
        <v>667</v>
      </c>
      <c r="DX1" s="469" t="s">
        <v>669</v>
      </c>
      <c r="DY1" s="469" t="s">
        <v>671</v>
      </c>
      <c r="DZ1" s="469" t="s">
        <v>673</v>
      </c>
      <c r="EA1" s="469" t="s">
        <v>675</v>
      </c>
      <c r="EB1" s="469" t="s">
        <v>677</v>
      </c>
      <c r="EC1" s="469" t="s">
        <v>679</v>
      </c>
      <c r="ED1" s="469" t="s">
        <v>681</v>
      </c>
      <c r="EE1" s="469" t="s">
        <v>683</v>
      </c>
      <c r="EF1" s="469" t="s">
        <v>685</v>
      </c>
      <c r="EG1" s="469" t="s">
        <v>687</v>
      </c>
      <c r="EH1" s="472" t="s">
        <v>287</v>
      </c>
      <c r="EI1" s="469" t="s">
        <v>689</v>
      </c>
      <c r="EJ1" s="469" t="s">
        <v>288</v>
      </c>
      <c r="EK1" s="469" t="s">
        <v>691</v>
      </c>
      <c r="EL1" s="469" t="s">
        <v>693</v>
      </c>
      <c r="EM1" s="469" t="s">
        <v>289</v>
      </c>
      <c r="EN1" s="469" t="s">
        <v>695</v>
      </c>
      <c r="EO1" s="469" t="s">
        <v>697</v>
      </c>
      <c r="EP1" s="469" t="s">
        <v>290</v>
      </c>
      <c r="EQ1" s="469" t="s">
        <v>699</v>
      </c>
      <c r="ER1" s="469" t="s">
        <v>701</v>
      </c>
      <c r="ES1" s="469" t="s">
        <v>703</v>
      </c>
      <c r="ET1" s="469" t="s">
        <v>291</v>
      </c>
      <c r="EU1" s="469" t="s">
        <v>705</v>
      </c>
      <c r="EV1" s="469" t="s">
        <v>707</v>
      </c>
      <c r="EW1" s="472" t="s">
        <v>292</v>
      </c>
      <c r="EX1" s="469" t="s">
        <v>293</v>
      </c>
      <c r="EY1" s="469" t="s">
        <v>709</v>
      </c>
      <c r="EZ1" s="469" t="s">
        <v>711</v>
      </c>
      <c r="FA1" s="469" t="s">
        <v>713</v>
      </c>
      <c r="FB1" s="469" t="s">
        <v>715</v>
      </c>
      <c r="FC1" s="469" t="s">
        <v>294</v>
      </c>
      <c r="FD1" s="469" t="s">
        <v>717</v>
      </c>
      <c r="FE1" s="469" t="s">
        <v>719</v>
      </c>
      <c r="FF1" s="469" t="s">
        <v>721</v>
      </c>
      <c r="FG1" s="469" t="s">
        <v>723</v>
      </c>
      <c r="FH1" s="469" t="s">
        <v>725</v>
      </c>
      <c r="FI1" s="469" t="s">
        <v>295</v>
      </c>
      <c r="FJ1" s="469" t="s">
        <v>728</v>
      </c>
      <c r="FK1" s="469" t="s">
        <v>296</v>
      </c>
      <c r="FL1" s="469" t="s">
        <v>731</v>
      </c>
      <c r="FM1" s="469" t="s">
        <v>732</v>
      </c>
      <c r="FN1" s="469" t="s">
        <v>734</v>
      </c>
      <c r="FO1" s="469" t="s">
        <v>297</v>
      </c>
      <c r="FP1" s="469" t="s">
        <v>737</v>
      </c>
      <c r="FQ1" s="469" t="s">
        <v>738</v>
      </c>
      <c r="FR1" s="469" t="s">
        <v>740</v>
      </c>
      <c r="FS1" s="469" t="s">
        <v>298</v>
      </c>
      <c r="FT1" s="469" t="s">
        <v>743</v>
      </c>
      <c r="FU1" s="469" t="s">
        <v>745</v>
      </c>
      <c r="FV1" s="469" t="s">
        <v>747</v>
      </c>
      <c r="FW1" s="472" t="s">
        <v>299</v>
      </c>
      <c r="FX1" s="472" t="s">
        <v>300</v>
      </c>
      <c r="FY1" s="469" t="s">
        <v>306</v>
      </c>
      <c r="FZ1" s="469" t="s">
        <v>749</v>
      </c>
      <c r="GA1" s="469" t="s">
        <v>751</v>
      </c>
      <c r="GB1" s="469" t="s">
        <v>753</v>
      </c>
      <c r="GC1" s="469" t="s">
        <v>755</v>
      </c>
      <c r="GD1" s="469" t="s">
        <v>757</v>
      </c>
      <c r="GE1" s="469" t="s">
        <v>759</v>
      </c>
      <c r="GF1" s="472" t="s">
        <v>301</v>
      </c>
      <c r="GG1" s="469" t="s">
        <v>307</v>
      </c>
      <c r="GH1" s="469" t="s">
        <v>761</v>
      </c>
      <c r="GI1" s="469" t="s">
        <v>763</v>
      </c>
      <c r="GJ1" s="469" t="s">
        <v>764</v>
      </c>
      <c r="GK1" s="469" t="s">
        <v>308</v>
      </c>
      <c r="GL1" s="469" t="s">
        <v>767</v>
      </c>
      <c r="GM1" s="469" t="s">
        <v>768</v>
      </c>
      <c r="GN1" s="472" t="s">
        <v>302</v>
      </c>
      <c r="GO1" s="469" t="s">
        <v>303</v>
      </c>
      <c r="GP1" s="469" t="s">
        <v>770</v>
      </c>
      <c r="GQ1" s="469" t="s">
        <v>772</v>
      </c>
      <c r="GR1" s="469" t="s">
        <v>774</v>
      </c>
      <c r="GS1" s="469" t="s">
        <v>776</v>
      </c>
      <c r="GT1" s="469" t="s">
        <v>778</v>
      </c>
      <c r="GU1" s="472" t="s">
        <v>304</v>
      </c>
      <c r="GV1" s="469" t="s">
        <v>305</v>
      </c>
      <c r="GW1" s="469" t="s">
        <v>780</v>
      </c>
      <c r="GX1" s="469" t="s">
        <v>782</v>
      </c>
      <c r="GY1" s="469" t="s">
        <v>784</v>
      </c>
      <c r="GZ1" s="469" t="s">
        <v>786</v>
      </c>
      <c r="HA1" s="469" t="s">
        <v>788</v>
      </c>
      <c r="HB1" s="469" t="s">
        <v>790</v>
      </c>
      <c r="HC1" s="468" t="s">
        <v>309</v>
      </c>
      <c r="HD1" s="472" t="s">
        <v>310</v>
      </c>
      <c r="HE1" s="469" t="s">
        <v>311</v>
      </c>
      <c r="HF1" s="469" t="s">
        <v>792</v>
      </c>
      <c r="HG1" s="469" t="s">
        <v>794</v>
      </c>
      <c r="HH1" s="469" t="s">
        <v>796</v>
      </c>
      <c r="HI1" s="469" t="s">
        <v>798</v>
      </c>
      <c r="HJ1" s="469" t="s">
        <v>312</v>
      </c>
      <c r="HK1" s="469" t="s">
        <v>801</v>
      </c>
      <c r="HL1" s="469" t="s">
        <v>329</v>
      </c>
      <c r="HM1" s="469" t="s">
        <v>839</v>
      </c>
      <c r="HN1" s="469" t="s">
        <v>841</v>
      </c>
      <c r="HO1" s="469" t="s">
        <v>843</v>
      </c>
      <c r="HP1" s="472" t="s">
        <v>313</v>
      </c>
      <c r="HQ1" s="469" t="s">
        <v>803</v>
      </c>
      <c r="HR1" s="469" t="s">
        <v>805</v>
      </c>
      <c r="HS1" s="469" t="s">
        <v>314</v>
      </c>
      <c r="HT1" s="469" t="s">
        <v>808</v>
      </c>
      <c r="HU1" s="469" t="s">
        <v>810</v>
      </c>
      <c r="HV1" s="469" t="s">
        <v>811</v>
      </c>
      <c r="HW1" s="469" t="s">
        <v>813</v>
      </c>
      <c r="HX1" s="472" t="s">
        <v>315</v>
      </c>
      <c r="HY1" s="469" t="s">
        <v>815</v>
      </c>
      <c r="HZ1" s="469" t="s">
        <v>817</v>
      </c>
      <c r="IA1" s="469" t="s">
        <v>819</v>
      </c>
      <c r="IB1" s="469" t="s">
        <v>316</v>
      </c>
      <c r="IC1" s="469" t="s">
        <v>821</v>
      </c>
      <c r="ID1" s="469" t="s">
        <v>823</v>
      </c>
      <c r="IE1" s="469" t="s">
        <v>317</v>
      </c>
      <c r="IF1" s="469" t="s">
        <v>825</v>
      </c>
      <c r="IG1" s="469" t="s">
        <v>827</v>
      </c>
      <c r="IH1" s="469" t="s">
        <v>318</v>
      </c>
      <c r="II1" s="469" t="s">
        <v>829</v>
      </c>
      <c r="IJ1" s="469" t="s">
        <v>831</v>
      </c>
      <c r="IK1" s="469" t="s">
        <v>833</v>
      </c>
      <c r="IL1" s="469" t="s">
        <v>835</v>
      </c>
      <c r="IM1" s="469" t="s">
        <v>319</v>
      </c>
      <c r="IN1" s="469" t="s">
        <v>837</v>
      </c>
      <c r="IO1" s="472" t="s">
        <v>320</v>
      </c>
      <c r="IP1" s="469" t="s">
        <v>845</v>
      </c>
      <c r="IQ1" s="469" t="s">
        <v>847</v>
      </c>
      <c r="IR1" s="469" t="s">
        <v>321</v>
      </c>
      <c r="IS1" s="469" t="s">
        <v>849</v>
      </c>
      <c r="IT1" s="469" t="s">
        <v>851</v>
      </c>
      <c r="IU1" s="469" t="s">
        <v>853</v>
      </c>
      <c r="IV1" s="472" t="s">
        <v>322</v>
      </c>
      <c r="IW1" s="469" t="s">
        <v>855</v>
      </c>
      <c r="IX1" s="469" t="s">
        <v>323</v>
      </c>
      <c r="IY1" s="469" t="s">
        <v>858</v>
      </c>
      <c r="IZ1" s="469" t="s">
        <v>860</v>
      </c>
      <c r="JA1" s="469" t="s">
        <v>862</v>
      </c>
      <c r="JB1" s="469" t="s">
        <v>864</v>
      </c>
      <c r="JC1" s="469" t="s">
        <v>866</v>
      </c>
      <c r="JD1" s="469" t="s">
        <v>868</v>
      </c>
      <c r="JE1" s="469" t="s">
        <v>324</v>
      </c>
      <c r="JF1" s="469" t="s">
        <v>871</v>
      </c>
      <c r="JG1" s="469" t="s">
        <v>873</v>
      </c>
      <c r="JH1" s="469" t="s">
        <v>875</v>
      </c>
      <c r="JI1" s="469" t="s">
        <v>877</v>
      </c>
      <c r="JJ1" s="469" t="s">
        <v>879</v>
      </c>
      <c r="JK1" s="469" t="s">
        <v>881</v>
      </c>
      <c r="JL1" s="469" t="s">
        <v>883</v>
      </c>
      <c r="JM1" s="469" t="s">
        <v>885</v>
      </c>
      <c r="JN1" s="469" t="s">
        <v>325</v>
      </c>
      <c r="JO1" s="469" t="s">
        <v>888</v>
      </c>
      <c r="JP1" s="469" t="s">
        <v>890</v>
      </c>
      <c r="JQ1" s="469" t="s">
        <v>892</v>
      </c>
      <c r="JR1" s="469" t="s">
        <v>894</v>
      </c>
      <c r="JS1" s="469" t="s">
        <v>895</v>
      </c>
      <c r="JT1" s="469" t="s">
        <v>897</v>
      </c>
      <c r="JU1" s="469" t="s">
        <v>899</v>
      </c>
      <c r="JV1" s="469" t="s">
        <v>901</v>
      </c>
      <c r="JW1" s="469" t="s">
        <v>903</v>
      </c>
      <c r="JX1" s="469" t="s">
        <v>905</v>
      </c>
      <c r="JY1" s="469" t="s">
        <v>907</v>
      </c>
      <c r="JZ1" s="469" t="s">
        <v>909</v>
      </c>
      <c r="KA1" s="469" t="s">
        <v>911</v>
      </c>
      <c r="KB1" s="469" t="s">
        <v>913</v>
      </c>
      <c r="KC1" s="469" t="s">
        <v>915</v>
      </c>
      <c r="KD1" s="469" t="s">
        <v>917</v>
      </c>
      <c r="KE1" s="469" t="s">
        <v>919</v>
      </c>
      <c r="KF1" s="469" t="s">
        <v>921</v>
      </c>
      <c r="KG1" s="469" t="s">
        <v>923</v>
      </c>
      <c r="KH1" s="469" t="s">
        <v>925</v>
      </c>
      <c r="KI1" s="469" t="s">
        <v>927</v>
      </c>
      <c r="KJ1" s="469" t="s">
        <v>929</v>
      </c>
      <c r="KK1" s="469" t="s">
        <v>931</v>
      </c>
      <c r="KL1" s="469" t="s">
        <v>933</v>
      </c>
      <c r="KM1" s="469" t="s">
        <v>935</v>
      </c>
      <c r="KN1" s="469" t="s">
        <v>937</v>
      </c>
      <c r="KO1" s="472" t="s">
        <v>326</v>
      </c>
      <c r="KP1" s="469" t="s">
        <v>939</v>
      </c>
      <c r="KQ1" s="469" t="s">
        <v>327</v>
      </c>
      <c r="KR1" s="469" t="s">
        <v>942</v>
      </c>
      <c r="KS1" s="469" t="s">
        <v>944</v>
      </c>
      <c r="KT1" s="469" t="s">
        <v>946</v>
      </c>
      <c r="KU1" s="469" t="s">
        <v>948</v>
      </c>
      <c r="KV1" s="469" t="s">
        <v>328</v>
      </c>
      <c r="KW1" s="469" t="s">
        <v>951</v>
      </c>
      <c r="KX1" s="469" t="s">
        <v>953</v>
      </c>
      <c r="KY1" s="469" t="s">
        <v>955</v>
      </c>
      <c r="KZ1" s="469" t="s">
        <v>957</v>
      </c>
      <c r="LA1" s="469" t="s">
        <v>959</v>
      </c>
      <c r="LB1" s="469" t="s">
        <v>961</v>
      </c>
      <c r="LC1" s="469" t="s">
        <v>963</v>
      </c>
      <c r="LD1" s="468" t="s">
        <v>330</v>
      </c>
      <c r="LE1" s="472" t="s">
        <v>331</v>
      </c>
      <c r="LF1" s="469" t="s">
        <v>332</v>
      </c>
      <c r="LG1" s="469" t="s">
        <v>346</v>
      </c>
      <c r="LH1" s="469" t="s">
        <v>965</v>
      </c>
      <c r="LI1" s="469" t="s">
        <v>967</v>
      </c>
      <c r="LJ1" s="469" t="s">
        <v>969</v>
      </c>
      <c r="LK1" s="469" t="s">
        <v>971</v>
      </c>
      <c r="LL1" s="469" t="s">
        <v>347</v>
      </c>
      <c r="LM1" s="469" t="s">
        <v>973</v>
      </c>
      <c r="LN1" s="469" t="s">
        <v>348</v>
      </c>
      <c r="LO1" s="469" t="s">
        <v>975</v>
      </c>
      <c r="LP1" s="469" t="s">
        <v>333</v>
      </c>
      <c r="LQ1" s="469" t="s">
        <v>977</v>
      </c>
      <c r="LR1" s="469" t="s">
        <v>349</v>
      </c>
      <c r="LS1" s="469" t="s">
        <v>979</v>
      </c>
      <c r="LT1" s="469" t="s">
        <v>981</v>
      </c>
      <c r="LU1" s="469" t="s">
        <v>350</v>
      </c>
      <c r="LV1" s="472" t="s">
        <v>334</v>
      </c>
      <c r="LW1" s="469" t="s">
        <v>335</v>
      </c>
      <c r="LX1" s="469" t="s">
        <v>983</v>
      </c>
      <c r="LY1" s="469" t="s">
        <v>985</v>
      </c>
      <c r="LZ1" s="469" t="s">
        <v>986</v>
      </c>
      <c r="MA1" s="469" t="s">
        <v>988</v>
      </c>
      <c r="MB1" s="469" t="s">
        <v>989</v>
      </c>
      <c r="MC1" s="469" t="s">
        <v>991</v>
      </c>
      <c r="MD1" s="469" t="s">
        <v>993</v>
      </c>
      <c r="ME1" s="469" t="s">
        <v>995</v>
      </c>
      <c r="MF1" s="469" t="s">
        <v>997</v>
      </c>
      <c r="MG1" s="469" t="s">
        <v>336</v>
      </c>
      <c r="MH1" s="469" t="s">
        <v>1000</v>
      </c>
      <c r="MI1" s="469" t="s">
        <v>1001</v>
      </c>
      <c r="MJ1" s="469" t="s">
        <v>1003</v>
      </c>
      <c r="MK1" s="469" t="s">
        <v>337</v>
      </c>
      <c r="ML1" s="469" t="s">
        <v>1006</v>
      </c>
      <c r="MM1" s="469" t="s">
        <v>1007</v>
      </c>
      <c r="MN1" s="469" t="s">
        <v>1009</v>
      </c>
      <c r="MO1" s="469" t="s">
        <v>1011</v>
      </c>
      <c r="MP1" s="469" t="s">
        <v>338</v>
      </c>
      <c r="MQ1" s="469" t="s">
        <v>1014</v>
      </c>
      <c r="MR1" s="469" t="s">
        <v>1016</v>
      </c>
      <c r="MS1" s="469" t="s">
        <v>1018</v>
      </c>
      <c r="MT1" s="469" t="s">
        <v>1020</v>
      </c>
      <c r="MU1" s="469" t="s">
        <v>339</v>
      </c>
      <c r="MV1" s="469" t="s">
        <v>1023</v>
      </c>
      <c r="MW1" s="469" t="s">
        <v>1025</v>
      </c>
      <c r="MX1" s="469" t="s">
        <v>1027</v>
      </c>
      <c r="MY1" s="469" t="s">
        <v>1029</v>
      </c>
      <c r="MZ1" s="469" t="s">
        <v>1031</v>
      </c>
      <c r="NA1" s="469" t="s">
        <v>1033</v>
      </c>
      <c r="NB1" s="469" t="s">
        <v>1035</v>
      </c>
      <c r="NC1" s="469" t="s">
        <v>1037</v>
      </c>
      <c r="ND1" s="469" t="s">
        <v>1039</v>
      </c>
      <c r="NE1" s="469" t="s">
        <v>1041</v>
      </c>
      <c r="NF1" s="469" t="s">
        <v>1043</v>
      </c>
      <c r="NG1" s="469" t="s">
        <v>1044</v>
      </c>
      <c r="NH1" s="472" t="s">
        <v>340</v>
      </c>
      <c r="NI1" s="469" t="s">
        <v>341</v>
      </c>
      <c r="NJ1" s="469" t="s">
        <v>1046</v>
      </c>
      <c r="NK1" s="469" t="s">
        <v>1048</v>
      </c>
      <c r="NL1" s="469" t="s">
        <v>1050</v>
      </c>
      <c r="NM1" s="469" t="s">
        <v>1052</v>
      </c>
      <c r="NN1" s="472" t="s">
        <v>342</v>
      </c>
      <c r="NO1" s="469" t="s">
        <v>343</v>
      </c>
      <c r="NP1" s="469" t="s">
        <v>1053</v>
      </c>
      <c r="NQ1" s="469" t="s">
        <v>344</v>
      </c>
      <c r="NR1" s="469" t="s">
        <v>1055</v>
      </c>
      <c r="NS1" s="469" t="s">
        <v>1057</v>
      </c>
      <c r="NT1" s="469" t="s">
        <v>345</v>
      </c>
      <c r="NU1" s="469" t="s">
        <v>1059</v>
      </c>
      <c r="NV1" s="468" t="s">
        <v>351</v>
      </c>
      <c r="NW1" s="472" t="s">
        <v>352</v>
      </c>
      <c r="NX1" s="469" t="s">
        <v>353</v>
      </c>
      <c r="NY1" s="469" t="s">
        <v>1062</v>
      </c>
      <c r="NZ1" s="469" t="s">
        <v>1064</v>
      </c>
      <c r="OA1" s="469" t="s">
        <v>354</v>
      </c>
      <c r="OB1" s="469" t="s">
        <v>364</v>
      </c>
      <c r="OC1" s="469" t="s">
        <v>1066</v>
      </c>
      <c r="OD1" s="469" t="s">
        <v>1068</v>
      </c>
      <c r="OE1" s="469" t="s">
        <v>1070</v>
      </c>
      <c r="OF1" s="469" t="s">
        <v>1072</v>
      </c>
      <c r="OG1" s="469" t="s">
        <v>1074</v>
      </c>
      <c r="OH1" s="469" t="s">
        <v>1076</v>
      </c>
      <c r="OI1" s="469" t="s">
        <v>1078</v>
      </c>
      <c r="OJ1" s="469" t="s">
        <v>1080</v>
      </c>
      <c r="OK1" s="469" t="s">
        <v>1082</v>
      </c>
      <c r="OL1" s="469" t="s">
        <v>1084</v>
      </c>
      <c r="OM1" s="469" t="s">
        <v>1086</v>
      </c>
      <c r="ON1" s="469" t="s">
        <v>1088</v>
      </c>
      <c r="OO1" s="469" t="s">
        <v>1090</v>
      </c>
      <c r="OP1" s="469" t="s">
        <v>1092</v>
      </c>
      <c r="OQ1" s="469" t="s">
        <v>1094</v>
      </c>
      <c r="OR1" s="469" t="s">
        <v>1096</v>
      </c>
      <c r="OS1" s="469" t="s">
        <v>1098</v>
      </c>
      <c r="OT1" s="469" t="s">
        <v>1100</v>
      </c>
      <c r="OU1" s="469" t="s">
        <v>1102</v>
      </c>
      <c r="OV1" s="469" t="s">
        <v>1104</v>
      </c>
      <c r="OW1" s="469" t="s">
        <v>1106</v>
      </c>
      <c r="OX1" s="469" t="s">
        <v>1108</v>
      </c>
      <c r="OY1" s="469" t="s">
        <v>365</v>
      </c>
      <c r="OZ1" s="469" t="s">
        <v>1111</v>
      </c>
      <c r="PA1" s="469" t="s">
        <v>1113</v>
      </c>
      <c r="PB1" s="469" t="s">
        <v>1114</v>
      </c>
      <c r="PC1" s="469" t="s">
        <v>1116</v>
      </c>
      <c r="PD1" s="469" t="s">
        <v>1118</v>
      </c>
      <c r="PE1" s="469" t="s">
        <v>1120</v>
      </c>
      <c r="PF1" s="469" t="s">
        <v>1122</v>
      </c>
      <c r="PG1" s="469" t="s">
        <v>1124</v>
      </c>
      <c r="PH1" s="469" t="s">
        <v>1126</v>
      </c>
      <c r="PI1" s="469" t="s">
        <v>1128</v>
      </c>
      <c r="PJ1" s="469" t="s">
        <v>1130</v>
      </c>
      <c r="PK1" s="469" t="s">
        <v>1132</v>
      </c>
      <c r="PL1" s="469" t="s">
        <v>1134</v>
      </c>
      <c r="PM1" s="469" t="s">
        <v>1136</v>
      </c>
      <c r="PN1" s="469" t="s">
        <v>1138</v>
      </c>
      <c r="PO1" s="469" t="s">
        <v>1140</v>
      </c>
      <c r="PP1" s="469" t="s">
        <v>1142</v>
      </c>
      <c r="PQ1" s="469" t="s">
        <v>1144</v>
      </c>
      <c r="PR1" s="469" t="s">
        <v>1146</v>
      </c>
      <c r="PS1" s="469" t="s">
        <v>1148</v>
      </c>
      <c r="PT1" s="469" t="s">
        <v>1150</v>
      </c>
      <c r="PU1" s="469" t="s">
        <v>1152</v>
      </c>
      <c r="PV1" s="469" t="s">
        <v>1154</v>
      </c>
      <c r="PW1" s="469" t="s">
        <v>1156</v>
      </c>
      <c r="PX1" s="469" t="s">
        <v>1158</v>
      </c>
      <c r="PY1" s="469" t="s">
        <v>1160</v>
      </c>
      <c r="PZ1" s="469" t="s">
        <v>355</v>
      </c>
      <c r="QA1" s="469" t="s">
        <v>1162</v>
      </c>
      <c r="QB1" s="469" t="s">
        <v>1164</v>
      </c>
      <c r="QC1" s="469" t="s">
        <v>1166</v>
      </c>
      <c r="QD1" s="469" t="s">
        <v>1168</v>
      </c>
      <c r="QE1" s="469" t="s">
        <v>1170</v>
      </c>
      <c r="QF1" s="472" t="s">
        <v>356</v>
      </c>
      <c r="QG1" s="469" t="s">
        <v>357</v>
      </c>
      <c r="QH1" s="469" t="s">
        <v>1172</v>
      </c>
      <c r="QI1" s="469" t="s">
        <v>1174</v>
      </c>
      <c r="QJ1" s="469" t="s">
        <v>1176</v>
      </c>
      <c r="QK1" s="469" t="s">
        <v>1178</v>
      </c>
      <c r="QL1" s="469" t="s">
        <v>1180</v>
      </c>
      <c r="QM1" s="469" t="s">
        <v>1182</v>
      </c>
      <c r="QN1" s="472" t="s">
        <v>358</v>
      </c>
      <c r="QO1" s="469" t="s">
        <v>1184</v>
      </c>
      <c r="QP1" s="469" t="s">
        <v>359</v>
      </c>
      <c r="QQ1" s="469" t="s">
        <v>366</v>
      </c>
      <c r="QR1" s="469" t="s">
        <v>1186</v>
      </c>
      <c r="QS1" s="469" t="s">
        <v>1188</v>
      </c>
      <c r="QT1" s="469" t="s">
        <v>1190</v>
      </c>
      <c r="QU1" s="469" t="s">
        <v>1192</v>
      </c>
      <c r="QV1" s="469" t="s">
        <v>1194</v>
      </c>
      <c r="QW1" s="469" t="s">
        <v>1196</v>
      </c>
      <c r="QX1" s="469" t="s">
        <v>1198</v>
      </c>
      <c r="QY1" s="469" t="s">
        <v>1200</v>
      </c>
      <c r="QZ1" s="469" t="s">
        <v>1202</v>
      </c>
      <c r="RA1" s="469" t="s">
        <v>1204</v>
      </c>
      <c r="RB1" s="469" t="s">
        <v>1206</v>
      </c>
      <c r="RC1" s="469" t="s">
        <v>1208</v>
      </c>
      <c r="RD1" s="469" t="s">
        <v>1210</v>
      </c>
      <c r="RE1" s="469" t="s">
        <v>1212</v>
      </c>
      <c r="RF1" s="472" t="s">
        <v>360</v>
      </c>
      <c r="RG1" s="469" t="s">
        <v>361</v>
      </c>
      <c r="RH1" s="469" t="s">
        <v>1214</v>
      </c>
      <c r="RI1" s="469" t="s">
        <v>1216</v>
      </c>
      <c r="RJ1" s="472" t="s">
        <v>362</v>
      </c>
      <c r="RK1" s="469" t="s">
        <v>363</v>
      </c>
      <c r="RL1" s="469" t="s">
        <v>1218</v>
      </c>
      <c r="RM1" s="469" t="s">
        <v>1219</v>
      </c>
      <c r="RN1" s="469" t="s">
        <v>1220</v>
      </c>
      <c r="RO1" s="469" t="s">
        <v>1221</v>
      </c>
      <c r="RP1" s="469" t="s">
        <v>1223</v>
      </c>
      <c r="RQ1" s="469" t="s">
        <v>1224</v>
      </c>
      <c r="RR1" s="469" t="s">
        <v>1226</v>
      </c>
      <c r="RS1" s="469" t="s">
        <v>1227</v>
      </c>
      <c r="RT1" s="468" t="s">
        <v>367</v>
      </c>
      <c r="RU1" s="472" t="s">
        <v>368</v>
      </c>
      <c r="RV1" s="469" t="s">
        <v>369</v>
      </c>
      <c r="RW1" s="469" t="s">
        <v>1229</v>
      </c>
      <c r="RX1" s="469" t="s">
        <v>1231</v>
      </c>
      <c r="RY1" s="469" t="s">
        <v>370</v>
      </c>
      <c r="RZ1" s="469" t="s">
        <v>1233</v>
      </c>
      <c r="SA1" s="469" t="s">
        <v>1235</v>
      </c>
      <c r="SB1" s="469" t="s">
        <v>1237</v>
      </c>
      <c r="SC1" s="469" t="s">
        <v>1239</v>
      </c>
      <c r="SD1" s="472" t="s">
        <v>371</v>
      </c>
      <c r="SE1" s="469" t="s">
        <v>372</v>
      </c>
      <c r="SF1" s="469" t="s">
        <v>1241</v>
      </c>
      <c r="SG1" s="469" t="s">
        <v>1243</v>
      </c>
      <c r="SH1" s="469" t="s">
        <v>1245</v>
      </c>
      <c r="SI1" s="469" t="s">
        <v>1247</v>
      </c>
      <c r="SJ1" s="469" t="s">
        <v>1249</v>
      </c>
      <c r="SK1" s="469" t="s">
        <v>1251</v>
      </c>
      <c r="SL1" s="469" t="s">
        <v>1253</v>
      </c>
      <c r="SM1" s="469" t="s">
        <v>1255</v>
      </c>
      <c r="SN1" s="469" t="s">
        <v>1257</v>
      </c>
      <c r="SO1" s="469" t="s">
        <v>1259</v>
      </c>
      <c r="SP1" s="469" t="s">
        <v>1261</v>
      </c>
      <c r="SQ1" s="469" t="s">
        <v>1263</v>
      </c>
      <c r="SR1" s="469" t="s">
        <v>1265</v>
      </c>
      <c r="SS1" s="469" t="s">
        <v>1267</v>
      </c>
      <c r="ST1" s="469" t="s">
        <v>1269</v>
      </c>
      <c r="SU1" s="468" t="s">
        <v>373</v>
      </c>
      <c r="SV1" s="472" t="s">
        <v>374</v>
      </c>
      <c r="SW1" s="469" t="s">
        <v>375</v>
      </c>
      <c r="SX1" s="469" t="s">
        <v>1271</v>
      </c>
      <c r="SY1" s="469" t="s">
        <v>1273</v>
      </c>
      <c r="SZ1" s="469" t="s">
        <v>1275</v>
      </c>
      <c r="TA1" s="469" t="s">
        <v>1277</v>
      </c>
      <c r="TB1" s="469" t="s">
        <v>1279</v>
      </c>
      <c r="TC1" s="469" t="s">
        <v>376</v>
      </c>
      <c r="TD1" s="469" t="s">
        <v>1281</v>
      </c>
      <c r="TE1" s="469" t="s">
        <v>1283</v>
      </c>
      <c r="TF1" s="469" t="s">
        <v>1285</v>
      </c>
      <c r="TG1" s="469" t="s">
        <v>1287</v>
      </c>
      <c r="TH1" s="469" t="s">
        <v>1289</v>
      </c>
      <c r="TI1" s="469" t="s">
        <v>1291</v>
      </c>
      <c r="TJ1" s="472" t="s">
        <v>377</v>
      </c>
      <c r="TK1" s="469" t="s">
        <v>378</v>
      </c>
      <c r="TL1" s="469" t="s">
        <v>379</v>
      </c>
      <c r="TM1" s="469" t="s">
        <v>1293</v>
      </c>
      <c r="TN1" s="469" t="s">
        <v>1295</v>
      </c>
      <c r="TO1" s="469" t="s">
        <v>1296</v>
      </c>
      <c r="TP1" s="469" t="s">
        <v>1298</v>
      </c>
      <c r="TQ1" s="469" t="s">
        <v>1300</v>
      </c>
      <c r="TR1" s="469" t="s">
        <v>1302</v>
      </c>
      <c r="TS1" s="469" t="s">
        <v>1304</v>
      </c>
      <c r="TT1" s="469" t="s">
        <v>1306</v>
      </c>
      <c r="TU1" s="469" t="s">
        <v>1308</v>
      </c>
      <c r="TV1" s="469" t="s">
        <v>1310</v>
      </c>
      <c r="TW1" s="469" t="s">
        <v>1312</v>
      </c>
      <c r="TX1" s="469" t="s">
        <v>1314</v>
      </c>
      <c r="TY1" s="469" t="s">
        <v>1316</v>
      </c>
      <c r="TZ1" s="469" t="s">
        <v>1318</v>
      </c>
      <c r="UA1" s="469" t="s">
        <v>1320</v>
      </c>
      <c r="UB1" s="469" t="s">
        <v>1322</v>
      </c>
      <c r="UC1" s="468" t="s">
        <v>1324</v>
      </c>
      <c r="UD1" s="469" t="s">
        <v>1326</v>
      </c>
      <c r="UE1" s="469" t="s">
        <v>1328</v>
      </c>
      <c r="UF1" s="469" t="s">
        <v>1330</v>
      </c>
      <c r="UG1" s="469" t="s">
        <v>1332</v>
      </c>
      <c r="UH1" s="469" t="s">
        <v>1334</v>
      </c>
      <c r="UI1" s="470"/>
    </row>
    <row r="2" spans="1:555" s="122" customFormat="1" hidden="1">
      <c r="A2" s="466" t="s">
        <v>1356</v>
      </c>
      <c r="B2" s="466" t="s">
        <v>1358</v>
      </c>
      <c r="C2" s="466" t="s">
        <v>471</v>
      </c>
      <c r="D2" s="466" t="s">
        <v>1357</v>
      </c>
      <c r="E2" s="466" t="s">
        <v>1359</v>
      </c>
      <c r="F2" s="466" t="s">
        <v>472</v>
      </c>
      <c r="G2" s="467" t="s">
        <v>1360</v>
      </c>
      <c r="H2" s="466" t="s">
        <v>1361</v>
      </c>
      <c r="I2" s="466" t="s">
        <v>1362</v>
      </c>
      <c r="J2" s="466" t="s">
        <v>1453</v>
      </c>
      <c r="K2" s="466" t="s">
        <v>1363</v>
      </c>
      <c r="L2" s="466" t="s">
        <v>1364</v>
      </c>
      <c r="M2" s="466" t="s">
        <v>1365</v>
      </c>
      <c r="N2" s="466" t="s">
        <v>1366</v>
      </c>
      <c r="O2" s="466" t="s">
        <v>1367</v>
      </c>
      <c r="P2" s="466" t="s">
        <v>1478</v>
      </c>
      <c r="Q2" s="466" t="s">
        <v>1516</v>
      </c>
      <c r="R2" s="461" t="str">
        <f>+Presupuesto!D11</f>
        <v>Recurrente</v>
      </c>
      <c r="S2" s="461" t="str">
        <f>+Presupuesto!E11</f>
        <v>Programa / Proyecto 2016</v>
      </c>
      <c r="T2" s="466"/>
      <c r="U2" s="466" t="s">
        <v>394</v>
      </c>
      <c r="V2" s="466" t="s">
        <v>412</v>
      </c>
      <c r="W2" s="466" t="s">
        <v>395</v>
      </c>
      <c r="X2" s="466" t="s">
        <v>396</v>
      </c>
      <c r="Y2" s="466" t="s">
        <v>397</v>
      </c>
      <c r="Z2" s="466" t="s">
        <v>398</v>
      </c>
      <c r="AA2" s="466" t="s">
        <v>399</v>
      </c>
      <c r="AB2" s="466" t="s">
        <v>400</v>
      </c>
      <c r="AC2" s="466" t="s">
        <v>401</v>
      </c>
      <c r="AD2" s="466" t="s">
        <v>402</v>
      </c>
      <c r="AE2" s="466" t="s">
        <v>403</v>
      </c>
      <c r="AF2" s="466" t="s">
        <v>404</v>
      </c>
      <c r="AG2" s="466"/>
      <c r="AH2" s="466" t="s">
        <v>420</v>
      </c>
      <c r="AI2" s="466" t="s">
        <v>421</v>
      </c>
      <c r="AJ2" s="466" t="s">
        <v>422</v>
      </c>
      <c r="AK2" s="466" t="s">
        <v>423</v>
      </c>
      <c r="AL2" s="466" t="s">
        <v>424</v>
      </c>
      <c r="AM2" s="466" t="s">
        <v>427</v>
      </c>
      <c r="AN2" s="466" t="s">
        <v>425</v>
      </c>
      <c r="AO2" s="466" t="s">
        <v>426</v>
      </c>
      <c r="AP2" s="466" t="s">
        <v>428</v>
      </c>
      <c r="AQ2" s="466" t="s">
        <v>429</v>
      </c>
      <c r="AR2" s="466" t="s">
        <v>430</v>
      </c>
      <c r="AS2" s="466" t="s">
        <v>431</v>
      </c>
      <c r="AT2" s="466" t="s">
        <v>432</v>
      </c>
      <c r="AU2" s="466" t="s">
        <v>433</v>
      </c>
      <c r="AV2" s="466" t="s">
        <v>434</v>
      </c>
      <c r="AW2" s="466" t="s">
        <v>435</v>
      </c>
      <c r="AX2" s="466" t="s">
        <v>436</v>
      </c>
      <c r="AY2" s="466" t="s">
        <v>437</v>
      </c>
      <c r="AZ2" s="466" t="s">
        <v>438</v>
      </c>
      <c r="BA2" s="466" t="s">
        <v>439</v>
      </c>
      <c r="BB2" s="466" t="s">
        <v>440</v>
      </c>
      <c r="BC2" s="466" t="s">
        <v>441</v>
      </c>
      <c r="BD2" s="466" t="s">
        <v>442</v>
      </c>
      <c r="BE2" s="466" t="s">
        <v>443</v>
      </c>
      <c r="BF2" s="466" t="s">
        <v>444</v>
      </c>
      <c r="BG2" s="466" t="s">
        <v>445</v>
      </c>
      <c r="BH2" s="466" t="s">
        <v>446</v>
      </c>
      <c r="BI2" s="466" t="s">
        <v>447</v>
      </c>
      <c r="BJ2" s="466" t="s">
        <v>448</v>
      </c>
      <c r="BK2" s="466" t="s">
        <v>449</v>
      </c>
      <c r="BL2" s="466" t="s">
        <v>450</v>
      </c>
      <c r="BM2" s="466" t="s">
        <v>451</v>
      </c>
      <c r="BN2" s="466" t="s">
        <v>452</v>
      </c>
      <c r="BO2" s="466" t="s">
        <v>453</v>
      </c>
      <c r="BP2" s="466" t="s">
        <v>454</v>
      </c>
      <c r="BQ2" s="466" t="s">
        <v>455</v>
      </c>
      <c r="BR2" s="466" t="s">
        <v>456</v>
      </c>
      <c r="BS2" s="466" t="s">
        <v>457</v>
      </c>
      <c r="BT2" s="466" t="s">
        <v>458</v>
      </c>
      <c r="BU2" s="466" t="s">
        <v>459</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5605.2314999999999</v>
      </c>
      <c r="BC3" s="463">
        <f>+'Cuadro Resumen'!D213</f>
        <v>5165.6055000000006</v>
      </c>
      <c r="BD3" s="463">
        <f>+'Cuadro Resumen'!E213</f>
        <v>6594.39</v>
      </c>
      <c r="BE3" s="463">
        <f>+'Cuadro Resumen'!F213</f>
        <v>6154.7640000000001</v>
      </c>
      <c r="BF3" s="463">
        <f>+'Cuadro Resumen'!C214</f>
        <v>4945.7925000000005</v>
      </c>
      <c r="BG3" s="463">
        <f>+'Cuadro Resumen'!D214</f>
        <v>4506.1665000000003</v>
      </c>
      <c r="BH3" s="463">
        <f>+'Cuadro Resumen'!E214</f>
        <v>5934.951</v>
      </c>
      <c r="BI3" s="463">
        <f>+'Cuadro Resumen'!F214</f>
        <v>5495.3249999999998</v>
      </c>
      <c r="BJ3" s="463">
        <f>+'Cuadro Resumen'!C215</f>
        <v>4286.3535000000002</v>
      </c>
      <c r="BK3" s="463">
        <f>+'Cuadro Resumen'!D215</f>
        <v>3956.634</v>
      </c>
      <c r="BL3" s="463">
        <f>+'Cuadro Resumen'!E215</f>
        <v>5275.5120000000006</v>
      </c>
      <c r="BM3" s="463">
        <f>+'Cuadro Resumen'!F215</f>
        <v>4835.8860000000004</v>
      </c>
      <c r="BN3" s="463">
        <f>+'Cuadro Resumen'!C216</f>
        <v>3626.9145000000003</v>
      </c>
      <c r="BO3" s="463">
        <f>+'Cuadro Resumen'!D216</f>
        <v>3297.1950000000002</v>
      </c>
      <c r="BP3" s="463">
        <f>+'Cuadro Resumen'!E216</f>
        <v>4616.0730000000003</v>
      </c>
      <c r="BQ3" s="463">
        <f>+'Cuadro Resumen'!F216</f>
        <v>4286.3535000000002</v>
      </c>
      <c r="BR3" s="463">
        <f>+'Cuadro Resumen'!C217</f>
        <v>3187.2885000000001</v>
      </c>
      <c r="BS3" s="463">
        <f>+'Cuadro Resumen'!D217</f>
        <v>2967.4755</v>
      </c>
      <c r="BT3" s="463">
        <f>+'Cuadro Resumen'!E217</f>
        <v>4066.5405000000001</v>
      </c>
      <c r="BU3" s="463">
        <f>+'Cuadro Resumen'!F217</f>
        <v>3736.8210000000004</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row r="5" spans="1:555" ht="53.25" thickBot="1">
      <c r="C5" s="87" t="s">
        <v>385</v>
      </c>
      <c r="D5" s="198">
        <f>SUMIF(C:C,$C$10,D:D)</f>
        <v>3695407.08</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SUM(F17:F36)</f>
        <v>155687.08000000002</v>
      </c>
      <c r="F10" s="70"/>
      <c r="G10" s="79"/>
      <c r="H10" s="70"/>
      <c r="I10" s="70"/>
    </row>
    <row r="11" spans="1:555">
      <c r="B11" s="93"/>
      <c r="C11" s="70"/>
      <c r="D11" s="31"/>
      <c r="E11" s="93"/>
      <c r="F11" s="93"/>
      <c r="G11" s="93"/>
      <c r="H11" s="76"/>
      <c r="I11" s="76"/>
      <c r="J11" s="76"/>
      <c r="K11" s="112"/>
    </row>
    <row r="12" spans="1:555">
      <c r="B12" s="93"/>
      <c r="C12" s="70"/>
      <c r="D12" s="31"/>
      <c r="E12" s="93"/>
      <c r="F12" s="93"/>
      <c r="G12" s="93"/>
      <c r="H12" s="548"/>
      <c r="I12" s="76"/>
      <c r="J12" s="76"/>
      <c r="K12" s="112"/>
    </row>
    <row r="13" spans="1:555" ht="15.75">
      <c r="B13" s="93"/>
      <c r="C13" s="202" t="s">
        <v>392</v>
      </c>
      <c r="D13" s="370">
        <v>7.1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Diseño de manual para la transversalizacion del eje Cultura en la dimensión curricular de la UNAH.</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141" t="s">
        <v>1582</v>
      </c>
      <c r="D17" s="158">
        <v>2000</v>
      </c>
      <c r="E17" s="123">
        <v>20</v>
      </c>
      <c r="F17" s="97">
        <f t="shared" ref="F17:F36" si="0">D17*E17</f>
        <v>40000</v>
      </c>
      <c r="G17" s="161" t="s">
        <v>1508</v>
      </c>
      <c r="H17" s="142" t="s">
        <v>717</v>
      </c>
      <c r="I17" s="130" t="str">
        <f>VLOOKUP(H17,Presupuesto!$B$11:$C$565,2,0)</f>
        <v>SERVICIOS DE IMPRENTA PUBLIC.Y REPRODUCCION</v>
      </c>
      <c r="J17" s="98" t="str">
        <f t="shared" ref="J17:J36" si="1">$J$481</f>
        <v>Lo Esencial de la Reforma Universitaria</v>
      </c>
      <c r="K17" s="98" t="s">
        <v>412</v>
      </c>
    </row>
    <row r="18" spans="3:11">
      <c r="C18" s="141" t="s">
        <v>1612</v>
      </c>
      <c r="D18" s="158">
        <v>1</v>
      </c>
      <c r="E18" s="123">
        <v>45000</v>
      </c>
      <c r="F18" s="97">
        <f t="shared" si="0"/>
        <v>45000</v>
      </c>
      <c r="G18" s="161" t="s">
        <v>1508</v>
      </c>
      <c r="H18" s="142" t="s">
        <v>705</v>
      </c>
      <c r="I18" s="130" t="str">
        <f>VLOOKUP(H18,Presupuesto!$B$11:$C$565,2,0)</f>
        <v>OTROS SERVICIOS TECNICOS Y PROFESIONALES</v>
      </c>
      <c r="J18" s="98" t="str">
        <f t="shared" si="1"/>
        <v>Lo Esencial de la Reforma Universitaria</v>
      </c>
      <c r="K18" s="98" t="s">
        <v>412</v>
      </c>
    </row>
    <row r="19" spans="3:11">
      <c r="C19" s="141" t="s">
        <v>1613</v>
      </c>
      <c r="D19" s="158">
        <v>9</v>
      </c>
      <c r="E19" s="123">
        <v>1666.62</v>
      </c>
      <c r="F19" s="97">
        <f t="shared" si="0"/>
        <v>14999.579999999998</v>
      </c>
      <c r="G19" s="161" t="s">
        <v>1508</v>
      </c>
      <c r="H19" s="142" t="s">
        <v>311</v>
      </c>
      <c r="I19" s="130" t="str">
        <f>VLOOKUP(H19,Presupuesto!$B$11:$C$565,2,0)</f>
        <v>ALIMENTOS Y BEBIDAS PARA PERSONAS (31100-00)</v>
      </c>
      <c r="J19" s="98" t="str">
        <f t="shared" si="1"/>
        <v>Lo Esencial de la Reforma Universitaria</v>
      </c>
      <c r="K19" s="98" t="s">
        <v>412</v>
      </c>
    </row>
    <row r="20" spans="3:11" ht="30">
      <c r="C20" s="550" t="s">
        <v>1614</v>
      </c>
      <c r="D20" s="158">
        <v>9</v>
      </c>
      <c r="E20" s="123">
        <f>2250*2.75</f>
        <v>6187.5</v>
      </c>
      <c r="F20" s="97">
        <f t="shared" si="0"/>
        <v>55687.5</v>
      </c>
      <c r="G20" s="161" t="s">
        <v>1508</v>
      </c>
      <c r="H20" s="142" t="s">
        <v>761</v>
      </c>
      <c r="I20" s="130" t="str">
        <f>VLOOKUP(H20,Presupuesto!$B$11:$C$565,2,0)</f>
        <v>VIATICOS NACIONALES</v>
      </c>
      <c r="J20" s="98" t="str">
        <f t="shared" si="1"/>
        <v>Lo Esencial de la Reforma Universitaria</v>
      </c>
      <c r="K20" s="98" t="s">
        <v>412</v>
      </c>
    </row>
    <row r="21" spans="3:11">
      <c r="C21" s="141"/>
      <c r="D21" s="158"/>
      <c r="E21" s="123"/>
      <c r="F21" s="97">
        <f t="shared" si="0"/>
        <v>0</v>
      </c>
      <c r="G21" s="161"/>
      <c r="H21" s="142"/>
      <c r="I21" s="130" t="e">
        <f>VLOOKUP(H21,Presupuesto!$B$11:$C$565,2,0)</f>
        <v>#N/A</v>
      </c>
      <c r="J21" s="98" t="str">
        <f t="shared" si="1"/>
        <v>Lo Esencial de la Reforma Universitaria</v>
      </c>
      <c r="K21" s="98" t="s">
        <v>412</v>
      </c>
    </row>
    <row r="22" spans="3:11">
      <c r="C22" s="141"/>
      <c r="D22" s="158"/>
      <c r="E22" s="123"/>
      <c r="F22" s="97">
        <f t="shared" si="0"/>
        <v>0</v>
      </c>
      <c r="G22" s="161"/>
      <c r="H22" s="142"/>
      <c r="I22" s="130" t="e">
        <f>VLOOKUP(H22,Presupuesto!$B$11:$C$565,2,0)</f>
        <v>#N/A</v>
      </c>
      <c r="J22" s="98" t="str">
        <f t="shared" si="1"/>
        <v>Lo Esencial de la Reforma Universitaria</v>
      </c>
      <c r="K22" s="98" t="s">
        <v>412</v>
      </c>
    </row>
    <row r="23" spans="3:11">
      <c r="C23" s="141"/>
      <c r="D23" s="158"/>
      <c r="E23" s="123"/>
      <c r="F23" s="97">
        <f t="shared" si="0"/>
        <v>0</v>
      </c>
      <c r="G23" s="161"/>
      <c r="H23" s="142"/>
      <c r="I23" s="130" t="e">
        <f>VLOOKUP(H23,Presupuesto!$B$11:$C$565,2,0)</f>
        <v>#N/A</v>
      </c>
      <c r="J23" s="98" t="str">
        <f t="shared" si="1"/>
        <v>Lo Esencial de la Reforma Universitaria</v>
      </c>
      <c r="K23" s="98" t="s">
        <v>412</v>
      </c>
    </row>
    <row r="24" spans="3:11">
      <c r="C24" s="143"/>
      <c r="D24" s="151"/>
      <c r="E24" s="118"/>
      <c r="F24" s="97">
        <f t="shared" ref="F24:F30" si="2">D24*E24</f>
        <v>0</v>
      </c>
      <c r="G24" s="161"/>
      <c r="H24" s="144"/>
      <c r="I24" s="130" t="e">
        <f>VLOOKUP(H24,Presupuesto!$B$11:$C$565,2,0)</f>
        <v>#N/A</v>
      </c>
      <c r="J24" s="98" t="str">
        <f t="shared" si="1"/>
        <v>Lo Esencial de la Reforma Universitaria</v>
      </c>
      <c r="K24" s="98" t="s">
        <v>412</v>
      </c>
    </row>
    <row r="25" spans="3:11">
      <c r="C25" s="143"/>
      <c r="D25" s="151"/>
      <c r="E25" s="118"/>
      <c r="F25" s="97">
        <f t="shared" si="2"/>
        <v>0</v>
      </c>
      <c r="G25" s="161"/>
      <c r="H25" s="144"/>
      <c r="I25" s="130" t="e">
        <f>VLOOKUP(H25,Presupuesto!$B$11:$C$565,2,0)</f>
        <v>#N/A</v>
      </c>
      <c r="J25" s="98" t="str">
        <f t="shared" si="1"/>
        <v>Lo Esencial de la Reforma Universitaria</v>
      </c>
      <c r="K25" s="98" t="s">
        <v>412</v>
      </c>
    </row>
    <row r="26" spans="3:11">
      <c r="C26" s="143"/>
      <c r="D26" s="151"/>
      <c r="E26" s="118"/>
      <c r="F26" s="97">
        <f t="shared" si="2"/>
        <v>0</v>
      </c>
      <c r="G26" s="161"/>
      <c r="H26" s="144"/>
      <c r="I26" s="130" t="e">
        <f>VLOOKUP(H26,Presupuesto!$B$11:$C$565,2,0)</f>
        <v>#N/A</v>
      </c>
      <c r="J26" s="98" t="str">
        <f t="shared" si="1"/>
        <v>Lo Esencial de la Reforma Universitaria</v>
      </c>
      <c r="K26" s="98" t="s">
        <v>412</v>
      </c>
    </row>
    <row r="27" spans="3:11">
      <c r="C27" s="143"/>
      <c r="D27" s="151"/>
      <c r="E27" s="118"/>
      <c r="F27" s="97">
        <f t="shared" si="2"/>
        <v>0</v>
      </c>
      <c r="G27" s="161"/>
      <c r="H27" s="144"/>
      <c r="I27" s="130" t="e">
        <f>VLOOKUP(H27,Presupuesto!$B$11:$C$565,2,0)</f>
        <v>#N/A</v>
      </c>
      <c r="J27" s="98" t="str">
        <f t="shared" si="1"/>
        <v>Lo Esencial de la Reforma Universitaria</v>
      </c>
      <c r="K27" s="98" t="s">
        <v>412</v>
      </c>
    </row>
    <row r="28" spans="3:11">
      <c r="C28" s="143"/>
      <c r="D28" s="151"/>
      <c r="E28" s="118"/>
      <c r="F28" s="97">
        <f t="shared" si="2"/>
        <v>0</v>
      </c>
      <c r="G28" s="161"/>
      <c r="H28" s="144"/>
      <c r="I28" s="130" t="e">
        <f>VLOOKUP(H28,Presupuesto!$B$11:$C$565,2,0)</f>
        <v>#N/A</v>
      </c>
      <c r="J28" s="98" t="str">
        <f t="shared" si="1"/>
        <v>Lo Esencial de la Reforma Universitaria</v>
      </c>
      <c r="K28" s="98" t="s">
        <v>412</v>
      </c>
    </row>
    <row r="29" spans="3:11">
      <c r="C29" s="143"/>
      <c r="D29" s="151"/>
      <c r="E29" s="118"/>
      <c r="F29" s="97">
        <f t="shared" si="2"/>
        <v>0</v>
      </c>
      <c r="G29" s="161"/>
      <c r="H29" s="144"/>
      <c r="I29" s="130" t="e">
        <f>VLOOKUP(H29,Presupuesto!$B$11:$C$565,2,0)</f>
        <v>#N/A</v>
      </c>
      <c r="J29" s="98" t="str">
        <f t="shared" si="1"/>
        <v>Lo Esencial de la Reforma Universitaria</v>
      </c>
      <c r="K29" s="98" t="s">
        <v>412</v>
      </c>
    </row>
    <row r="30" spans="3:11">
      <c r="C30" s="143"/>
      <c r="D30" s="151"/>
      <c r="E30" s="118"/>
      <c r="F30" s="97">
        <f t="shared" si="2"/>
        <v>0</v>
      </c>
      <c r="G30" s="161"/>
      <c r="H30" s="144"/>
      <c r="I30" s="130" t="e">
        <f>VLOOKUP(H30,Presupuesto!$B$11:$C$565,2,0)</f>
        <v>#N/A</v>
      </c>
      <c r="J30" s="98" t="str">
        <f t="shared" si="1"/>
        <v>Lo Esencial de la Reforma Universitaria</v>
      </c>
      <c r="K30" s="98" t="s">
        <v>412</v>
      </c>
    </row>
    <row r="31" spans="3:11">
      <c r="C31" s="143"/>
      <c r="D31" s="151"/>
      <c r="E31" s="118"/>
      <c r="F31" s="97">
        <f t="shared" si="0"/>
        <v>0</v>
      </c>
      <c r="G31" s="161"/>
      <c r="H31" s="144"/>
      <c r="I31" s="130" t="e">
        <f>VLOOKUP(H31,Presupuesto!$B$11:$C$565,2,0)</f>
        <v>#N/A</v>
      </c>
      <c r="J31" s="98" t="str">
        <f t="shared" si="1"/>
        <v>Lo Esencial de la Reforma Universitaria</v>
      </c>
      <c r="K31" s="98" t="s">
        <v>412</v>
      </c>
    </row>
    <row r="32" spans="3:11">
      <c r="C32" s="145"/>
      <c r="D32" s="151"/>
      <c r="E32" s="118"/>
      <c r="F32" s="97">
        <f t="shared" si="0"/>
        <v>0</v>
      </c>
      <c r="G32" s="161"/>
      <c r="H32" s="146"/>
      <c r="I32" s="130" t="e">
        <f>VLOOKUP(H32,Presupuesto!$B$11:$C$565,2,0)</f>
        <v>#N/A</v>
      </c>
      <c r="J32" s="98" t="str">
        <f t="shared" si="1"/>
        <v>Lo Esencial de la Reforma Universitaria</v>
      </c>
      <c r="K32" s="98" t="s">
        <v>403</v>
      </c>
    </row>
    <row r="33" spans="3:11">
      <c r="C33" s="145"/>
      <c r="D33" s="151"/>
      <c r="E33" s="118"/>
      <c r="F33" s="97">
        <f t="shared" si="0"/>
        <v>0</v>
      </c>
      <c r="G33" s="161"/>
      <c r="H33" s="146"/>
      <c r="I33" s="130" t="e">
        <f>VLOOKUP(H33,Presupuesto!$B$11:$C$565,2,0)</f>
        <v>#N/A</v>
      </c>
      <c r="J33" s="98" t="str">
        <f t="shared" si="1"/>
        <v>Lo Esencial de la Reforma Universitaria</v>
      </c>
      <c r="K33" s="98" t="s">
        <v>412</v>
      </c>
    </row>
    <row r="34" spans="3:11">
      <c r="C34" s="145"/>
      <c r="D34" s="151"/>
      <c r="E34" s="118"/>
      <c r="F34" s="97">
        <f t="shared" si="0"/>
        <v>0</v>
      </c>
      <c r="G34" s="161"/>
      <c r="H34" s="146"/>
      <c r="I34" s="130" t="e">
        <f>VLOOKUP(H34,Presupuesto!$B$11:$C$565,2,0)</f>
        <v>#N/A</v>
      </c>
      <c r="J34" s="98" t="str">
        <f t="shared" si="1"/>
        <v>Lo Esencial de la Reforma Universitaria</v>
      </c>
      <c r="K34" s="98" t="s">
        <v>412</v>
      </c>
    </row>
    <row r="35" spans="3:11">
      <c r="C35" s="145"/>
      <c r="D35" s="151"/>
      <c r="E35" s="118"/>
      <c r="F35" s="97">
        <f t="shared" si="0"/>
        <v>0</v>
      </c>
      <c r="G35" s="161"/>
      <c r="H35" s="146"/>
      <c r="I35" s="130" t="e">
        <f>VLOOKUP(H35,Presupuesto!$B$11:$C$565,2,0)</f>
        <v>#N/A</v>
      </c>
      <c r="J35" s="98" t="str">
        <f t="shared" si="1"/>
        <v>Lo Esencial de la Reforma Universitaria</v>
      </c>
      <c r="K35" s="98" t="s">
        <v>412</v>
      </c>
    </row>
    <row r="36" spans="3:11" ht="15.75" thickBot="1">
      <c r="C36" s="147"/>
      <c r="D36" s="159"/>
      <c r="E36" s="103"/>
      <c r="F36" s="105">
        <f t="shared" si="0"/>
        <v>0</v>
      </c>
      <c r="G36" s="162"/>
      <c r="H36" s="148"/>
      <c r="I36" s="132" t="e">
        <f>VLOOKUP(H36,Presupuesto!$B$11:$C$565,2,0)</f>
        <v>#N/A</v>
      </c>
      <c r="J36" s="106" t="str">
        <f t="shared" si="1"/>
        <v>Lo Esencial de la Reforma Universitaria</v>
      </c>
      <c r="K36" s="124" t="s">
        <v>394</v>
      </c>
    </row>
    <row r="38" spans="3:11" ht="15.75" thickBot="1">
      <c r="F38" s="90"/>
      <c r="G38" s="89"/>
      <c r="H38" s="90"/>
      <c r="I38" s="90"/>
    </row>
    <row r="39" spans="3:11" ht="15.75" thickBot="1">
      <c r="C39" s="157" t="s">
        <v>53</v>
      </c>
      <c r="D39" s="374">
        <f>SUM(F46:F80)</f>
        <v>181925</v>
      </c>
      <c r="F39" s="70"/>
      <c r="G39" s="79"/>
      <c r="H39" s="70"/>
      <c r="I39" s="70"/>
    </row>
    <row r="40" spans="3:11">
      <c r="C40" s="70"/>
      <c r="D40" s="31"/>
      <c r="E40" s="93"/>
      <c r="F40" s="93"/>
      <c r="G40" s="93"/>
      <c r="H40" s="76"/>
      <c r="I40" s="76"/>
      <c r="J40" s="76"/>
      <c r="K40" s="112"/>
    </row>
    <row r="41" spans="3:11">
      <c r="C41" s="70"/>
      <c r="D41" s="31"/>
      <c r="E41" s="93"/>
      <c r="F41" s="93"/>
      <c r="G41" s="93"/>
      <c r="H41" s="76"/>
      <c r="I41" s="76"/>
      <c r="J41" s="76"/>
      <c r="K41" s="112"/>
    </row>
    <row r="42" spans="3:11" ht="15.75">
      <c r="C42" s="202" t="s">
        <v>392</v>
      </c>
      <c r="D42" s="370">
        <v>7.2</v>
      </c>
      <c r="E42" s="93"/>
      <c r="F42" s="93"/>
      <c r="G42" s="93"/>
      <c r="H42" s="76"/>
      <c r="I42" s="76"/>
      <c r="J42" s="76"/>
      <c r="K42" s="112"/>
    </row>
    <row r="43" spans="3:11" ht="18.75">
      <c r="C43" s="211"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Talleres de capacitación para la socialización de la Política Cultural de la UNAH .</v>
      </c>
      <c r="D43" s="31"/>
      <c r="E43" s="93"/>
      <c r="F43" s="93"/>
      <c r="G43" s="93"/>
      <c r="H43" s="76"/>
      <c r="I43" s="76"/>
      <c r="J43" s="76"/>
      <c r="K43" s="112"/>
    </row>
    <row r="44" spans="3:11" ht="15.75" thickBot="1">
      <c r="F44" s="93"/>
      <c r="G44" s="76"/>
      <c r="H44" s="76"/>
      <c r="I44" s="76"/>
    </row>
    <row r="45" spans="3:11" ht="30.75" thickBot="1">
      <c r="C45" s="129" t="s">
        <v>44</v>
      </c>
      <c r="D45" s="129" t="s">
        <v>55</v>
      </c>
      <c r="E45" s="136" t="s">
        <v>57</v>
      </c>
      <c r="F45" s="135" t="s">
        <v>27</v>
      </c>
      <c r="G45" s="133" t="s">
        <v>131</v>
      </c>
      <c r="H45" s="136" t="s">
        <v>46</v>
      </c>
      <c r="I45" s="133" t="s">
        <v>132</v>
      </c>
      <c r="J45" s="133" t="s">
        <v>410</v>
      </c>
      <c r="K45" s="133" t="s">
        <v>411</v>
      </c>
    </row>
    <row r="46" spans="3:11">
      <c r="C46" s="221" t="s">
        <v>444</v>
      </c>
      <c r="D46" s="222">
        <v>5</v>
      </c>
      <c r="E46" s="220">
        <f>2250*2.75*2</f>
        <v>12375</v>
      </c>
      <c r="F46" s="97">
        <f t="shared" ref="F46:F80" si="3">D46*E46</f>
        <v>61875</v>
      </c>
      <c r="G46" s="161" t="s">
        <v>129</v>
      </c>
      <c r="H46" s="142" t="s">
        <v>761</v>
      </c>
      <c r="I46" s="130" t="str">
        <f>VLOOKUP(H46,Presupuesto!$B$11:$C$565,2,0)</f>
        <v>VIATICOS NACIONALES</v>
      </c>
      <c r="J46" s="219" t="s">
        <v>1360</v>
      </c>
      <c r="K46" s="98" t="s">
        <v>394</v>
      </c>
    </row>
    <row r="47" spans="3:11">
      <c r="C47" s="221" t="s">
        <v>446</v>
      </c>
      <c r="D47" s="158">
        <v>4</v>
      </c>
      <c r="E47" s="123">
        <f>1400*2.75*2</f>
        <v>7700</v>
      </c>
      <c r="F47" s="97">
        <f t="shared" si="3"/>
        <v>30800</v>
      </c>
      <c r="G47" s="161" t="s">
        <v>129</v>
      </c>
      <c r="H47" s="142" t="s">
        <v>763</v>
      </c>
      <c r="I47" s="130" t="str">
        <f>VLOOKUP(H47,Presupuesto!$B$11:$C$565,2,0)</f>
        <v>VIATICOS NACIONALES</v>
      </c>
      <c r="J47" s="98" t="str">
        <f>$J$46</f>
        <v>Lo Esencial de la Reforma Universitaria</v>
      </c>
      <c r="K47" s="98" t="s">
        <v>412</v>
      </c>
    </row>
    <row r="48" spans="3:11">
      <c r="C48" s="141" t="s">
        <v>1615</v>
      </c>
      <c r="D48" s="158">
        <v>9</v>
      </c>
      <c r="E48" s="123">
        <v>3250</v>
      </c>
      <c r="F48" s="97">
        <f t="shared" si="3"/>
        <v>29250</v>
      </c>
      <c r="G48" s="161" t="s">
        <v>129</v>
      </c>
      <c r="H48" s="142" t="s">
        <v>311</v>
      </c>
      <c r="I48" s="130" t="str">
        <f>VLOOKUP(H48,Presupuesto!$B$11:$C$565,2,0)</f>
        <v>ALIMENTOS Y BEBIDAS PARA PERSONAS (31100-00)</v>
      </c>
      <c r="J48" s="98" t="str">
        <f t="shared" ref="J48:J80" si="4">$J$46</f>
        <v>Lo Esencial de la Reforma Universitaria</v>
      </c>
      <c r="K48" s="98" t="s">
        <v>412</v>
      </c>
    </row>
    <row r="49" spans="3:11">
      <c r="C49" s="141" t="s">
        <v>1616</v>
      </c>
      <c r="D49" s="158">
        <v>3000</v>
      </c>
      <c r="E49" s="123">
        <v>20</v>
      </c>
      <c r="F49" s="97">
        <f t="shared" si="3"/>
        <v>60000</v>
      </c>
      <c r="G49" s="161" t="s">
        <v>129</v>
      </c>
      <c r="H49" s="142" t="s">
        <v>294</v>
      </c>
      <c r="I49" s="130" t="str">
        <f>VLOOKUP(H49,Presupuesto!$B$11:$C$565,2,0)</f>
        <v>IMPRENTA, PUBLIC. Y REPRODUC. (25300-00)</v>
      </c>
      <c r="J49" s="98" t="str">
        <f t="shared" si="4"/>
        <v>Lo Esencial de la Reforma Universitaria</v>
      </c>
      <c r="K49" s="98" t="s">
        <v>412</v>
      </c>
    </row>
    <row r="50" spans="3:11">
      <c r="C50" s="141"/>
      <c r="D50" s="158"/>
      <c r="E50" s="123"/>
      <c r="F50" s="97">
        <f t="shared" si="3"/>
        <v>0</v>
      </c>
      <c r="G50" s="161"/>
      <c r="H50" s="142"/>
      <c r="I50" s="130" t="e">
        <f>VLOOKUP(H50,Presupuesto!$B$11:$C$565,2,0)</f>
        <v>#N/A</v>
      </c>
      <c r="J50" s="98" t="str">
        <f t="shared" si="4"/>
        <v>Lo Esencial de la Reforma Universitaria</v>
      </c>
      <c r="K50" s="98" t="s">
        <v>412</v>
      </c>
    </row>
    <row r="51" spans="3:11">
      <c r="C51" s="141"/>
      <c r="D51" s="158"/>
      <c r="E51" s="123"/>
      <c r="F51" s="97">
        <f t="shared" si="3"/>
        <v>0</v>
      </c>
      <c r="G51" s="161"/>
      <c r="H51" s="142"/>
      <c r="I51" s="130" t="e">
        <f>VLOOKUP(H51,Presupuesto!$B$11:$C$565,2,0)</f>
        <v>#N/A</v>
      </c>
      <c r="J51" s="98" t="str">
        <f t="shared" si="4"/>
        <v>Lo Esencial de la Reforma Universitaria</v>
      </c>
      <c r="K51" s="98" t="s">
        <v>401</v>
      </c>
    </row>
    <row r="52" spans="3:11">
      <c r="C52" s="141"/>
      <c r="D52" s="158"/>
      <c r="E52" s="123"/>
      <c r="F52" s="97">
        <f t="shared" si="3"/>
        <v>0</v>
      </c>
      <c r="G52" s="161"/>
      <c r="H52" s="142"/>
      <c r="I52" s="130" t="e">
        <f>VLOOKUP(H52,Presupuesto!$B$11:$C$565,2,0)</f>
        <v>#N/A</v>
      </c>
      <c r="J52" s="98" t="str">
        <f t="shared" si="4"/>
        <v>Lo Esencial de la Reforma Universitaria</v>
      </c>
      <c r="K52" s="98" t="s">
        <v>412</v>
      </c>
    </row>
    <row r="53" spans="3:11">
      <c r="C53" s="141"/>
      <c r="D53" s="158"/>
      <c r="E53" s="123"/>
      <c r="F53" s="97">
        <f t="shared" si="3"/>
        <v>0</v>
      </c>
      <c r="G53" s="161"/>
      <c r="H53" s="142"/>
      <c r="I53" s="130" t="e">
        <f>VLOOKUP(H53,Presupuesto!$B$11:$C$565,2,0)</f>
        <v>#N/A</v>
      </c>
      <c r="J53" s="98" t="str">
        <f t="shared" si="4"/>
        <v>Lo Esencial de la Reforma Universitaria</v>
      </c>
      <c r="K53" s="98" t="s">
        <v>412</v>
      </c>
    </row>
    <row r="54" spans="3:11">
      <c r="C54" s="141"/>
      <c r="D54" s="158"/>
      <c r="E54" s="123"/>
      <c r="F54" s="97">
        <f t="shared" si="3"/>
        <v>0</v>
      </c>
      <c r="G54" s="161"/>
      <c r="H54" s="142"/>
      <c r="I54" s="130" t="e">
        <f>VLOOKUP(H54,Presupuesto!$B$11:$C$565,2,0)</f>
        <v>#N/A</v>
      </c>
      <c r="J54" s="98" t="str">
        <f t="shared" si="4"/>
        <v>Lo Esencial de la Reforma Universitaria</v>
      </c>
      <c r="K54" s="98" t="s">
        <v>412</v>
      </c>
    </row>
    <row r="55" spans="3:11">
      <c r="C55" s="141"/>
      <c r="D55" s="158"/>
      <c r="E55" s="123"/>
      <c r="F55" s="97">
        <f t="shared" si="3"/>
        <v>0</v>
      </c>
      <c r="G55" s="161"/>
      <c r="H55" s="142"/>
      <c r="I55" s="130" t="e">
        <f>VLOOKUP(H55,Presupuesto!$B$11:$C$565,2,0)</f>
        <v>#N/A</v>
      </c>
      <c r="J55" s="98" t="str">
        <f t="shared" si="4"/>
        <v>Lo Esencial de la Reforma Universitaria</v>
      </c>
      <c r="K55" s="98" t="s">
        <v>412</v>
      </c>
    </row>
    <row r="56" spans="3:11">
      <c r="C56" s="141"/>
      <c r="D56" s="158"/>
      <c r="E56" s="123"/>
      <c r="F56" s="97">
        <f t="shared" si="3"/>
        <v>0</v>
      </c>
      <c r="G56" s="161"/>
      <c r="H56" s="142"/>
      <c r="I56" s="130" t="e">
        <f>VLOOKUP(H56,Presupuesto!$B$11:$C$565,2,0)</f>
        <v>#N/A</v>
      </c>
      <c r="J56" s="98" t="str">
        <f t="shared" si="4"/>
        <v>Lo Esencial de la Reforma Universitaria</v>
      </c>
      <c r="K56" s="98" t="s">
        <v>412</v>
      </c>
    </row>
    <row r="57" spans="3:11">
      <c r="C57" s="141"/>
      <c r="D57" s="158"/>
      <c r="E57" s="123"/>
      <c r="F57" s="97">
        <f t="shared" si="3"/>
        <v>0</v>
      </c>
      <c r="G57" s="161"/>
      <c r="H57" s="142"/>
      <c r="I57" s="130" t="e">
        <f>VLOOKUP(H57,Presupuesto!$B$11:$C$565,2,0)</f>
        <v>#N/A</v>
      </c>
      <c r="J57" s="98" t="str">
        <f t="shared" si="4"/>
        <v>Lo Esencial de la Reforma Universitaria</v>
      </c>
      <c r="K57" s="98" t="s">
        <v>412</v>
      </c>
    </row>
    <row r="58" spans="3:11">
      <c r="C58" s="141"/>
      <c r="D58" s="158"/>
      <c r="E58" s="123"/>
      <c r="F58" s="97">
        <f t="shared" si="3"/>
        <v>0</v>
      </c>
      <c r="G58" s="161"/>
      <c r="H58" s="142"/>
      <c r="I58" s="130" t="e">
        <f>VLOOKUP(H58,Presupuesto!$B$11:$C$565,2,0)</f>
        <v>#N/A</v>
      </c>
      <c r="J58" s="98" t="str">
        <f t="shared" si="4"/>
        <v>Lo Esencial de la Reforma Universitaria</v>
      </c>
      <c r="K58" s="98" t="s">
        <v>412</v>
      </c>
    </row>
    <row r="59" spans="3:11">
      <c r="C59" s="141"/>
      <c r="D59" s="158"/>
      <c r="E59" s="123"/>
      <c r="F59" s="97">
        <f t="shared" si="3"/>
        <v>0</v>
      </c>
      <c r="G59" s="161"/>
      <c r="H59" s="142"/>
      <c r="I59" s="130" t="e">
        <f>VLOOKUP(H59,Presupuesto!$B$11:$C$565,2,0)</f>
        <v>#N/A</v>
      </c>
      <c r="J59" s="98" t="str">
        <f t="shared" si="4"/>
        <v>Lo Esencial de la Reforma Universitaria</v>
      </c>
      <c r="K59" s="98" t="s">
        <v>412</v>
      </c>
    </row>
    <row r="60" spans="3:11">
      <c r="C60" s="141"/>
      <c r="D60" s="158"/>
      <c r="E60" s="123"/>
      <c r="F60" s="97">
        <f t="shared" si="3"/>
        <v>0</v>
      </c>
      <c r="G60" s="161"/>
      <c r="H60" s="142"/>
      <c r="I60" s="130" t="e">
        <f>VLOOKUP(H60,Presupuesto!$B$11:$C$565,2,0)</f>
        <v>#N/A</v>
      </c>
      <c r="J60" s="98" t="str">
        <f t="shared" si="4"/>
        <v>Lo Esencial de la Reforma Universitaria</v>
      </c>
      <c r="K60" s="98" t="s">
        <v>412</v>
      </c>
    </row>
    <row r="61" spans="3:11">
      <c r="C61" s="141"/>
      <c r="D61" s="158"/>
      <c r="E61" s="123"/>
      <c r="F61" s="97">
        <f t="shared" si="3"/>
        <v>0</v>
      </c>
      <c r="G61" s="161"/>
      <c r="H61" s="142"/>
      <c r="I61" s="130" t="e">
        <f>VLOOKUP(H61,Presupuesto!$B$11:$C$565,2,0)</f>
        <v>#N/A</v>
      </c>
      <c r="J61" s="98" t="str">
        <f t="shared" si="4"/>
        <v>Lo Esencial de la Reforma Universitaria</v>
      </c>
      <c r="K61" s="98" t="s">
        <v>412</v>
      </c>
    </row>
    <row r="62" spans="3:11">
      <c r="C62" s="141"/>
      <c r="D62" s="158"/>
      <c r="E62" s="123"/>
      <c r="F62" s="97">
        <f t="shared" si="3"/>
        <v>0</v>
      </c>
      <c r="G62" s="161"/>
      <c r="H62" s="142"/>
      <c r="I62" s="130" t="e">
        <f>VLOOKUP(H62,Presupuesto!$B$11:$C$565,2,0)</f>
        <v>#N/A</v>
      </c>
      <c r="J62" s="98" t="str">
        <f t="shared" si="4"/>
        <v>Lo Esencial de la Reforma Universitaria</v>
      </c>
      <c r="K62" s="98" t="s">
        <v>412</v>
      </c>
    </row>
    <row r="63" spans="3:11">
      <c r="C63" s="141"/>
      <c r="D63" s="158"/>
      <c r="E63" s="123"/>
      <c r="F63" s="97">
        <f t="shared" si="3"/>
        <v>0</v>
      </c>
      <c r="G63" s="161"/>
      <c r="H63" s="142"/>
      <c r="I63" s="130" t="e">
        <f>VLOOKUP(H63,Presupuesto!$B$11:$C$565,2,0)</f>
        <v>#N/A</v>
      </c>
      <c r="J63" s="98" t="str">
        <f t="shared" si="4"/>
        <v>Lo Esencial de la Reforma Universitaria</v>
      </c>
      <c r="K63" s="98" t="s">
        <v>412</v>
      </c>
    </row>
    <row r="64" spans="3:11">
      <c r="C64" s="141"/>
      <c r="D64" s="158"/>
      <c r="E64" s="123"/>
      <c r="F64" s="97">
        <f t="shared" si="3"/>
        <v>0</v>
      </c>
      <c r="G64" s="161"/>
      <c r="H64" s="142"/>
      <c r="I64" s="130" t="e">
        <f>VLOOKUP(H64,Presupuesto!$B$11:$C$565,2,0)</f>
        <v>#N/A</v>
      </c>
      <c r="J64" s="98" t="str">
        <f t="shared" si="4"/>
        <v>Lo Esencial de la Reforma Universitaria</v>
      </c>
      <c r="K64" s="98" t="s">
        <v>412</v>
      </c>
    </row>
    <row r="65" spans="3:11">
      <c r="C65" s="141"/>
      <c r="D65" s="158"/>
      <c r="E65" s="123"/>
      <c r="F65" s="97">
        <f t="shared" si="3"/>
        <v>0</v>
      </c>
      <c r="G65" s="161"/>
      <c r="H65" s="142"/>
      <c r="I65" s="130" t="e">
        <f>VLOOKUP(H65,Presupuesto!$B$11:$C$565,2,0)</f>
        <v>#N/A</v>
      </c>
      <c r="J65" s="98" t="str">
        <f t="shared" si="4"/>
        <v>Lo Esencial de la Reforma Universitaria</v>
      </c>
      <c r="K65" s="98" t="s">
        <v>412</v>
      </c>
    </row>
    <row r="66" spans="3:11">
      <c r="C66" s="141"/>
      <c r="D66" s="158"/>
      <c r="E66" s="123"/>
      <c r="F66" s="97">
        <f t="shared" si="3"/>
        <v>0</v>
      </c>
      <c r="G66" s="161"/>
      <c r="H66" s="142"/>
      <c r="I66" s="130" t="e">
        <f>VLOOKUP(H66,Presupuesto!$B$11:$C$565,2,0)</f>
        <v>#N/A</v>
      </c>
      <c r="J66" s="98" t="str">
        <f t="shared" si="4"/>
        <v>Lo Esencial de la Reforma Universitaria</v>
      </c>
      <c r="K66" s="98" t="s">
        <v>412</v>
      </c>
    </row>
    <row r="67" spans="3:11">
      <c r="C67" s="141"/>
      <c r="D67" s="158"/>
      <c r="E67" s="123"/>
      <c r="F67" s="97">
        <f t="shared" si="3"/>
        <v>0</v>
      </c>
      <c r="G67" s="161"/>
      <c r="H67" s="142"/>
      <c r="I67" s="130" t="e">
        <f>VLOOKUP(H67,Presupuesto!$B$11:$C$565,2,0)</f>
        <v>#N/A</v>
      </c>
      <c r="J67" s="98" t="str">
        <f t="shared" si="4"/>
        <v>Lo Esencial de la Reforma Universitaria</v>
      </c>
      <c r="K67" s="98" t="s">
        <v>412</v>
      </c>
    </row>
    <row r="68" spans="3:11">
      <c r="C68" s="143"/>
      <c r="D68" s="151"/>
      <c r="E68" s="118"/>
      <c r="F68" s="97">
        <f t="shared" si="3"/>
        <v>0</v>
      </c>
      <c r="G68" s="161"/>
      <c r="H68" s="144"/>
      <c r="I68" s="130" t="e">
        <f>VLOOKUP(H68,Presupuesto!$B$11:$C$565,2,0)</f>
        <v>#N/A</v>
      </c>
      <c r="J68" s="98" t="str">
        <f t="shared" si="4"/>
        <v>Lo Esencial de la Reforma Universitaria</v>
      </c>
      <c r="K68" s="98" t="s">
        <v>412</v>
      </c>
    </row>
    <row r="69" spans="3:11">
      <c r="C69" s="143"/>
      <c r="D69" s="151"/>
      <c r="E69" s="118"/>
      <c r="F69" s="97">
        <f t="shared" si="3"/>
        <v>0</v>
      </c>
      <c r="G69" s="161"/>
      <c r="H69" s="144"/>
      <c r="I69" s="130" t="e">
        <f>VLOOKUP(H69,Presupuesto!$B$11:$C$565,2,0)</f>
        <v>#N/A</v>
      </c>
      <c r="J69" s="98" t="str">
        <f t="shared" si="4"/>
        <v>Lo Esencial de la Reforma Universitaria</v>
      </c>
      <c r="K69" s="98" t="s">
        <v>412</v>
      </c>
    </row>
    <row r="70" spans="3:11">
      <c r="C70" s="143"/>
      <c r="D70" s="151"/>
      <c r="E70" s="118"/>
      <c r="F70" s="97">
        <f t="shared" si="3"/>
        <v>0</v>
      </c>
      <c r="G70" s="161"/>
      <c r="H70" s="144"/>
      <c r="I70" s="130" t="e">
        <f>VLOOKUP(H70,Presupuesto!$B$11:$C$565,2,0)</f>
        <v>#N/A</v>
      </c>
      <c r="J70" s="98" t="str">
        <f t="shared" si="4"/>
        <v>Lo Esencial de la Reforma Universitaria</v>
      </c>
      <c r="K70" s="98" t="s">
        <v>412</v>
      </c>
    </row>
    <row r="71" spans="3:11">
      <c r="C71" s="143"/>
      <c r="D71" s="151"/>
      <c r="E71" s="118"/>
      <c r="F71" s="97">
        <f t="shared" si="3"/>
        <v>0</v>
      </c>
      <c r="G71" s="161"/>
      <c r="H71" s="144"/>
      <c r="I71" s="130" t="e">
        <f>VLOOKUP(H71,Presupuesto!$B$11:$C$565,2,0)</f>
        <v>#N/A</v>
      </c>
      <c r="J71" s="98" t="str">
        <f t="shared" si="4"/>
        <v>Lo Esencial de la Reforma Universitaria</v>
      </c>
      <c r="K71" s="98" t="s">
        <v>412</v>
      </c>
    </row>
    <row r="72" spans="3:11">
      <c r="C72" s="143"/>
      <c r="D72" s="151"/>
      <c r="E72" s="118"/>
      <c r="F72" s="97">
        <f t="shared" si="3"/>
        <v>0</v>
      </c>
      <c r="G72" s="161"/>
      <c r="H72" s="144"/>
      <c r="I72" s="130" t="e">
        <f>VLOOKUP(H72,Presupuesto!$B$11:$C$565,2,0)</f>
        <v>#N/A</v>
      </c>
      <c r="J72" s="98" t="str">
        <f t="shared" si="4"/>
        <v>Lo Esencial de la Reforma Universitaria</v>
      </c>
      <c r="K72" s="98" t="s">
        <v>412</v>
      </c>
    </row>
    <row r="73" spans="3:11">
      <c r="C73" s="143"/>
      <c r="D73" s="151"/>
      <c r="E73" s="118"/>
      <c r="F73" s="97">
        <f t="shared" si="3"/>
        <v>0</v>
      </c>
      <c r="G73" s="161"/>
      <c r="H73" s="144"/>
      <c r="I73" s="130" t="e">
        <f>VLOOKUP(H73,Presupuesto!$B$11:$C$565,2,0)</f>
        <v>#N/A</v>
      </c>
      <c r="J73" s="98" t="str">
        <f t="shared" si="4"/>
        <v>Lo Esencial de la Reforma Universitaria</v>
      </c>
      <c r="K73" s="98" t="s">
        <v>412</v>
      </c>
    </row>
    <row r="74" spans="3:11">
      <c r="C74" s="143"/>
      <c r="D74" s="151"/>
      <c r="E74" s="118"/>
      <c r="F74" s="97">
        <f t="shared" si="3"/>
        <v>0</v>
      </c>
      <c r="G74" s="161"/>
      <c r="H74" s="144"/>
      <c r="I74" s="130" t="e">
        <f>VLOOKUP(H74,Presupuesto!$B$11:$C$565,2,0)</f>
        <v>#N/A</v>
      </c>
      <c r="J74" s="98" t="str">
        <f t="shared" si="4"/>
        <v>Lo Esencial de la Reforma Universitaria</v>
      </c>
      <c r="K74" s="98" t="s">
        <v>412</v>
      </c>
    </row>
    <row r="75" spans="3:11">
      <c r="C75" s="143"/>
      <c r="D75" s="151"/>
      <c r="E75" s="118"/>
      <c r="F75" s="97">
        <f t="shared" si="3"/>
        <v>0</v>
      </c>
      <c r="G75" s="161"/>
      <c r="H75" s="144"/>
      <c r="I75" s="130" t="e">
        <f>VLOOKUP(H75,Presupuesto!$B$11:$C$565,2,0)</f>
        <v>#N/A</v>
      </c>
      <c r="J75" s="98" t="str">
        <f t="shared" si="4"/>
        <v>Lo Esencial de la Reforma Universitaria</v>
      </c>
      <c r="K75" s="98" t="s">
        <v>412</v>
      </c>
    </row>
    <row r="76" spans="3:11">
      <c r="C76" s="145"/>
      <c r="D76" s="151"/>
      <c r="E76" s="118"/>
      <c r="F76" s="97">
        <f t="shared" si="3"/>
        <v>0</v>
      </c>
      <c r="G76" s="161"/>
      <c r="H76" s="146"/>
      <c r="I76" s="130" t="e">
        <f>VLOOKUP(H76,Presupuesto!$B$11:$C$565,2,0)</f>
        <v>#N/A</v>
      </c>
      <c r="J76" s="98" t="str">
        <f t="shared" si="4"/>
        <v>Lo Esencial de la Reforma Universitaria</v>
      </c>
      <c r="K76" s="98" t="s">
        <v>403</v>
      </c>
    </row>
    <row r="77" spans="3:11">
      <c r="C77" s="145"/>
      <c r="D77" s="151"/>
      <c r="E77" s="118"/>
      <c r="F77" s="97">
        <f t="shared" si="3"/>
        <v>0</v>
      </c>
      <c r="G77" s="161"/>
      <c r="H77" s="146"/>
      <c r="I77" s="130" t="e">
        <f>VLOOKUP(H77,Presupuesto!$B$11:$C$565,2,0)</f>
        <v>#N/A</v>
      </c>
      <c r="J77" s="98" t="str">
        <f t="shared" si="4"/>
        <v>Lo Esencial de la Reforma Universitaria</v>
      </c>
      <c r="K77" s="98" t="s">
        <v>412</v>
      </c>
    </row>
    <row r="78" spans="3:11">
      <c r="C78" s="145"/>
      <c r="D78" s="151"/>
      <c r="E78" s="118"/>
      <c r="F78" s="97">
        <f t="shared" si="3"/>
        <v>0</v>
      </c>
      <c r="G78" s="161"/>
      <c r="H78" s="146"/>
      <c r="I78" s="130" t="e">
        <f>VLOOKUP(H78,Presupuesto!$B$11:$C$565,2,0)</f>
        <v>#N/A</v>
      </c>
      <c r="J78" s="98" t="str">
        <f t="shared" si="4"/>
        <v>Lo Esencial de la Reforma Universitaria</v>
      </c>
      <c r="K78" s="98" t="s">
        <v>412</v>
      </c>
    </row>
    <row r="79" spans="3:11">
      <c r="C79" s="145"/>
      <c r="D79" s="151"/>
      <c r="E79" s="118"/>
      <c r="F79" s="97">
        <f t="shared" si="3"/>
        <v>0</v>
      </c>
      <c r="G79" s="161"/>
      <c r="H79" s="146"/>
      <c r="I79" s="130" t="e">
        <f>VLOOKUP(H79,Presupuesto!$B$11:$C$565,2,0)</f>
        <v>#N/A</v>
      </c>
      <c r="J79" s="98" t="str">
        <f t="shared" si="4"/>
        <v>Lo Esencial de la Reforma Universitaria</v>
      </c>
      <c r="K79" s="98" t="s">
        <v>412</v>
      </c>
    </row>
    <row r="80" spans="3:11" ht="15.75" thickBot="1">
      <c r="C80" s="147"/>
      <c r="D80" s="159"/>
      <c r="E80" s="103"/>
      <c r="F80" s="105">
        <f t="shared" si="3"/>
        <v>0</v>
      </c>
      <c r="G80" s="162"/>
      <c r="H80" s="148"/>
      <c r="I80" s="132" t="e">
        <f>VLOOKUP(H80,Presupuesto!$B$11:$C$565,2,0)</f>
        <v>#N/A</v>
      </c>
      <c r="J80" s="106" t="str">
        <f t="shared" si="4"/>
        <v>Lo Esencial de la Reforma Universitaria</v>
      </c>
      <c r="K80" s="124" t="s">
        <v>394</v>
      </c>
    </row>
    <row r="82" spans="3:11" ht="15.75" thickBot="1"/>
    <row r="83" spans="3:11" ht="15.75" thickBot="1">
      <c r="C83" s="157" t="s">
        <v>53</v>
      </c>
      <c r="D83" s="374">
        <f>SUM(F90:F123)</f>
        <v>110400</v>
      </c>
      <c r="F83" s="70"/>
      <c r="G83" s="79"/>
      <c r="H83" s="70"/>
      <c r="I83" s="70"/>
    </row>
    <row r="84" spans="3:11">
      <c r="C84" s="70"/>
      <c r="D84" s="31"/>
      <c r="E84" s="93"/>
      <c r="F84" s="93"/>
      <c r="G84" s="93"/>
      <c r="H84" s="76"/>
      <c r="I84" s="76"/>
      <c r="J84" s="76"/>
      <c r="K84" s="112"/>
    </row>
    <row r="85" spans="3:11">
      <c r="C85" s="70"/>
      <c r="D85" s="31"/>
      <c r="E85" s="93"/>
      <c r="F85" s="93"/>
      <c r="G85" s="93"/>
      <c r="H85" s="76"/>
      <c r="I85" s="76"/>
      <c r="J85" s="76"/>
      <c r="K85" s="112"/>
    </row>
    <row r="86" spans="3:11" ht="15.75">
      <c r="C86" s="202" t="s">
        <v>392</v>
      </c>
      <c r="D86" s="370">
        <v>7.3</v>
      </c>
      <c r="E86" s="93"/>
      <c r="F86" s="93"/>
      <c r="G86" s="93"/>
      <c r="H86" s="76"/>
      <c r="I86" s="76"/>
      <c r="J86" s="76"/>
      <c r="K86" s="112"/>
    </row>
    <row r="87" spans="3:11" ht="18.75">
      <c r="C87" s="211" t="str">
        <f>IFERROR(VLOOKUP(D86,'1. Desarrollo e Innov. Curricu.'!$E:$F,2,FALSE),IFERROR(VLOOKUP(D86,'2. Investigación Científica'!$E:$F,2,FALSE),IFERROR(VLOOKUP(D86,'3. Vinculación Univ. Sociedad'!$E:$F,2,FALSE),IFERROR(VLOOKUP(D86,'4. Docencia y Profesorado Univ.'!$E:$F,2,FALSE),IFERROR(VLOOKUP(D86,'5. Estudiantes y Graduados'!$E:$F,2,FALSE),IFERROR(VLOOKUP(D86,'11. Gestion Administrativa'!$E:$F,2,FALSE),IFERROR(VLOOKUP(D86,'13. Gestión Académica'!$E:$F,2,FALSE),IFERROR(VLOOKUP(D86,'8. Asegura. de la Calid. y M'!$E:$F,2,FALSE),IFERROR(VLOOKUP(D86,'6. Gestión del Conocimiento'!$E:$F,2,FALSE),IFERROR(VLOOKUP(D86,'15. Gobernabilidad y Proceso...'!$E:$F,2,FALSE),IFERROR(VLOOKUP(D86,'12. Gestión del Talento Humano'!$E:$F,2,FALSE),IFERROR(VLOOKUP(D86,'14. Internacional... de la E.S.'!$E:$F,2,FALSE),IFERROR(VLOOKUP(D86,'10. Posgrado'!$E:$F,2,FALSE),IFERROR(VLOOKUP(D86,'17. Gestión TIC'!$E:$F,2,FALSE),IFERROR(VLOOKUP(D86,'16. Desa. del Sistema Educ.Sup.'!$E:$F,2,FALSE),IFERROR(VLOOKUP(D86,'9. Cultura de Inno. Insti...'!$E:$F,2,FALSE),VLOOKUP(D86,'7. Lo Esencial de la Reforma U.'!$E:$F,2,0)))))))))))))))))</f>
        <v>Realizar dos temporadas de conciertos de la orquesta de cámara con directores internacionales invitados.</v>
      </c>
      <c r="D87" s="407"/>
      <c r="E87" s="93"/>
      <c r="F87" s="93"/>
      <c r="G87" s="93"/>
      <c r="H87" s="76"/>
      <c r="I87" s="76"/>
      <c r="J87" s="76"/>
      <c r="K87" s="112"/>
    </row>
    <row r="88" spans="3:11" ht="15.75" thickBot="1">
      <c r="F88" s="93"/>
      <c r="G88" s="76"/>
      <c r="H88" s="76"/>
      <c r="I88" s="76"/>
    </row>
    <row r="89" spans="3:11" ht="30.75" thickBot="1">
      <c r="C89" s="129" t="s">
        <v>44</v>
      </c>
      <c r="D89" s="129" t="s">
        <v>55</v>
      </c>
      <c r="E89" s="136" t="s">
        <v>57</v>
      </c>
      <c r="F89" s="135" t="s">
        <v>27</v>
      </c>
      <c r="G89" s="133" t="s">
        <v>131</v>
      </c>
      <c r="H89" s="136" t="s">
        <v>46</v>
      </c>
      <c r="I89" s="133" t="s">
        <v>132</v>
      </c>
      <c r="J89" s="133" t="s">
        <v>410</v>
      </c>
      <c r="K89" s="133" t="s">
        <v>411</v>
      </c>
    </row>
    <row r="90" spans="3:11" ht="30">
      <c r="C90" s="550" t="s">
        <v>1617</v>
      </c>
      <c r="D90" s="158">
        <v>2</v>
      </c>
      <c r="E90" s="123">
        <v>20000</v>
      </c>
      <c r="F90" s="97">
        <f t="shared" ref="F90:F123" si="5">D90*E90</f>
        <v>40000</v>
      </c>
      <c r="G90" s="161" t="s">
        <v>1508</v>
      </c>
      <c r="H90" s="142" t="s">
        <v>755</v>
      </c>
      <c r="I90" s="130" t="str">
        <f>VLOOKUP(H90,Presupuesto!$B$11:$C$565,2,0)</f>
        <v>PASAJES AL EXTERIOR</v>
      </c>
      <c r="J90" s="98" t="s">
        <v>1360</v>
      </c>
      <c r="K90" s="98" t="s">
        <v>397</v>
      </c>
    </row>
    <row r="91" spans="3:11" ht="30">
      <c r="C91" s="550" t="s">
        <v>1618</v>
      </c>
      <c r="D91" s="158">
        <v>2</v>
      </c>
      <c r="E91" s="123">
        <v>35200</v>
      </c>
      <c r="F91" s="97">
        <f t="shared" si="5"/>
        <v>70400</v>
      </c>
      <c r="G91" s="161" t="s">
        <v>1508</v>
      </c>
      <c r="H91" s="142" t="s">
        <v>743</v>
      </c>
      <c r="I91" s="130" t="str">
        <f>VLOOKUP(H91,Presupuesto!$B$11:$C$565,2,0)</f>
        <v>OTROS SERVICIOS COMERCIALES Y FINANCIEROS</v>
      </c>
      <c r="J91" s="98" t="s">
        <v>1360</v>
      </c>
      <c r="K91" s="98" t="s">
        <v>398</v>
      </c>
    </row>
    <row r="92" spans="3:11">
      <c r="C92" s="141"/>
      <c r="D92" s="158"/>
      <c r="E92" s="123"/>
      <c r="F92" s="97">
        <f t="shared" si="5"/>
        <v>0</v>
      </c>
      <c r="G92" s="161"/>
      <c r="H92" s="142"/>
      <c r="I92" s="130" t="e">
        <f>VLOOKUP(H92,Presupuesto!$B$11:$C$565,2,0)</f>
        <v>#N/A</v>
      </c>
      <c r="J92" s="98" t="s">
        <v>1360</v>
      </c>
      <c r="K92" s="98" t="s">
        <v>412</v>
      </c>
    </row>
    <row r="93" spans="3:11">
      <c r="C93" s="141"/>
      <c r="D93" s="158"/>
      <c r="E93" s="123"/>
      <c r="F93" s="97">
        <f t="shared" si="5"/>
        <v>0</v>
      </c>
      <c r="G93" s="161"/>
      <c r="H93" s="142"/>
      <c r="I93" s="130" t="e">
        <f>VLOOKUP(H93,Presupuesto!$B$11:$C$565,2,0)</f>
        <v>#N/A</v>
      </c>
      <c r="J93" s="98" t="s">
        <v>1360</v>
      </c>
      <c r="K93" s="98" t="s">
        <v>412</v>
      </c>
    </row>
    <row r="94" spans="3:11">
      <c r="C94" s="141"/>
      <c r="D94" s="158"/>
      <c r="E94" s="123"/>
      <c r="F94" s="97">
        <f t="shared" si="5"/>
        <v>0</v>
      </c>
      <c r="G94" s="161"/>
      <c r="H94" s="142"/>
      <c r="I94" s="130" t="e">
        <f>VLOOKUP(H94,Presupuesto!$B$11:$C$565,2,0)</f>
        <v>#N/A</v>
      </c>
      <c r="J94" s="98" t="s">
        <v>1360</v>
      </c>
      <c r="K94" s="98" t="s">
        <v>401</v>
      </c>
    </row>
    <row r="95" spans="3:11">
      <c r="C95" s="141"/>
      <c r="D95" s="158"/>
      <c r="E95" s="123"/>
      <c r="F95" s="97">
        <f t="shared" si="5"/>
        <v>0</v>
      </c>
      <c r="G95" s="161"/>
      <c r="H95" s="142"/>
      <c r="I95" s="130" t="e">
        <f>VLOOKUP(H95,Presupuesto!$B$11:$C$565,2,0)</f>
        <v>#N/A</v>
      </c>
      <c r="J95" s="98" t="s">
        <v>1360</v>
      </c>
      <c r="K95" s="98" t="s">
        <v>412</v>
      </c>
    </row>
    <row r="96" spans="3:11">
      <c r="C96" s="141"/>
      <c r="D96" s="158"/>
      <c r="E96" s="123"/>
      <c r="F96" s="97">
        <f t="shared" si="5"/>
        <v>0</v>
      </c>
      <c r="G96" s="161"/>
      <c r="H96" s="142"/>
      <c r="I96" s="130" t="e">
        <f>VLOOKUP(H96,Presupuesto!$B$11:$C$565,2,0)</f>
        <v>#N/A</v>
      </c>
      <c r="J96" s="98" t="s">
        <v>1360</v>
      </c>
      <c r="K96" s="98" t="s">
        <v>412</v>
      </c>
    </row>
    <row r="97" spans="3:11">
      <c r="C97" s="141"/>
      <c r="D97" s="158"/>
      <c r="E97" s="123"/>
      <c r="F97" s="97">
        <f t="shared" si="5"/>
        <v>0</v>
      </c>
      <c r="G97" s="161"/>
      <c r="H97" s="142"/>
      <c r="I97" s="130" t="e">
        <f>VLOOKUP(H97,Presupuesto!$B$11:$C$565,2,0)</f>
        <v>#N/A</v>
      </c>
      <c r="J97" s="98" t="s">
        <v>1360</v>
      </c>
      <c r="K97" s="98" t="s">
        <v>412</v>
      </c>
    </row>
    <row r="98" spans="3:11">
      <c r="C98" s="141"/>
      <c r="D98" s="158"/>
      <c r="E98" s="123"/>
      <c r="F98" s="97">
        <f t="shared" si="5"/>
        <v>0</v>
      </c>
      <c r="G98" s="161"/>
      <c r="H98" s="142"/>
      <c r="I98" s="130" t="e">
        <f>VLOOKUP(H98,Presupuesto!$B$11:$C$565,2,0)</f>
        <v>#N/A</v>
      </c>
      <c r="J98" s="98" t="s">
        <v>1360</v>
      </c>
      <c r="K98" s="98" t="s">
        <v>412</v>
      </c>
    </row>
    <row r="99" spans="3:11">
      <c r="C99" s="141"/>
      <c r="D99" s="158"/>
      <c r="E99" s="123"/>
      <c r="F99" s="97">
        <f t="shared" si="5"/>
        <v>0</v>
      </c>
      <c r="G99" s="161"/>
      <c r="H99" s="142"/>
      <c r="I99" s="130" t="e">
        <f>VLOOKUP(H99,Presupuesto!$B$11:$C$565,2,0)</f>
        <v>#N/A</v>
      </c>
      <c r="J99" s="98" t="s">
        <v>1360</v>
      </c>
      <c r="K99" s="98" t="s">
        <v>412</v>
      </c>
    </row>
    <row r="100" spans="3:11">
      <c r="C100" s="141"/>
      <c r="D100" s="158"/>
      <c r="E100" s="123"/>
      <c r="F100" s="97">
        <f t="shared" si="5"/>
        <v>0</v>
      </c>
      <c r="G100" s="161"/>
      <c r="H100" s="142"/>
      <c r="I100" s="130" t="e">
        <f>VLOOKUP(H100,Presupuesto!$B$11:$C$565,2,0)</f>
        <v>#N/A</v>
      </c>
      <c r="J100" s="98" t="s">
        <v>1360</v>
      </c>
      <c r="K100" s="98" t="s">
        <v>412</v>
      </c>
    </row>
    <row r="101" spans="3:11">
      <c r="C101" s="141"/>
      <c r="D101" s="158"/>
      <c r="E101" s="123"/>
      <c r="F101" s="97">
        <f t="shared" si="5"/>
        <v>0</v>
      </c>
      <c r="G101" s="161"/>
      <c r="H101" s="142"/>
      <c r="I101" s="130" t="e">
        <f>VLOOKUP(H101,Presupuesto!$B$11:$C$565,2,0)</f>
        <v>#N/A</v>
      </c>
      <c r="J101" s="98" t="s">
        <v>1360</v>
      </c>
      <c r="K101" s="98" t="s">
        <v>412</v>
      </c>
    </row>
    <row r="102" spans="3:11">
      <c r="C102" s="141"/>
      <c r="D102" s="158"/>
      <c r="E102" s="123"/>
      <c r="F102" s="97">
        <f t="shared" si="5"/>
        <v>0</v>
      </c>
      <c r="G102" s="161"/>
      <c r="H102" s="142"/>
      <c r="I102" s="130" t="e">
        <f>VLOOKUP(H102,Presupuesto!$B$11:$C$565,2,0)</f>
        <v>#N/A</v>
      </c>
      <c r="J102" s="98" t="s">
        <v>1360</v>
      </c>
      <c r="K102" s="98" t="s">
        <v>412</v>
      </c>
    </row>
    <row r="103" spans="3:11">
      <c r="C103" s="141"/>
      <c r="D103" s="158"/>
      <c r="E103" s="123"/>
      <c r="F103" s="97">
        <f t="shared" si="5"/>
        <v>0</v>
      </c>
      <c r="G103" s="161"/>
      <c r="H103" s="142"/>
      <c r="I103" s="130" t="e">
        <f>VLOOKUP(H103,Presupuesto!$B$11:$C$565,2,0)</f>
        <v>#N/A</v>
      </c>
      <c r="J103" s="98" t="s">
        <v>1360</v>
      </c>
      <c r="K103" s="98" t="s">
        <v>412</v>
      </c>
    </row>
    <row r="104" spans="3:11">
      <c r="C104" s="141"/>
      <c r="D104" s="158"/>
      <c r="E104" s="123"/>
      <c r="F104" s="97">
        <f t="shared" si="5"/>
        <v>0</v>
      </c>
      <c r="G104" s="161"/>
      <c r="H104" s="142"/>
      <c r="I104" s="130" t="e">
        <f>VLOOKUP(H104,Presupuesto!$B$11:$C$565,2,0)</f>
        <v>#N/A</v>
      </c>
      <c r="J104" s="98" t="s">
        <v>1360</v>
      </c>
      <c r="K104" s="98" t="s">
        <v>412</v>
      </c>
    </row>
    <row r="105" spans="3:11">
      <c r="C105" s="141"/>
      <c r="D105" s="158"/>
      <c r="E105" s="123"/>
      <c r="F105" s="97">
        <f t="shared" si="5"/>
        <v>0</v>
      </c>
      <c r="G105" s="161"/>
      <c r="H105" s="142"/>
      <c r="I105" s="130" t="e">
        <f>VLOOKUP(H105,Presupuesto!$B$11:$C$565,2,0)</f>
        <v>#N/A</v>
      </c>
      <c r="J105" s="98" t="s">
        <v>1360</v>
      </c>
      <c r="K105" s="98" t="s">
        <v>412</v>
      </c>
    </row>
    <row r="106" spans="3:11">
      <c r="C106" s="141"/>
      <c r="D106" s="158"/>
      <c r="E106" s="123"/>
      <c r="F106" s="97">
        <f t="shared" si="5"/>
        <v>0</v>
      </c>
      <c r="G106" s="161"/>
      <c r="H106" s="142"/>
      <c r="I106" s="130" t="e">
        <f>VLOOKUP(H106,Presupuesto!$B$11:$C$565,2,0)</f>
        <v>#N/A</v>
      </c>
      <c r="J106" s="98" t="s">
        <v>1360</v>
      </c>
      <c r="K106" s="98" t="s">
        <v>412</v>
      </c>
    </row>
    <row r="107" spans="3:11">
      <c r="C107" s="141"/>
      <c r="D107" s="158"/>
      <c r="E107" s="123"/>
      <c r="F107" s="97">
        <f t="shared" si="5"/>
        <v>0</v>
      </c>
      <c r="G107" s="161"/>
      <c r="H107" s="142"/>
      <c r="I107" s="130" t="e">
        <f>VLOOKUP(H107,Presupuesto!$B$11:$C$565,2,0)</f>
        <v>#N/A</v>
      </c>
      <c r="J107" s="98" t="s">
        <v>1360</v>
      </c>
      <c r="K107" s="98" t="s">
        <v>412</v>
      </c>
    </row>
    <row r="108" spans="3:11">
      <c r="C108" s="141"/>
      <c r="D108" s="158"/>
      <c r="E108" s="123"/>
      <c r="F108" s="97">
        <f t="shared" si="5"/>
        <v>0</v>
      </c>
      <c r="G108" s="161"/>
      <c r="H108" s="142"/>
      <c r="I108" s="130" t="e">
        <f>VLOOKUP(H108,Presupuesto!$B$11:$C$565,2,0)</f>
        <v>#N/A</v>
      </c>
      <c r="J108" s="98" t="s">
        <v>1360</v>
      </c>
      <c r="K108" s="98" t="s">
        <v>412</v>
      </c>
    </row>
    <row r="109" spans="3:11">
      <c r="C109" s="141"/>
      <c r="D109" s="158"/>
      <c r="E109" s="123"/>
      <c r="F109" s="97">
        <f t="shared" si="5"/>
        <v>0</v>
      </c>
      <c r="G109" s="161"/>
      <c r="H109" s="142"/>
      <c r="I109" s="130" t="e">
        <f>VLOOKUP(H109,Presupuesto!$B$11:$C$565,2,0)</f>
        <v>#N/A</v>
      </c>
      <c r="J109" s="98" t="s">
        <v>1360</v>
      </c>
      <c r="K109" s="98" t="s">
        <v>412</v>
      </c>
    </row>
    <row r="110" spans="3:11">
      <c r="C110" s="141"/>
      <c r="D110" s="158"/>
      <c r="E110" s="123"/>
      <c r="F110" s="97">
        <f t="shared" si="5"/>
        <v>0</v>
      </c>
      <c r="G110" s="161"/>
      <c r="H110" s="142"/>
      <c r="I110" s="130" t="e">
        <f>VLOOKUP(H110,Presupuesto!$B$11:$C$565,2,0)</f>
        <v>#N/A</v>
      </c>
      <c r="J110" s="98" t="s">
        <v>1360</v>
      </c>
      <c r="K110" s="98" t="s">
        <v>412</v>
      </c>
    </row>
    <row r="111" spans="3:11">
      <c r="C111" s="143"/>
      <c r="D111" s="151"/>
      <c r="E111" s="118"/>
      <c r="F111" s="97">
        <f t="shared" si="5"/>
        <v>0</v>
      </c>
      <c r="G111" s="161"/>
      <c r="H111" s="144"/>
      <c r="I111" s="130" t="e">
        <f>VLOOKUP(H111,Presupuesto!$B$11:$C$565,2,0)</f>
        <v>#N/A</v>
      </c>
      <c r="J111" s="98" t="s">
        <v>1360</v>
      </c>
      <c r="K111" s="98" t="s">
        <v>412</v>
      </c>
    </row>
    <row r="112" spans="3:11">
      <c r="C112" s="143"/>
      <c r="D112" s="151"/>
      <c r="E112" s="118"/>
      <c r="F112" s="97">
        <f t="shared" si="5"/>
        <v>0</v>
      </c>
      <c r="G112" s="161"/>
      <c r="H112" s="144"/>
      <c r="I112" s="130" t="e">
        <f>VLOOKUP(H112,Presupuesto!$B$11:$C$565,2,0)</f>
        <v>#N/A</v>
      </c>
      <c r="J112" s="98" t="s">
        <v>1360</v>
      </c>
      <c r="K112" s="98" t="s">
        <v>412</v>
      </c>
    </row>
    <row r="113" spans="3:11">
      <c r="C113" s="143"/>
      <c r="D113" s="151"/>
      <c r="E113" s="118"/>
      <c r="F113" s="97">
        <f t="shared" si="5"/>
        <v>0</v>
      </c>
      <c r="G113" s="161"/>
      <c r="H113" s="144"/>
      <c r="I113" s="130" t="e">
        <f>VLOOKUP(H113,Presupuesto!$B$11:$C$565,2,0)</f>
        <v>#N/A</v>
      </c>
      <c r="J113" s="98" t="s">
        <v>1360</v>
      </c>
      <c r="K113" s="98" t="s">
        <v>412</v>
      </c>
    </row>
    <row r="114" spans="3:11">
      <c r="C114" s="143"/>
      <c r="D114" s="151"/>
      <c r="E114" s="118"/>
      <c r="F114" s="97">
        <f t="shared" si="5"/>
        <v>0</v>
      </c>
      <c r="G114" s="161"/>
      <c r="H114" s="144"/>
      <c r="I114" s="130" t="e">
        <f>VLOOKUP(H114,Presupuesto!$B$11:$C$565,2,0)</f>
        <v>#N/A</v>
      </c>
      <c r="J114" s="98" t="s">
        <v>1360</v>
      </c>
      <c r="K114" s="98" t="s">
        <v>412</v>
      </c>
    </row>
    <row r="115" spans="3:11">
      <c r="C115" s="143"/>
      <c r="D115" s="151"/>
      <c r="E115" s="118"/>
      <c r="F115" s="97">
        <f t="shared" si="5"/>
        <v>0</v>
      </c>
      <c r="G115" s="161"/>
      <c r="H115" s="144"/>
      <c r="I115" s="130" t="e">
        <f>VLOOKUP(H115,Presupuesto!$B$11:$C$565,2,0)</f>
        <v>#N/A</v>
      </c>
      <c r="J115" s="98" t="s">
        <v>1360</v>
      </c>
      <c r="K115" s="98" t="s">
        <v>412</v>
      </c>
    </row>
    <row r="116" spans="3:11">
      <c r="C116" s="143"/>
      <c r="D116" s="151"/>
      <c r="E116" s="118"/>
      <c r="F116" s="97">
        <f t="shared" si="5"/>
        <v>0</v>
      </c>
      <c r="G116" s="161"/>
      <c r="H116" s="144"/>
      <c r="I116" s="130" t="e">
        <f>VLOOKUP(H116,Presupuesto!$B$11:$C$565,2,0)</f>
        <v>#N/A</v>
      </c>
      <c r="J116" s="98" t="s">
        <v>1360</v>
      </c>
      <c r="K116" s="98" t="s">
        <v>412</v>
      </c>
    </row>
    <row r="117" spans="3:11">
      <c r="C117" s="143"/>
      <c r="D117" s="151"/>
      <c r="E117" s="118"/>
      <c r="F117" s="97">
        <f t="shared" si="5"/>
        <v>0</v>
      </c>
      <c r="G117" s="161"/>
      <c r="H117" s="144"/>
      <c r="I117" s="130" t="e">
        <f>VLOOKUP(H117,Presupuesto!$B$11:$C$565,2,0)</f>
        <v>#N/A</v>
      </c>
      <c r="J117" s="98" t="s">
        <v>1360</v>
      </c>
      <c r="K117" s="98" t="s">
        <v>412</v>
      </c>
    </row>
    <row r="118" spans="3:11">
      <c r="C118" s="143"/>
      <c r="D118" s="151"/>
      <c r="E118" s="118"/>
      <c r="F118" s="97">
        <f t="shared" si="5"/>
        <v>0</v>
      </c>
      <c r="G118" s="161"/>
      <c r="H118" s="144"/>
      <c r="I118" s="130" t="e">
        <f>VLOOKUP(H118,Presupuesto!$B$11:$C$565,2,0)</f>
        <v>#N/A</v>
      </c>
      <c r="J118" s="98" t="s">
        <v>1360</v>
      </c>
      <c r="K118" s="98" t="s">
        <v>412</v>
      </c>
    </row>
    <row r="119" spans="3:11">
      <c r="C119" s="145"/>
      <c r="D119" s="151"/>
      <c r="E119" s="118"/>
      <c r="F119" s="97">
        <f t="shared" si="5"/>
        <v>0</v>
      </c>
      <c r="G119" s="161"/>
      <c r="H119" s="146"/>
      <c r="I119" s="130" t="e">
        <f>VLOOKUP(H119,Presupuesto!$B$11:$C$565,2,0)</f>
        <v>#N/A</v>
      </c>
      <c r="J119" s="98" t="s">
        <v>1360</v>
      </c>
      <c r="K119" s="98" t="s">
        <v>403</v>
      </c>
    </row>
    <row r="120" spans="3:11">
      <c r="C120" s="145"/>
      <c r="D120" s="151"/>
      <c r="E120" s="118"/>
      <c r="F120" s="97">
        <f t="shared" si="5"/>
        <v>0</v>
      </c>
      <c r="G120" s="161"/>
      <c r="H120" s="146"/>
      <c r="I120" s="130" t="e">
        <f>VLOOKUP(H120,Presupuesto!$B$11:$C$565,2,0)</f>
        <v>#N/A</v>
      </c>
      <c r="J120" s="98" t="s">
        <v>1360</v>
      </c>
      <c r="K120" s="98" t="s">
        <v>412</v>
      </c>
    </row>
    <row r="121" spans="3:11">
      <c r="C121" s="145"/>
      <c r="D121" s="151"/>
      <c r="E121" s="118"/>
      <c r="F121" s="97">
        <f t="shared" si="5"/>
        <v>0</v>
      </c>
      <c r="G121" s="161"/>
      <c r="H121" s="146"/>
      <c r="I121" s="130" t="e">
        <f>VLOOKUP(H121,Presupuesto!$B$11:$C$565,2,0)</f>
        <v>#N/A</v>
      </c>
      <c r="J121" s="98" t="s">
        <v>1360</v>
      </c>
      <c r="K121" s="98" t="s">
        <v>412</v>
      </c>
    </row>
    <row r="122" spans="3:11">
      <c r="C122" s="145"/>
      <c r="D122" s="151"/>
      <c r="E122" s="118"/>
      <c r="F122" s="97">
        <f t="shared" si="5"/>
        <v>0</v>
      </c>
      <c r="G122" s="161"/>
      <c r="H122" s="146"/>
      <c r="I122" s="130" t="e">
        <f>VLOOKUP(H122,Presupuesto!$B$11:$C$565,2,0)</f>
        <v>#N/A</v>
      </c>
      <c r="J122" s="98" t="s">
        <v>1360</v>
      </c>
      <c r="K122" s="98" t="s">
        <v>412</v>
      </c>
    </row>
    <row r="123" spans="3:11" ht="15.75" thickBot="1">
      <c r="C123" s="147"/>
      <c r="D123" s="159"/>
      <c r="E123" s="103"/>
      <c r="F123" s="105">
        <f t="shared" si="5"/>
        <v>0</v>
      </c>
      <c r="G123" s="162"/>
      <c r="H123" s="148"/>
      <c r="I123" s="132" t="e">
        <f>VLOOKUP(H123,Presupuesto!$B$11:$C$565,2,0)</f>
        <v>#N/A</v>
      </c>
      <c r="J123" s="98" t="s">
        <v>1360</v>
      </c>
      <c r="K123" s="124" t="s">
        <v>394</v>
      </c>
    </row>
    <row r="125" spans="3:11" ht="15.75" thickBot="1">
      <c r="F125" s="90"/>
      <c r="G125" s="89"/>
      <c r="H125" s="90"/>
      <c r="I125" s="90"/>
    </row>
    <row r="126" spans="3:11" ht="15.75" thickBot="1">
      <c r="C126" s="157" t="s">
        <v>53</v>
      </c>
      <c r="D126" s="374">
        <f>SUM(F133:F166)</f>
        <v>24000</v>
      </c>
      <c r="F126" s="70"/>
      <c r="G126" s="79"/>
      <c r="H126" s="70"/>
      <c r="I126" s="70"/>
    </row>
    <row r="127" spans="3:11">
      <c r="C127" s="70"/>
      <c r="D127" s="31"/>
      <c r="E127" s="93"/>
      <c r="F127" s="93"/>
      <c r="G127" s="93"/>
      <c r="H127" s="76"/>
      <c r="I127" s="76"/>
      <c r="J127" s="76"/>
      <c r="K127" s="112"/>
    </row>
    <row r="128" spans="3:11">
      <c r="C128" s="70"/>
      <c r="D128" s="31"/>
      <c r="E128" s="93"/>
      <c r="F128" s="93"/>
      <c r="G128" s="93"/>
      <c r="H128" s="76"/>
      <c r="I128" s="76"/>
      <c r="J128" s="76"/>
      <c r="K128" s="112"/>
    </row>
    <row r="129" spans="3:11" ht="15.75">
      <c r="C129" s="202" t="s">
        <v>392</v>
      </c>
      <c r="D129" s="370">
        <v>7.4</v>
      </c>
      <c r="E129" s="93"/>
      <c r="F129" s="93"/>
      <c r="G129" s="93"/>
      <c r="H129" s="76"/>
      <c r="I129" s="76"/>
      <c r="J129" s="76"/>
      <c r="K129" s="112"/>
    </row>
    <row r="130" spans="3:11" ht="18.75">
      <c r="C130" s="211"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 xml:space="preserve">Presentación de libros de Literatura Hondureña </v>
      </c>
      <c r="D130" s="31"/>
      <c r="E130" s="93"/>
      <c r="F130" s="93"/>
      <c r="G130" s="93"/>
      <c r="H130" s="76"/>
      <c r="I130" s="76"/>
      <c r="J130" s="76"/>
      <c r="K130" s="112"/>
    </row>
    <row r="131" spans="3:11" ht="15.75" thickBot="1">
      <c r="F131" s="93"/>
      <c r="G131" s="76"/>
      <c r="H131" s="76"/>
      <c r="I131" s="76"/>
    </row>
    <row r="132" spans="3:11" ht="30.75" thickBot="1">
      <c r="C132" s="129" t="s">
        <v>44</v>
      </c>
      <c r="D132" s="129" t="s">
        <v>55</v>
      </c>
      <c r="E132" s="136" t="s">
        <v>57</v>
      </c>
      <c r="F132" s="135" t="s">
        <v>27</v>
      </c>
      <c r="G132" s="133" t="s">
        <v>131</v>
      </c>
      <c r="H132" s="136" t="s">
        <v>46</v>
      </c>
      <c r="I132" s="133" t="s">
        <v>132</v>
      </c>
      <c r="J132" s="133" t="s">
        <v>410</v>
      </c>
      <c r="K132" s="133" t="s">
        <v>411</v>
      </c>
    </row>
    <row r="133" spans="3:11">
      <c r="C133" s="141" t="s">
        <v>1619</v>
      </c>
      <c r="D133" s="158">
        <v>4</v>
      </c>
      <c r="E133" s="123">
        <v>3500</v>
      </c>
      <c r="F133" s="97">
        <f t="shared" ref="F133:F166" si="6">D133*E133</f>
        <v>14000</v>
      </c>
      <c r="G133" s="161" t="s">
        <v>1508</v>
      </c>
      <c r="H133" s="142" t="s">
        <v>311</v>
      </c>
      <c r="I133" s="130" t="str">
        <f>VLOOKUP(H133,Presupuesto!$B$11:$C$565,2,0)</f>
        <v>ALIMENTOS Y BEBIDAS PARA PERSONAS (31100-00)</v>
      </c>
      <c r="J133" s="98" t="s">
        <v>1360</v>
      </c>
      <c r="K133" s="98" t="s">
        <v>399</v>
      </c>
    </row>
    <row r="134" spans="3:11" ht="30">
      <c r="C134" s="550" t="s">
        <v>1620</v>
      </c>
      <c r="D134" s="158">
        <v>4</v>
      </c>
      <c r="E134" s="123">
        <v>2500</v>
      </c>
      <c r="F134" s="97">
        <f t="shared" si="6"/>
        <v>10000</v>
      </c>
      <c r="G134" s="161" t="s">
        <v>1508</v>
      </c>
      <c r="H134" s="142" t="s">
        <v>294</v>
      </c>
      <c r="I134" s="130" t="str">
        <f>VLOOKUP(H134,Presupuesto!$B$11:$C$565,2,0)</f>
        <v>IMPRENTA, PUBLIC. Y REPRODUC. (25300-00)</v>
      </c>
      <c r="J134" s="98" t="s">
        <v>1360</v>
      </c>
      <c r="K134" s="98" t="s">
        <v>397</v>
      </c>
    </row>
    <row r="135" spans="3:11">
      <c r="C135" s="141"/>
      <c r="D135" s="158"/>
      <c r="E135" s="123"/>
      <c r="F135" s="97">
        <f t="shared" si="6"/>
        <v>0</v>
      </c>
      <c r="G135" s="161"/>
      <c r="H135" s="142"/>
      <c r="I135" s="130" t="e">
        <f>VLOOKUP(H135,Presupuesto!$B$11:$C$565,2,0)</f>
        <v>#N/A</v>
      </c>
      <c r="J135" s="98" t="s">
        <v>1360</v>
      </c>
      <c r="K135" s="98" t="s">
        <v>412</v>
      </c>
    </row>
    <row r="136" spans="3:11">
      <c r="C136" s="141"/>
      <c r="D136" s="158"/>
      <c r="E136" s="123"/>
      <c r="F136" s="97">
        <f t="shared" si="6"/>
        <v>0</v>
      </c>
      <c r="G136" s="161"/>
      <c r="H136" s="142"/>
      <c r="I136" s="130" t="e">
        <f>VLOOKUP(H136,Presupuesto!$B$11:$C$565,2,0)</f>
        <v>#N/A</v>
      </c>
      <c r="J136" s="98" t="s">
        <v>1360</v>
      </c>
      <c r="K136" s="98" t="s">
        <v>412</v>
      </c>
    </row>
    <row r="137" spans="3:11">
      <c r="C137" s="141"/>
      <c r="D137" s="158"/>
      <c r="E137" s="123"/>
      <c r="F137" s="97">
        <f t="shared" si="6"/>
        <v>0</v>
      </c>
      <c r="G137" s="161"/>
      <c r="H137" s="142"/>
      <c r="I137" s="130" t="e">
        <f>VLOOKUP(H137,Presupuesto!$B$11:$C$565,2,0)</f>
        <v>#N/A</v>
      </c>
      <c r="J137" s="98" t="s">
        <v>1360</v>
      </c>
      <c r="K137" s="98" t="s">
        <v>401</v>
      </c>
    </row>
    <row r="138" spans="3:11">
      <c r="C138" s="141"/>
      <c r="D138" s="158"/>
      <c r="E138" s="123"/>
      <c r="F138" s="97">
        <f t="shared" si="6"/>
        <v>0</v>
      </c>
      <c r="G138" s="161"/>
      <c r="H138" s="142"/>
      <c r="I138" s="130" t="e">
        <f>VLOOKUP(H138,Presupuesto!$B$11:$C$565,2,0)</f>
        <v>#N/A</v>
      </c>
      <c r="J138" s="98" t="s">
        <v>1360</v>
      </c>
      <c r="K138" s="98" t="s">
        <v>412</v>
      </c>
    </row>
    <row r="139" spans="3:11">
      <c r="C139" s="141"/>
      <c r="D139" s="158"/>
      <c r="E139" s="123"/>
      <c r="F139" s="97">
        <f t="shared" si="6"/>
        <v>0</v>
      </c>
      <c r="G139" s="161"/>
      <c r="H139" s="142"/>
      <c r="I139" s="130" t="e">
        <f>VLOOKUP(H139,Presupuesto!$B$11:$C$565,2,0)</f>
        <v>#N/A</v>
      </c>
      <c r="J139" s="98" t="s">
        <v>1360</v>
      </c>
      <c r="K139" s="98" t="s">
        <v>412</v>
      </c>
    </row>
    <row r="140" spans="3:11">
      <c r="C140" s="141"/>
      <c r="D140" s="158"/>
      <c r="E140" s="123"/>
      <c r="F140" s="97">
        <f t="shared" si="6"/>
        <v>0</v>
      </c>
      <c r="G140" s="161"/>
      <c r="H140" s="142"/>
      <c r="I140" s="130" t="e">
        <f>VLOOKUP(H140,Presupuesto!$B$11:$C$565,2,0)</f>
        <v>#N/A</v>
      </c>
      <c r="J140" s="98" t="s">
        <v>1360</v>
      </c>
      <c r="K140" s="98" t="s">
        <v>412</v>
      </c>
    </row>
    <row r="141" spans="3:11">
      <c r="C141" s="141"/>
      <c r="D141" s="158"/>
      <c r="E141" s="123"/>
      <c r="F141" s="97">
        <f t="shared" si="6"/>
        <v>0</v>
      </c>
      <c r="G141" s="161"/>
      <c r="H141" s="142"/>
      <c r="I141" s="130" t="e">
        <f>VLOOKUP(H141,Presupuesto!$B$11:$C$565,2,0)</f>
        <v>#N/A</v>
      </c>
      <c r="J141" s="98" t="s">
        <v>1360</v>
      </c>
      <c r="K141" s="98" t="s">
        <v>412</v>
      </c>
    </row>
    <row r="142" spans="3:11">
      <c r="C142" s="141"/>
      <c r="D142" s="158"/>
      <c r="E142" s="123"/>
      <c r="F142" s="97">
        <f t="shared" si="6"/>
        <v>0</v>
      </c>
      <c r="G142" s="161"/>
      <c r="H142" s="142"/>
      <c r="I142" s="130" t="e">
        <f>VLOOKUP(H142,Presupuesto!$B$11:$C$565,2,0)</f>
        <v>#N/A</v>
      </c>
      <c r="J142" s="98" t="s">
        <v>1360</v>
      </c>
      <c r="K142" s="98" t="s">
        <v>412</v>
      </c>
    </row>
    <row r="143" spans="3:11">
      <c r="C143" s="141"/>
      <c r="D143" s="158"/>
      <c r="E143" s="123"/>
      <c r="F143" s="97">
        <f t="shared" si="6"/>
        <v>0</v>
      </c>
      <c r="G143" s="161"/>
      <c r="H143" s="142"/>
      <c r="I143" s="130" t="e">
        <f>VLOOKUP(H143,Presupuesto!$B$11:$C$565,2,0)</f>
        <v>#N/A</v>
      </c>
      <c r="J143" s="98" t="s">
        <v>1360</v>
      </c>
      <c r="K143" s="98" t="s">
        <v>412</v>
      </c>
    </row>
    <row r="144" spans="3:11">
      <c r="C144" s="141"/>
      <c r="D144" s="158"/>
      <c r="E144" s="123"/>
      <c r="F144" s="97">
        <f t="shared" si="6"/>
        <v>0</v>
      </c>
      <c r="G144" s="161"/>
      <c r="H144" s="142"/>
      <c r="I144" s="130" t="e">
        <f>VLOOKUP(H144,Presupuesto!$B$11:$C$565,2,0)</f>
        <v>#N/A</v>
      </c>
      <c r="J144" s="98" t="s">
        <v>1360</v>
      </c>
      <c r="K144" s="98" t="s">
        <v>412</v>
      </c>
    </row>
    <row r="145" spans="3:11">
      <c r="C145" s="141"/>
      <c r="D145" s="158"/>
      <c r="E145" s="123"/>
      <c r="F145" s="97">
        <f t="shared" si="6"/>
        <v>0</v>
      </c>
      <c r="G145" s="161"/>
      <c r="H145" s="142"/>
      <c r="I145" s="130" t="e">
        <f>VLOOKUP(H145,Presupuesto!$B$11:$C$565,2,0)</f>
        <v>#N/A</v>
      </c>
      <c r="J145" s="98" t="s">
        <v>1360</v>
      </c>
      <c r="K145" s="98" t="s">
        <v>412</v>
      </c>
    </row>
    <row r="146" spans="3:11">
      <c r="C146" s="141"/>
      <c r="D146" s="158"/>
      <c r="E146" s="123"/>
      <c r="F146" s="97">
        <f t="shared" si="6"/>
        <v>0</v>
      </c>
      <c r="G146" s="161"/>
      <c r="H146" s="142"/>
      <c r="I146" s="130" t="e">
        <f>VLOOKUP(H146,Presupuesto!$B$11:$C$565,2,0)</f>
        <v>#N/A</v>
      </c>
      <c r="J146" s="98" t="s">
        <v>1360</v>
      </c>
      <c r="K146" s="98" t="s">
        <v>412</v>
      </c>
    </row>
    <row r="147" spans="3:11">
      <c r="C147" s="141"/>
      <c r="D147" s="158"/>
      <c r="E147" s="123"/>
      <c r="F147" s="97">
        <f t="shared" si="6"/>
        <v>0</v>
      </c>
      <c r="G147" s="161"/>
      <c r="H147" s="142"/>
      <c r="I147" s="130" t="e">
        <f>VLOOKUP(H147,Presupuesto!$B$11:$C$565,2,0)</f>
        <v>#N/A</v>
      </c>
      <c r="J147" s="98" t="s">
        <v>1360</v>
      </c>
      <c r="K147" s="98" t="s">
        <v>412</v>
      </c>
    </row>
    <row r="148" spans="3:11">
      <c r="C148" s="141"/>
      <c r="D148" s="158"/>
      <c r="E148" s="123"/>
      <c r="F148" s="97">
        <f t="shared" si="6"/>
        <v>0</v>
      </c>
      <c r="G148" s="161"/>
      <c r="H148" s="142"/>
      <c r="I148" s="130" t="e">
        <f>VLOOKUP(H148,Presupuesto!$B$11:$C$565,2,0)</f>
        <v>#N/A</v>
      </c>
      <c r="J148" s="98" t="s">
        <v>1360</v>
      </c>
      <c r="K148" s="98" t="s">
        <v>412</v>
      </c>
    </row>
    <row r="149" spans="3:11">
      <c r="C149" s="141"/>
      <c r="D149" s="158"/>
      <c r="E149" s="123"/>
      <c r="F149" s="97">
        <f t="shared" si="6"/>
        <v>0</v>
      </c>
      <c r="G149" s="161"/>
      <c r="H149" s="142"/>
      <c r="I149" s="130" t="e">
        <f>VLOOKUP(H149,Presupuesto!$B$11:$C$565,2,0)</f>
        <v>#N/A</v>
      </c>
      <c r="J149" s="98" t="s">
        <v>1360</v>
      </c>
      <c r="K149" s="98" t="s">
        <v>412</v>
      </c>
    </row>
    <row r="150" spans="3:11">
      <c r="C150" s="141"/>
      <c r="D150" s="158"/>
      <c r="E150" s="123"/>
      <c r="F150" s="97">
        <f t="shared" si="6"/>
        <v>0</v>
      </c>
      <c r="G150" s="161"/>
      <c r="H150" s="142"/>
      <c r="I150" s="130" t="e">
        <f>VLOOKUP(H150,Presupuesto!$B$11:$C$565,2,0)</f>
        <v>#N/A</v>
      </c>
      <c r="J150" s="98" t="s">
        <v>1360</v>
      </c>
      <c r="K150" s="98" t="s">
        <v>412</v>
      </c>
    </row>
    <row r="151" spans="3:11">
      <c r="C151" s="141"/>
      <c r="D151" s="158"/>
      <c r="E151" s="123"/>
      <c r="F151" s="97">
        <f t="shared" si="6"/>
        <v>0</v>
      </c>
      <c r="G151" s="161"/>
      <c r="H151" s="142"/>
      <c r="I151" s="130" t="e">
        <f>VLOOKUP(H151,Presupuesto!$B$11:$C$565,2,0)</f>
        <v>#N/A</v>
      </c>
      <c r="J151" s="98" t="s">
        <v>1360</v>
      </c>
      <c r="K151" s="98" t="s">
        <v>412</v>
      </c>
    </row>
    <row r="152" spans="3:11">
      <c r="C152" s="141"/>
      <c r="D152" s="158"/>
      <c r="E152" s="123"/>
      <c r="F152" s="97">
        <f t="shared" si="6"/>
        <v>0</v>
      </c>
      <c r="G152" s="161"/>
      <c r="H152" s="142"/>
      <c r="I152" s="130" t="e">
        <f>VLOOKUP(H152,Presupuesto!$B$11:$C$565,2,0)</f>
        <v>#N/A</v>
      </c>
      <c r="J152" s="98" t="s">
        <v>1360</v>
      </c>
      <c r="K152" s="98" t="s">
        <v>412</v>
      </c>
    </row>
    <row r="153" spans="3:11">
      <c r="C153" s="141"/>
      <c r="D153" s="158"/>
      <c r="E153" s="123"/>
      <c r="F153" s="97">
        <f t="shared" si="6"/>
        <v>0</v>
      </c>
      <c r="G153" s="161"/>
      <c r="H153" s="142"/>
      <c r="I153" s="130" t="e">
        <f>VLOOKUP(H153,Presupuesto!$B$11:$C$565,2,0)</f>
        <v>#N/A</v>
      </c>
      <c r="J153" s="98" t="s">
        <v>1360</v>
      </c>
      <c r="K153" s="98" t="s">
        <v>412</v>
      </c>
    </row>
    <row r="154" spans="3:11">
      <c r="C154" s="143"/>
      <c r="D154" s="151"/>
      <c r="E154" s="118"/>
      <c r="F154" s="97">
        <f t="shared" si="6"/>
        <v>0</v>
      </c>
      <c r="G154" s="161"/>
      <c r="H154" s="144"/>
      <c r="I154" s="130" t="e">
        <f>VLOOKUP(H154,Presupuesto!$B$11:$C$565,2,0)</f>
        <v>#N/A</v>
      </c>
      <c r="J154" s="98" t="s">
        <v>1360</v>
      </c>
      <c r="K154" s="98" t="s">
        <v>412</v>
      </c>
    </row>
    <row r="155" spans="3:11">
      <c r="C155" s="143"/>
      <c r="D155" s="151"/>
      <c r="E155" s="118"/>
      <c r="F155" s="97">
        <f t="shared" si="6"/>
        <v>0</v>
      </c>
      <c r="G155" s="161"/>
      <c r="H155" s="144"/>
      <c r="I155" s="130" t="e">
        <f>VLOOKUP(H155,Presupuesto!$B$11:$C$565,2,0)</f>
        <v>#N/A</v>
      </c>
      <c r="J155" s="98" t="s">
        <v>1360</v>
      </c>
      <c r="K155" s="98" t="s">
        <v>412</v>
      </c>
    </row>
    <row r="156" spans="3:11">
      <c r="C156" s="143"/>
      <c r="D156" s="151"/>
      <c r="E156" s="118"/>
      <c r="F156" s="97">
        <f t="shared" si="6"/>
        <v>0</v>
      </c>
      <c r="G156" s="161"/>
      <c r="H156" s="144"/>
      <c r="I156" s="130" t="e">
        <f>VLOOKUP(H156,Presupuesto!$B$11:$C$565,2,0)</f>
        <v>#N/A</v>
      </c>
      <c r="J156" s="98" t="s">
        <v>1360</v>
      </c>
      <c r="K156" s="98" t="s">
        <v>412</v>
      </c>
    </row>
    <row r="157" spans="3:11">
      <c r="C157" s="143"/>
      <c r="D157" s="151"/>
      <c r="E157" s="118"/>
      <c r="F157" s="97">
        <f t="shared" si="6"/>
        <v>0</v>
      </c>
      <c r="G157" s="161"/>
      <c r="H157" s="144"/>
      <c r="I157" s="130" t="e">
        <f>VLOOKUP(H157,Presupuesto!$B$11:$C$565,2,0)</f>
        <v>#N/A</v>
      </c>
      <c r="J157" s="98" t="s">
        <v>1360</v>
      </c>
      <c r="K157" s="98" t="s">
        <v>412</v>
      </c>
    </row>
    <row r="158" spans="3:11">
      <c r="C158" s="143"/>
      <c r="D158" s="151"/>
      <c r="E158" s="118"/>
      <c r="F158" s="97">
        <f t="shared" si="6"/>
        <v>0</v>
      </c>
      <c r="G158" s="161"/>
      <c r="H158" s="144"/>
      <c r="I158" s="130" t="e">
        <f>VLOOKUP(H158,Presupuesto!$B$11:$C$565,2,0)</f>
        <v>#N/A</v>
      </c>
      <c r="J158" s="98" t="s">
        <v>1360</v>
      </c>
      <c r="K158" s="98" t="s">
        <v>412</v>
      </c>
    </row>
    <row r="159" spans="3:11">
      <c r="C159" s="143"/>
      <c r="D159" s="151"/>
      <c r="E159" s="118"/>
      <c r="F159" s="97">
        <f t="shared" si="6"/>
        <v>0</v>
      </c>
      <c r="G159" s="161"/>
      <c r="H159" s="144"/>
      <c r="I159" s="130" t="e">
        <f>VLOOKUP(H159,Presupuesto!$B$11:$C$565,2,0)</f>
        <v>#N/A</v>
      </c>
      <c r="J159" s="98" t="s">
        <v>1360</v>
      </c>
      <c r="K159" s="98" t="s">
        <v>412</v>
      </c>
    </row>
    <row r="160" spans="3:11">
      <c r="C160" s="143"/>
      <c r="D160" s="151"/>
      <c r="E160" s="118"/>
      <c r="F160" s="97">
        <f t="shared" si="6"/>
        <v>0</v>
      </c>
      <c r="G160" s="161"/>
      <c r="H160" s="144"/>
      <c r="I160" s="130" t="e">
        <f>VLOOKUP(H160,Presupuesto!$B$11:$C$565,2,0)</f>
        <v>#N/A</v>
      </c>
      <c r="J160" s="98" t="s">
        <v>1360</v>
      </c>
      <c r="K160" s="98" t="s">
        <v>412</v>
      </c>
    </row>
    <row r="161" spans="3:11">
      <c r="C161" s="143"/>
      <c r="D161" s="151"/>
      <c r="E161" s="118"/>
      <c r="F161" s="97">
        <f t="shared" si="6"/>
        <v>0</v>
      </c>
      <c r="G161" s="161"/>
      <c r="H161" s="144"/>
      <c r="I161" s="130" t="e">
        <f>VLOOKUP(H161,Presupuesto!$B$11:$C$565,2,0)</f>
        <v>#N/A</v>
      </c>
      <c r="J161" s="98" t="s">
        <v>1360</v>
      </c>
      <c r="K161" s="98" t="s">
        <v>412</v>
      </c>
    </row>
    <row r="162" spans="3:11">
      <c r="C162" s="145"/>
      <c r="D162" s="151"/>
      <c r="E162" s="118"/>
      <c r="F162" s="97">
        <f t="shared" si="6"/>
        <v>0</v>
      </c>
      <c r="G162" s="161"/>
      <c r="H162" s="146"/>
      <c r="I162" s="130" t="e">
        <f>VLOOKUP(H162,Presupuesto!$B$11:$C$565,2,0)</f>
        <v>#N/A</v>
      </c>
      <c r="J162" s="98" t="s">
        <v>1360</v>
      </c>
      <c r="K162" s="98" t="s">
        <v>403</v>
      </c>
    </row>
    <row r="163" spans="3:11">
      <c r="C163" s="145"/>
      <c r="D163" s="151"/>
      <c r="E163" s="118"/>
      <c r="F163" s="97">
        <f t="shared" si="6"/>
        <v>0</v>
      </c>
      <c r="G163" s="161"/>
      <c r="H163" s="146"/>
      <c r="I163" s="130" t="e">
        <f>VLOOKUP(H163,Presupuesto!$B$11:$C$565,2,0)</f>
        <v>#N/A</v>
      </c>
      <c r="J163" s="98" t="s">
        <v>1360</v>
      </c>
      <c r="K163" s="98" t="s">
        <v>412</v>
      </c>
    </row>
    <row r="164" spans="3:11">
      <c r="C164" s="145"/>
      <c r="D164" s="151"/>
      <c r="E164" s="118"/>
      <c r="F164" s="97">
        <f t="shared" si="6"/>
        <v>0</v>
      </c>
      <c r="G164" s="161"/>
      <c r="H164" s="146"/>
      <c r="I164" s="130" t="e">
        <f>VLOOKUP(H164,Presupuesto!$B$11:$C$565,2,0)</f>
        <v>#N/A</v>
      </c>
      <c r="J164" s="98" t="s">
        <v>1360</v>
      </c>
      <c r="K164" s="98" t="s">
        <v>412</v>
      </c>
    </row>
    <row r="165" spans="3:11">
      <c r="C165" s="145"/>
      <c r="D165" s="151"/>
      <c r="E165" s="118"/>
      <c r="F165" s="97">
        <f t="shared" si="6"/>
        <v>0</v>
      </c>
      <c r="G165" s="161"/>
      <c r="H165" s="146"/>
      <c r="I165" s="130" t="e">
        <f>VLOOKUP(H165,Presupuesto!$B$11:$C$565,2,0)</f>
        <v>#N/A</v>
      </c>
      <c r="J165" s="98" t="s">
        <v>1360</v>
      </c>
      <c r="K165" s="98" t="s">
        <v>412</v>
      </c>
    </row>
    <row r="166" spans="3:11" ht="15.75" thickBot="1">
      <c r="C166" s="147"/>
      <c r="D166" s="159"/>
      <c r="E166" s="103"/>
      <c r="F166" s="105">
        <f t="shared" si="6"/>
        <v>0</v>
      </c>
      <c r="G166" s="162"/>
      <c r="H166" s="148"/>
      <c r="I166" s="132" t="e">
        <f>VLOOKUP(H166,Presupuesto!$B$11:$C$565,2,0)</f>
        <v>#N/A</v>
      </c>
      <c r="J166" s="98" t="s">
        <v>1360</v>
      </c>
      <c r="K166" s="124" t="s">
        <v>394</v>
      </c>
    </row>
    <row r="168" spans="3:11" ht="15.75" thickBot="1"/>
    <row r="169" spans="3:11" ht="15.75" thickBot="1">
      <c r="C169" s="157" t="s">
        <v>53</v>
      </c>
      <c r="D169" s="374">
        <f>SUM(F176:F209)</f>
        <v>90000</v>
      </c>
      <c r="F169" s="70"/>
      <c r="G169" s="79"/>
      <c r="H169" s="70"/>
      <c r="I169" s="70"/>
    </row>
    <row r="170" spans="3:11">
      <c r="C170" s="70"/>
      <c r="D170" s="31"/>
      <c r="E170" s="93"/>
      <c r="F170" s="93"/>
      <c r="G170" s="93"/>
      <c r="H170" s="76"/>
      <c r="I170" s="76"/>
      <c r="J170" s="76"/>
      <c r="K170" s="112"/>
    </row>
    <row r="171" spans="3:11">
      <c r="C171" s="70"/>
      <c r="D171" s="31"/>
      <c r="E171" s="93"/>
      <c r="F171" s="93"/>
      <c r="G171" s="93"/>
      <c r="H171" s="76"/>
      <c r="I171" s="76"/>
      <c r="J171" s="76"/>
      <c r="K171" s="112"/>
    </row>
    <row r="172" spans="3:11" ht="15.75">
      <c r="C172" s="202" t="s">
        <v>392</v>
      </c>
      <c r="D172" s="370">
        <v>7.5</v>
      </c>
      <c r="E172" s="93"/>
      <c r="F172" s="93"/>
      <c r="G172" s="93"/>
      <c r="H172" s="76"/>
      <c r="I172" s="76"/>
      <c r="J172" s="76"/>
      <c r="K172" s="112"/>
    </row>
    <row r="173" spans="3:11" ht="18.75">
      <c r="C173" s="211" t="str">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Posgrado'!$E:$F,2,FALSE),IFERROR(VLOOKUP(D172,'17. Gestión TIC'!$E:$F,2,FALSE),IFERROR(VLOOKUP(D172,'16. Desa. del Sistema Educ.Sup.'!$E:$F,2,FALSE),IFERROR(VLOOKUP(D172,'9. Cultura de Inno. Insti...'!$E:$F,2,FALSE),VLOOKUP(D172,'7. Lo Esencial de la Reforma U.'!$E:$F,2,0)))))))))))))))))</f>
        <v>Edición de la revista Cultural de la Universidad.</v>
      </c>
      <c r="D173" s="31"/>
      <c r="E173" s="93"/>
      <c r="F173" s="93"/>
      <c r="G173" s="93"/>
      <c r="H173" s="76"/>
      <c r="I173" s="76"/>
      <c r="J173" s="76"/>
      <c r="K173" s="112"/>
    </row>
    <row r="174" spans="3:11" ht="15.75" thickBot="1">
      <c r="F174" s="93"/>
      <c r="G174" s="76"/>
      <c r="H174" s="76"/>
      <c r="I174" s="76"/>
    </row>
    <row r="175" spans="3:11" ht="30.75" thickBot="1">
      <c r="C175" s="129" t="s">
        <v>44</v>
      </c>
      <c r="D175" s="129" t="s">
        <v>55</v>
      </c>
      <c r="E175" s="136" t="s">
        <v>57</v>
      </c>
      <c r="F175" s="135" t="s">
        <v>27</v>
      </c>
      <c r="G175" s="133" t="s">
        <v>131</v>
      </c>
      <c r="H175" s="136" t="s">
        <v>46</v>
      </c>
      <c r="I175" s="133" t="s">
        <v>132</v>
      </c>
      <c r="J175" s="133" t="s">
        <v>410</v>
      </c>
      <c r="K175" s="133" t="s">
        <v>411</v>
      </c>
    </row>
    <row r="176" spans="3:11">
      <c r="C176" s="141" t="s">
        <v>1622</v>
      </c>
      <c r="D176" s="158">
        <v>3000</v>
      </c>
      <c r="E176" s="123">
        <v>25</v>
      </c>
      <c r="F176" s="97">
        <f t="shared" ref="F176:F209" si="7">D176*E176</f>
        <v>75000</v>
      </c>
      <c r="G176" s="161" t="s">
        <v>1508</v>
      </c>
      <c r="H176" s="142" t="s">
        <v>717</v>
      </c>
      <c r="I176" s="130" t="str">
        <f>VLOOKUP(H176,Presupuesto!$B$11:$C$565,2,0)</f>
        <v>SERVICIOS DE IMPRENTA PUBLIC.Y REPRODUCCION</v>
      </c>
      <c r="J176" s="98" t="s">
        <v>1360</v>
      </c>
      <c r="K176" s="98" t="s">
        <v>412</v>
      </c>
    </row>
    <row r="177" spans="3:11">
      <c r="C177" s="141" t="s">
        <v>1621</v>
      </c>
      <c r="D177" s="158">
        <v>4</v>
      </c>
      <c r="E177" s="123">
        <v>3750</v>
      </c>
      <c r="F177" s="97">
        <f t="shared" si="7"/>
        <v>15000</v>
      </c>
      <c r="G177" s="161" t="s">
        <v>1508</v>
      </c>
      <c r="H177" s="142" t="s">
        <v>792</v>
      </c>
      <c r="I177" s="130" t="str">
        <f>VLOOKUP(H177,Presupuesto!$B$11:$C$565,2,0)</f>
        <v>ALIMENTOS B EBIDAS PARA PERSONAS</v>
      </c>
      <c r="J177" s="98" t="s">
        <v>1360</v>
      </c>
      <c r="K177" s="98" t="s">
        <v>412</v>
      </c>
    </row>
    <row r="178" spans="3:11">
      <c r="C178" s="141"/>
      <c r="D178" s="158"/>
      <c r="E178" s="123"/>
      <c r="F178" s="97">
        <f t="shared" si="7"/>
        <v>0</v>
      </c>
      <c r="G178" s="161"/>
      <c r="H178" s="142"/>
      <c r="I178" s="130" t="e">
        <f>VLOOKUP(H178,Presupuesto!$B$11:$C$565,2,0)</f>
        <v>#N/A</v>
      </c>
      <c r="J178" s="98" t="s">
        <v>1360</v>
      </c>
      <c r="K178" s="98" t="s">
        <v>412</v>
      </c>
    </row>
    <row r="179" spans="3:11">
      <c r="C179" s="141"/>
      <c r="D179" s="158"/>
      <c r="E179" s="123"/>
      <c r="F179" s="97">
        <f t="shared" si="7"/>
        <v>0</v>
      </c>
      <c r="G179" s="161"/>
      <c r="H179" s="142"/>
      <c r="I179" s="130" t="e">
        <f>VLOOKUP(H179,Presupuesto!$B$11:$C$565,2,0)</f>
        <v>#N/A</v>
      </c>
      <c r="J179" s="98" t="s">
        <v>1360</v>
      </c>
      <c r="K179" s="98" t="s">
        <v>412</v>
      </c>
    </row>
    <row r="180" spans="3:11">
      <c r="C180" s="141"/>
      <c r="D180" s="158"/>
      <c r="E180" s="123"/>
      <c r="F180" s="97">
        <f t="shared" si="7"/>
        <v>0</v>
      </c>
      <c r="G180" s="161"/>
      <c r="H180" s="142"/>
      <c r="I180" s="130" t="e">
        <f>VLOOKUP(H180,Presupuesto!$B$11:$C$565,2,0)</f>
        <v>#N/A</v>
      </c>
      <c r="J180" s="98" t="s">
        <v>1360</v>
      </c>
      <c r="K180" s="98" t="s">
        <v>401</v>
      </c>
    </row>
    <row r="181" spans="3:11">
      <c r="C181" s="141"/>
      <c r="D181" s="158"/>
      <c r="E181" s="123"/>
      <c r="F181" s="97">
        <f t="shared" si="7"/>
        <v>0</v>
      </c>
      <c r="G181" s="161"/>
      <c r="H181" s="142"/>
      <c r="I181" s="130" t="e">
        <f>VLOOKUP(H181,Presupuesto!$B$11:$C$565,2,0)</f>
        <v>#N/A</v>
      </c>
      <c r="J181" s="98" t="s">
        <v>1360</v>
      </c>
      <c r="K181" s="98" t="s">
        <v>412</v>
      </c>
    </row>
    <row r="182" spans="3:11">
      <c r="C182" s="141"/>
      <c r="D182" s="158"/>
      <c r="E182" s="123"/>
      <c r="F182" s="97">
        <f t="shared" si="7"/>
        <v>0</v>
      </c>
      <c r="G182" s="161"/>
      <c r="H182" s="142"/>
      <c r="I182" s="130" t="e">
        <f>VLOOKUP(H182,Presupuesto!$B$11:$C$565,2,0)</f>
        <v>#N/A</v>
      </c>
      <c r="J182" s="98" t="s">
        <v>1360</v>
      </c>
      <c r="K182" s="98" t="s">
        <v>412</v>
      </c>
    </row>
    <row r="183" spans="3:11">
      <c r="C183" s="141"/>
      <c r="D183" s="158"/>
      <c r="E183" s="123"/>
      <c r="F183" s="97">
        <f t="shared" si="7"/>
        <v>0</v>
      </c>
      <c r="G183" s="161"/>
      <c r="H183" s="142"/>
      <c r="I183" s="130" t="e">
        <f>VLOOKUP(H183,Presupuesto!$B$11:$C$565,2,0)</f>
        <v>#N/A</v>
      </c>
      <c r="J183" s="98" t="s">
        <v>1360</v>
      </c>
      <c r="K183" s="98" t="s">
        <v>412</v>
      </c>
    </row>
    <row r="184" spans="3:11">
      <c r="C184" s="141"/>
      <c r="D184" s="158"/>
      <c r="E184" s="123"/>
      <c r="F184" s="97">
        <f t="shared" si="7"/>
        <v>0</v>
      </c>
      <c r="G184" s="161"/>
      <c r="H184" s="142"/>
      <c r="I184" s="130" t="e">
        <f>VLOOKUP(H184,Presupuesto!$B$11:$C$565,2,0)</f>
        <v>#N/A</v>
      </c>
      <c r="J184" s="98" t="s">
        <v>1360</v>
      </c>
      <c r="K184" s="98" t="s">
        <v>412</v>
      </c>
    </row>
    <row r="185" spans="3:11">
      <c r="C185" s="141"/>
      <c r="D185" s="158"/>
      <c r="E185" s="123"/>
      <c r="F185" s="97">
        <f t="shared" si="7"/>
        <v>0</v>
      </c>
      <c r="G185" s="161"/>
      <c r="H185" s="142"/>
      <c r="I185" s="130" t="e">
        <f>VLOOKUP(H185,Presupuesto!$B$11:$C$565,2,0)</f>
        <v>#N/A</v>
      </c>
      <c r="J185" s="98" t="s">
        <v>1360</v>
      </c>
      <c r="K185" s="98" t="s">
        <v>412</v>
      </c>
    </row>
    <row r="186" spans="3:11">
      <c r="C186" s="141"/>
      <c r="D186" s="158"/>
      <c r="E186" s="123"/>
      <c r="F186" s="97">
        <f t="shared" si="7"/>
        <v>0</v>
      </c>
      <c r="G186" s="161"/>
      <c r="H186" s="142"/>
      <c r="I186" s="130" t="e">
        <f>VLOOKUP(H186,Presupuesto!$B$11:$C$565,2,0)</f>
        <v>#N/A</v>
      </c>
      <c r="J186" s="98" t="s">
        <v>1360</v>
      </c>
      <c r="K186" s="98" t="s">
        <v>412</v>
      </c>
    </row>
    <row r="187" spans="3:11">
      <c r="C187" s="141"/>
      <c r="D187" s="158"/>
      <c r="E187" s="123"/>
      <c r="F187" s="97">
        <f t="shared" si="7"/>
        <v>0</v>
      </c>
      <c r="G187" s="161"/>
      <c r="H187" s="142"/>
      <c r="I187" s="130" t="e">
        <f>VLOOKUP(H187,Presupuesto!$B$11:$C$565,2,0)</f>
        <v>#N/A</v>
      </c>
      <c r="J187" s="98" t="s">
        <v>1360</v>
      </c>
      <c r="K187" s="98" t="s">
        <v>412</v>
      </c>
    </row>
    <row r="188" spans="3:11">
      <c r="C188" s="141"/>
      <c r="D188" s="158"/>
      <c r="E188" s="123"/>
      <c r="F188" s="97">
        <f t="shared" si="7"/>
        <v>0</v>
      </c>
      <c r="G188" s="161"/>
      <c r="H188" s="142"/>
      <c r="I188" s="130" t="e">
        <f>VLOOKUP(H188,Presupuesto!$B$11:$C$565,2,0)</f>
        <v>#N/A</v>
      </c>
      <c r="J188" s="98" t="s">
        <v>1360</v>
      </c>
      <c r="K188" s="98" t="s">
        <v>412</v>
      </c>
    </row>
    <row r="189" spans="3:11">
      <c r="C189" s="141"/>
      <c r="D189" s="158"/>
      <c r="E189" s="123"/>
      <c r="F189" s="97">
        <f t="shared" si="7"/>
        <v>0</v>
      </c>
      <c r="G189" s="161"/>
      <c r="H189" s="142"/>
      <c r="I189" s="130" t="e">
        <f>VLOOKUP(H189,Presupuesto!$B$11:$C$565,2,0)</f>
        <v>#N/A</v>
      </c>
      <c r="J189" s="98" t="s">
        <v>1360</v>
      </c>
      <c r="K189" s="98" t="s">
        <v>412</v>
      </c>
    </row>
    <row r="190" spans="3:11">
      <c r="C190" s="141"/>
      <c r="D190" s="158"/>
      <c r="E190" s="123"/>
      <c r="F190" s="97">
        <f t="shared" si="7"/>
        <v>0</v>
      </c>
      <c r="G190" s="161"/>
      <c r="H190" s="142"/>
      <c r="I190" s="130" t="e">
        <f>VLOOKUP(H190,Presupuesto!$B$11:$C$565,2,0)</f>
        <v>#N/A</v>
      </c>
      <c r="J190" s="98" t="s">
        <v>1360</v>
      </c>
      <c r="K190" s="98" t="s">
        <v>412</v>
      </c>
    </row>
    <row r="191" spans="3:11">
      <c r="C191" s="141"/>
      <c r="D191" s="158"/>
      <c r="E191" s="123"/>
      <c r="F191" s="97">
        <f t="shared" si="7"/>
        <v>0</v>
      </c>
      <c r="G191" s="161"/>
      <c r="H191" s="142"/>
      <c r="I191" s="130" t="e">
        <f>VLOOKUP(H191,Presupuesto!$B$11:$C$565,2,0)</f>
        <v>#N/A</v>
      </c>
      <c r="J191" s="98" t="s">
        <v>1360</v>
      </c>
      <c r="K191" s="98" t="s">
        <v>412</v>
      </c>
    </row>
    <row r="192" spans="3:11">
      <c r="C192" s="141"/>
      <c r="D192" s="158"/>
      <c r="E192" s="123"/>
      <c r="F192" s="97">
        <f t="shared" si="7"/>
        <v>0</v>
      </c>
      <c r="G192" s="161"/>
      <c r="H192" s="142"/>
      <c r="I192" s="130" t="e">
        <f>VLOOKUP(H192,Presupuesto!$B$11:$C$565,2,0)</f>
        <v>#N/A</v>
      </c>
      <c r="J192" s="98" t="s">
        <v>1360</v>
      </c>
      <c r="K192" s="98" t="s">
        <v>412</v>
      </c>
    </row>
    <row r="193" spans="3:11">
      <c r="C193" s="141"/>
      <c r="D193" s="158"/>
      <c r="E193" s="123"/>
      <c r="F193" s="97">
        <f t="shared" si="7"/>
        <v>0</v>
      </c>
      <c r="G193" s="161"/>
      <c r="H193" s="142"/>
      <c r="I193" s="130" t="e">
        <f>VLOOKUP(H193,Presupuesto!$B$11:$C$565,2,0)</f>
        <v>#N/A</v>
      </c>
      <c r="J193" s="98" t="s">
        <v>1360</v>
      </c>
      <c r="K193" s="98" t="s">
        <v>412</v>
      </c>
    </row>
    <row r="194" spans="3:11">
      <c r="C194" s="141"/>
      <c r="D194" s="158"/>
      <c r="E194" s="123"/>
      <c r="F194" s="97">
        <f t="shared" si="7"/>
        <v>0</v>
      </c>
      <c r="G194" s="161"/>
      <c r="H194" s="142"/>
      <c r="I194" s="130" t="e">
        <f>VLOOKUP(H194,Presupuesto!$B$11:$C$565,2,0)</f>
        <v>#N/A</v>
      </c>
      <c r="J194" s="98" t="s">
        <v>1360</v>
      </c>
      <c r="K194" s="98" t="s">
        <v>412</v>
      </c>
    </row>
    <row r="195" spans="3:11">
      <c r="C195" s="141"/>
      <c r="D195" s="158"/>
      <c r="E195" s="123"/>
      <c r="F195" s="97">
        <f t="shared" si="7"/>
        <v>0</v>
      </c>
      <c r="G195" s="161"/>
      <c r="H195" s="142"/>
      <c r="I195" s="130" t="e">
        <f>VLOOKUP(H195,Presupuesto!$B$11:$C$565,2,0)</f>
        <v>#N/A</v>
      </c>
      <c r="J195" s="98" t="s">
        <v>1360</v>
      </c>
      <c r="K195" s="98" t="s">
        <v>412</v>
      </c>
    </row>
    <row r="196" spans="3:11">
      <c r="C196" s="141"/>
      <c r="D196" s="158"/>
      <c r="E196" s="123"/>
      <c r="F196" s="97">
        <f t="shared" si="7"/>
        <v>0</v>
      </c>
      <c r="G196" s="161"/>
      <c r="H196" s="142"/>
      <c r="I196" s="130" t="e">
        <f>VLOOKUP(H196,Presupuesto!$B$11:$C$565,2,0)</f>
        <v>#N/A</v>
      </c>
      <c r="J196" s="98" t="s">
        <v>1360</v>
      </c>
      <c r="K196" s="98" t="s">
        <v>412</v>
      </c>
    </row>
    <row r="197" spans="3:11">
      <c r="C197" s="143"/>
      <c r="D197" s="151"/>
      <c r="E197" s="118"/>
      <c r="F197" s="97">
        <f t="shared" si="7"/>
        <v>0</v>
      </c>
      <c r="G197" s="161"/>
      <c r="H197" s="144"/>
      <c r="I197" s="130" t="e">
        <f>VLOOKUP(H197,Presupuesto!$B$11:$C$565,2,0)</f>
        <v>#N/A</v>
      </c>
      <c r="J197" s="98" t="s">
        <v>1360</v>
      </c>
      <c r="K197" s="98" t="s">
        <v>412</v>
      </c>
    </row>
    <row r="198" spans="3:11">
      <c r="C198" s="143"/>
      <c r="D198" s="151"/>
      <c r="E198" s="118"/>
      <c r="F198" s="97">
        <f t="shared" si="7"/>
        <v>0</v>
      </c>
      <c r="G198" s="161"/>
      <c r="H198" s="144"/>
      <c r="I198" s="130" t="e">
        <f>VLOOKUP(H198,Presupuesto!$B$11:$C$565,2,0)</f>
        <v>#N/A</v>
      </c>
      <c r="J198" s="98" t="s">
        <v>1360</v>
      </c>
      <c r="K198" s="98" t="s">
        <v>412</v>
      </c>
    </row>
    <row r="199" spans="3:11">
      <c r="C199" s="143"/>
      <c r="D199" s="151"/>
      <c r="E199" s="118"/>
      <c r="F199" s="97">
        <f t="shared" si="7"/>
        <v>0</v>
      </c>
      <c r="G199" s="161"/>
      <c r="H199" s="144"/>
      <c r="I199" s="130" t="e">
        <f>VLOOKUP(H199,Presupuesto!$B$11:$C$565,2,0)</f>
        <v>#N/A</v>
      </c>
      <c r="J199" s="98" t="s">
        <v>1360</v>
      </c>
      <c r="K199" s="98" t="s">
        <v>412</v>
      </c>
    </row>
    <row r="200" spans="3:11">
      <c r="C200" s="143"/>
      <c r="D200" s="151"/>
      <c r="E200" s="118"/>
      <c r="F200" s="97">
        <f t="shared" si="7"/>
        <v>0</v>
      </c>
      <c r="G200" s="161"/>
      <c r="H200" s="144"/>
      <c r="I200" s="130" t="e">
        <f>VLOOKUP(H200,Presupuesto!$B$11:$C$565,2,0)</f>
        <v>#N/A</v>
      </c>
      <c r="J200" s="98" t="s">
        <v>1360</v>
      </c>
      <c r="K200" s="98" t="s">
        <v>412</v>
      </c>
    </row>
    <row r="201" spans="3:11">
      <c r="C201" s="143"/>
      <c r="D201" s="151"/>
      <c r="E201" s="118"/>
      <c r="F201" s="97">
        <f t="shared" si="7"/>
        <v>0</v>
      </c>
      <c r="G201" s="161"/>
      <c r="H201" s="144"/>
      <c r="I201" s="130" t="e">
        <f>VLOOKUP(H201,Presupuesto!$B$11:$C$565,2,0)</f>
        <v>#N/A</v>
      </c>
      <c r="J201" s="98" t="s">
        <v>1360</v>
      </c>
      <c r="K201" s="98" t="s">
        <v>412</v>
      </c>
    </row>
    <row r="202" spans="3:11">
      <c r="C202" s="143"/>
      <c r="D202" s="151"/>
      <c r="E202" s="118"/>
      <c r="F202" s="97">
        <f t="shared" si="7"/>
        <v>0</v>
      </c>
      <c r="G202" s="161"/>
      <c r="H202" s="144"/>
      <c r="I202" s="130" t="e">
        <f>VLOOKUP(H202,Presupuesto!$B$11:$C$565,2,0)</f>
        <v>#N/A</v>
      </c>
      <c r="J202" s="98" t="s">
        <v>1360</v>
      </c>
      <c r="K202" s="98" t="s">
        <v>412</v>
      </c>
    </row>
    <row r="203" spans="3:11">
      <c r="C203" s="143"/>
      <c r="D203" s="151"/>
      <c r="E203" s="118"/>
      <c r="F203" s="97">
        <f t="shared" si="7"/>
        <v>0</v>
      </c>
      <c r="G203" s="161"/>
      <c r="H203" s="144"/>
      <c r="I203" s="130" t="e">
        <f>VLOOKUP(H203,Presupuesto!$B$11:$C$565,2,0)</f>
        <v>#N/A</v>
      </c>
      <c r="J203" s="98" t="s">
        <v>1360</v>
      </c>
      <c r="K203" s="98" t="s">
        <v>412</v>
      </c>
    </row>
    <row r="204" spans="3:11">
      <c r="C204" s="143"/>
      <c r="D204" s="151"/>
      <c r="E204" s="118"/>
      <c r="F204" s="97">
        <f t="shared" si="7"/>
        <v>0</v>
      </c>
      <c r="G204" s="161"/>
      <c r="H204" s="144"/>
      <c r="I204" s="130" t="e">
        <f>VLOOKUP(H204,Presupuesto!$B$11:$C$565,2,0)</f>
        <v>#N/A</v>
      </c>
      <c r="J204" s="98" t="s">
        <v>1360</v>
      </c>
      <c r="K204" s="98" t="s">
        <v>412</v>
      </c>
    </row>
    <row r="205" spans="3:11">
      <c r="C205" s="145"/>
      <c r="D205" s="151"/>
      <c r="E205" s="118"/>
      <c r="F205" s="97">
        <f t="shared" si="7"/>
        <v>0</v>
      </c>
      <c r="G205" s="161"/>
      <c r="H205" s="146"/>
      <c r="I205" s="130" t="e">
        <f>VLOOKUP(H205,Presupuesto!$B$11:$C$565,2,0)</f>
        <v>#N/A</v>
      </c>
      <c r="J205" s="98" t="s">
        <v>1360</v>
      </c>
      <c r="K205" s="98" t="s">
        <v>403</v>
      </c>
    </row>
    <row r="206" spans="3:11">
      <c r="C206" s="145"/>
      <c r="D206" s="151"/>
      <c r="E206" s="118"/>
      <c r="F206" s="97">
        <f t="shared" si="7"/>
        <v>0</v>
      </c>
      <c r="G206" s="161"/>
      <c r="H206" s="146"/>
      <c r="I206" s="130" t="e">
        <f>VLOOKUP(H206,Presupuesto!$B$11:$C$565,2,0)</f>
        <v>#N/A</v>
      </c>
      <c r="J206" s="98" t="s">
        <v>1360</v>
      </c>
      <c r="K206" s="98" t="s">
        <v>412</v>
      </c>
    </row>
    <row r="207" spans="3:11">
      <c r="C207" s="145"/>
      <c r="D207" s="151"/>
      <c r="E207" s="118"/>
      <c r="F207" s="97">
        <f t="shared" si="7"/>
        <v>0</v>
      </c>
      <c r="G207" s="161"/>
      <c r="H207" s="146"/>
      <c r="I207" s="130" t="e">
        <f>VLOOKUP(H207,Presupuesto!$B$11:$C$565,2,0)</f>
        <v>#N/A</v>
      </c>
      <c r="J207" s="98" t="s">
        <v>1360</v>
      </c>
      <c r="K207" s="98" t="s">
        <v>412</v>
      </c>
    </row>
    <row r="208" spans="3:11">
      <c r="C208" s="145"/>
      <c r="D208" s="151"/>
      <c r="E208" s="118"/>
      <c r="F208" s="97">
        <f t="shared" si="7"/>
        <v>0</v>
      </c>
      <c r="G208" s="161"/>
      <c r="H208" s="146"/>
      <c r="I208" s="130" t="e">
        <f>VLOOKUP(H208,Presupuesto!$B$11:$C$565,2,0)</f>
        <v>#N/A</v>
      </c>
      <c r="J208" s="98" t="s">
        <v>1360</v>
      </c>
      <c r="K208" s="98" t="s">
        <v>412</v>
      </c>
    </row>
    <row r="209" spans="3:11" ht="15.75" thickBot="1">
      <c r="C209" s="147"/>
      <c r="D209" s="159"/>
      <c r="E209" s="103"/>
      <c r="F209" s="105">
        <f t="shared" si="7"/>
        <v>0</v>
      </c>
      <c r="G209" s="162"/>
      <c r="H209" s="148"/>
      <c r="I209" s="132" t="e">
        <f>VLOOKUP(H209,Presupuesto!$B$11:$C$565,2,0)</f>
        <v>#N/A</v>
      </c>
      <c r="J209" s="98" t="s">
        <v>1360</v>
      </c>
      <c r="K209" s="124" t="s">
        <v>394</v>
      </c>
    </row>
    <row r="211" spans="3:11" ht="15.75" thickBot="1">
      <c r="F211" s="90"/>
      <c r="G211" s="89"/>
      <c r="H211" s="90"/>
      <c r="I211" s="90"/>
    </row>
    <row r="212" spans="3:11" ht="15.75" thickBot="1">
      <c r="C212" s="157" t="s">
        <v>53</v>
      </c>
      <c r="D212" s="374">
        <f>SUM(F219:F252)</f>
        <v>150000</v>
      </c>
      <c r="F212" s="70"/>
      <c r="G212" s="79"/>
      <c r="H212" s="70"/>
      <c r="I212" s="70"/>
    </row>
    <row r="213" spans="3:11">
      <c r="C213" s="70"/>
      <c r="D213" s="31"/>
      <c r="E213" s="93"/>
      <c r="F213" s="93"/>
      <c r="G213" s="93"/>
      <c r="H213" s="76"/>
      <c r="I213" s="76"/>
      <c r="J213" s="76"/>
      <c r="K213" s="112"/>
    </row>
    <row r="214" spans="3:11">
      <c r="C214" s="70"/>
      <c r="D214" s="31"/>
      <c r="E214" s="93"/>
      <c r="F214" s="93"/>
      <c r="G214" s="93"/>
      <c r="H214" s="76"/>
      <c r="I214" s="76"/>
      <c r="J214" s="76"/>
      <c r="K214" s="112"/>
    </row>
    <row r="215" spans="3:11" ht="15.75">
      <c r="C215" s="202" t="s">
        <v>392</v>
      </c>
      <c r="D215" s="370">
        <v>7.6</v>
      </c>
      <c r="E215" s="93"/>
      <c r="F215" s="93"/>
      <c r="G215" s="93"/>
      <c r="H215" s="76"/>
      <c r="I215" s="76"/>
      <c r="J215" s="76"/>
      <c r="K215" s="112"/>
    </row>
    <row r="216" spans="3:11" ht="18.75">
      <c r="C216" s="211" t="str">
        <f>IFERROR(VLOOKUP(D215,'1. Desarrollo e Innov. Curricu.'!$E:$F,2,FALSE),IFERROR(VLOOKUP(D215,'2. Investigación Científica'!$E:$F,2,FALSE),IFERROR(VLOOKUP(D215,'3. Vinculación Univ. Sociedad'!$E:$F,2,FALSE),IFERROR(VLOOKUP(D215,'4. Docencia y Profesorado Univ.'!$E:$F,2,FALSE),IFERROR(VLOOKUP(D215,'5. Estudiantes y Graduados'!$E:$F,2,FALSE),IFERROR(VLOOKUP(D215,'11. Gestion Administrativa'!$E:$F,2,FALSE),IFERROR(VLOOKUP(D215,'13. Gestión Académica'!$E:$F,2,FALSE),IFERROR(VLOOKUP(D215,'8. Asegura. de la Calid. y M'!$E:$F,2,FALSE),IFERROR(VLOOKUP(D215,'6. Gestión del Conocimiento'!$E:$F,2,FALSE),IFERROR(VLOOKUP(D215,'15. Gobernabilidad y Proceso...'!$E:$F,2,FALSE),IFERROR(VLOOKUP(D215,'12. Gestión del Talento Humano'!$E:$F,2,FALSE),IFERROR(VLOOKUP(D215,'14. Internacional... de la E.S.'!$E:$F,2,FALSE),IFERROR(VLOOKUP(D215,'10. Posgrado'!$E:$F,2,FALSE),IFERROR(VLOOKUP(D215,'17. Gestión TIC'!$E:$F,2,FALSE),IFERROR(VLOOKUP(D215,'16. Desa. del Sistema Educ.Sup.'!$E:$F,2,FALSE),IFERROR(VLOOKUP(D215,'9. Cultura de Inno. Insti...'!$E:$F,2,FALSE),VLOOKUP(D215,'7. Lo Esencial de la Reforma U.'!$E:$F,2,0)))))))))))))))))</f>
        <v>Organización de exhibición artística internacional desarrollados en espacios universitarios .</v>
      </c>
      <c r="D216" s="31"/>
      <c r="E216" s="93"/>
      <c r="F216" s="93"/>
      <c r="G216" s="93"/>
      <c r="H216" s="76"/>
      <c r="I216" s="76"/>
      <c r="J216" s="76"/>
      <c r="K216" s="112"/>
    </row>
    <row r="217" spans="3:11" ht="15.75" thickBot="1">
      <c r="F217" s="93"/>
      <c r="G217" s="76"/>
      <c r="H217" s="76"/>
      <c r="I217" s="76"/>
    </row>
    <row r="218" spans="3:11" ht="30.75" thickBot="1">
      <c r="C218" s="129" t="s">
        <v>44</v>
      </c>
      <c r="D218" s="129" t="s">
        <v>55</v>
      </c>
      <c r="E218" s="136" t="s">
        <v>57</v>
      </c>
      <c r="F218" s="135" t="s">
        <v>27</v>
      </c>
      <c r="G218" s="133" t="s">
        <v>131</v>
      </c>
      <c r="H218" s="136" t="s">
        <v>46</v>
      </c>
      <c r="I218" s="133" t="s">
        <v>132</v>
      </c>
      <c r="J218" s="133" t="s">
        <v>410</v>
      </c>
      <c r="K218" s="133" t="s">
        <v>411</v>
      </c>
    </row>
    <row r="219" spans="3:11">
      <c r="C219" s="141" t="s">
        <v>1623</v>
      </c>
      <c r="D219" s="158">
        <v>1</v>
      </c>
      <c r="E219" s="123">
        <v>15000</v>
      </c>
      <c r="F219" s="97">
        <f t="shared" ref="F219:F252" si="8">D219*E219</f>
        <v>15000</v>
      </c>
      <c r="G219" s="161" t="s">
        <v>1508</v>
      </c>
      <c r="H219" s="142" t="s">
        <v>311</v>
      </c>
      <c r="I219" s="130" t="str">
        <f>VLOOKUP(H219,Presupuesto!$B$11:$C$565,2,0)</f>
        <v>ALIMENTOS Y BEBIDAS PARA PERSONAS (31100-00)</v>
      </c>
      <c r="J219" s="98" t="s">
        <v>1360</v>
      </c>
      <c r="K219" s="98" t="s">
        <v>412</v>
      </c>
    </row>
    <row r="220" spans="3:11">
      <c r="C220" s="141" t="s">
        <v>1624</v>
      </c>
      <c r="D220" s="158">
        <v>1</v>
      </c>
      <c r="E220" s="123">
        <v>75000</v>
      </c>
      <c r="F220" s="97">
        <f t="shared" si="8"/>
        <v>75000</v>
      </c>
      <c r="G220" s="161" t="s">
        <v>1508</v>
      </c>
      <c r="H220" s="142" t="s">
        <v>705</v>
      </c>
      <c r="I220" s="130" t="str">
        <f>VLOOKUP(H220,Presupuesto!$B$11:$C$565,2,0)</f>
        <v>OTROS SERVICIOS TECNICOS Y PROFESIONALES</v>
      </c>
      <c r="J220" s="98" t="s">
        <v>1360</v>
      </c>
      <c r="K220" s="98" t="s">
        <v>412</v>
      </c>
    </row>
    <row r="221" spans="3:11">
      <c r="C221" s="141" t="s">
        <v>1625</v>
      </c>
      <c r="D221" s="158">
        <v>30</v>
      </c>
      <c r="E221" s="123">
        <v>2000</v>
      </c>
      <c r="F221" s="97">
        <f t="shared" si="8"/>
        <v>60000</v>
      </c>
      <c r="G221" s="161" t="s">
        <v>1508</v>
      </c>
      <c r="H221" s="142" t="s">
        <v>717</v>
      </c>
      <c r="I221" s="130" t="str">
        <f>VLOOKUP(H221,Presupuesto!$B$11:$C$565,2,0)</f>
        <v>SERVICIOS DE IMPRENTA PUBLIC.Y REPRODUCCION</v>
      </c>
      <c r="J221" s="98" t="s">
        <v>1360</v>
      </c>
      <c r="K221" s="98" t="s">
        <v>412</v>
      </c>
    </row>
    <row r="222" spans="3:11">
      <c r="C222" s="141"/>
      <c r="D222" s="158"/>
      <c r="E222" s="123"/>
      <c r="F222" s="97">
        <f t="shared" si="8"/>
        <v>0</v>
      </c>
      <c r="G222" s="161"/>
      <c r="H222" s="142"/>
      <c r="I222" s="130" t="e">
        <f>VLOOKUP(H222,Presupuesto!$B$11:$C$565,2,0)</f>
        <v>#N/A</v>
      </c>
      <c r="J222" s="98" t="s">
        <v>1360</v>
      </c>
      <c r="K222" s="98" t="s">
        <v>412</v>
      </c>
    </row>
    <row r="223" spans="3:11">
      <c r="C223" s="141"/>
      <c r="D223" s="158"/>
      <c r="E223" s="123"/>
      <c r="F223" s="97">
        <f t="shared" si="8"/>
        <v>0</v>
      </c>
      <c r="G223" s="161"/>
      <c r="H223" s="142"/>
      <c r="I223" s="130" t="e">
        <f>VLOOKUP(H223,Presupuesto!$B$11:$C$565,2,0)</f>
        <v>#N/A</v>
      </c>
      <c r="J223" s="98" t="s">
        <v>1360</v>
      </c>
      <c r="K223" s="98" t="s">
        <v>401</v>
      </c>
    </row>
    <row r="224" spans="3:11">
      <c r="C224" s="141"/>
      <c r="D224" s="158"/>
      <c r="E224" s="123"/>
      <c r="F224" s="97">
        <f t="shared" si="8"/>
        <v>0</v>
      </c>
      <c r="G224" s="161"/>
      <c r="H224" s="142"/>
      <c r="I224" s="130" t="e">
        <f>VLOOKUP(H224,Presupuesto!$B$11:$C$565,2,0)</f>
        <v>#N/A</v>
      </c>
      <c r="J224" s="98" t="s">
        <v>1360</v>
      </c>
      <c r="K224" s="98" t="s">
        <v>412</v>
      </c>
    </row>
    <row r="225" spans="3:11">
      <c r="C225" s="141"/>
      <c r="D225" s="158"/>
      <c r="E225" s="123"/>
      <c r="F225" s="97">
        <f t="shared" si="8"/>
        <v>0</v>
      </c>
      <c r="G225" s="161"/>
      <c r="H225" s="142"/>
      <c r="I225" s="130" t="e">
        <f>VLOOKUP(H225,Presupuesto!$B$11:$C$565,2,0)</f>
        <v>#N/A</v>
      </c>
      <c r="J225" s="98" t="s">
        <v>1360</v>
      </c>
      <c r="K225" s="98" t="s">
        <v>412</v>
      </c>
    </row>
    <row r="226" spans="3:11">
      <c r="C226" s="141"/>
      <c r="D226" s="158"/>
      <c r="E226" s="123"/>
      <c r="F226" s="97">
        <f t="shared" si="8"/>
        <v>0</v>
      </c>
      <c r="G226" s="161"/>
      <c r="H226" s="142"/>
      <c r="I226" s="130" t="e">
        <f>VLOOKUP(H226,Presupuesto!$B$11:$C$565,2,0)</f>
        <v>#N/A</v>
      </c>
      <c r="J226" s="98" t="s">
        <v>1360</v>
      </c>
      <c r="K226" s="98" t="s">
        <v>412</v>
      </c>
    </row>
    <row r="227" spans="3:11">
      <c r="C227" s="141"/>
      <c r="D227" s="158"/>
      <c r="E227" s="123"/>
      <c r="F227" s="97">
        <f t="shared" si="8"/>
        <v>0</v>
      </c>
      <c r="G227" s="161"/>
      <c r="H227" s="142"/>
      <c r="I227" s="130" t="e">
        <f>VLOOKUP(H227,Presupuesto!$B$11:$C$565,2,0)</f>
        <v>#N/A</v>
      </c>
      <c r="J227" s="98" t="s">
        <v>1360</v>
      </c>
      <c r="K227" s="98" t="s">
        <v>412</v>
      </c>
    </row>
    <row r="228" spans="3:11">
      <c r="C228" s="141"/>
      <c r="D228" s="158"/>
      <c r="E228" s="123"/>
      <c r="F228" s="97">
        <f t="shared" si="8"/>
        <v>0</v>
      </c>
      <c r="G228" s="161"/>
      <c r="H228" s="142"/>
      <c r="I228" s="130" t="e">
        <f>VLOOKUP(H228,Presupuesto!$B$11:$C$565,2,0)</f>
        <v>#N/A</v>
      </c>
      <c r="J228" s="98" t="s">
        <v>1360</v>
      </c>
      <c r="K228" s="98" t="s">
        <v>412</v>
      </c>
    </row>
    <row r="229" spans="3:11">
      <c r="C229" s="141"/>
      <c r="D229" s="158"/>
      <c r="E229" s="123"/>
      <c r="F229" s="97">
        <f t="shared" si="8"/>
        <v>0</v>
      </c>
      <c r="G229" s="161"/>
      <c r="H229" s="142"/>
      <c r="I229" s="130" t="e">
        <f>VLOOKUP(H229,Presupuesto!$B$11:$C$565,2,0)</f>
        <v>#N/A</v>
      </c>
      <c r="J229" s="98" t="s">
        <v>1360</v>
      </c>
      <c r="K229" s="98" t="s">
        <v>412</v>
      </c>
    </row>
    <row r="230" spans="3:11">
      <c r="C230" s="141"/>
      <c r="D230" s="158"/>
      <c r="E230" s="123"/>
      <c r="F230" s="97">
        <f t="shared" si="8"/>
        <v>0</v>
      </c>
      <c r="G230" s="161"/>
      <c r="H230" s="142"/>
      <c r="I230" s="130" t="e">
        <f>VLOOKUP(H230,Presupuesto!$B$11:$C$565,2,0)</f>
        <v>#N/A</v>
      </c>
      <c r="J230" s="98" t="s">
        <v>1360</v>
      </c>
      <c r="K230" s="98" t="s">
        <v>412</v>
      </c>
    </row>
    <row r="231" spans="3:11">
      <c r="C231" s="141"/>
      <c r="D231" s="158"/>
      <c r="E231" s="123"/>
      <c r="F231" s="97">
        <f t="shared" si="8"/>
        <v>0</v>
      </c>
      <c r="G231" s="161"/>
      <c r="H231" s="142"/>
      <c r="I231" s="130" t="e">
        <f>VLOOKUP(H231,Presupuesto!$B$11:$C$565,2,0)</f>
        <v>#N/A</v>
      </c>
      <c r="J231" s="98" t="s">
        <v>1360</v>
      </c>
      <c r="K231" s="98" t="s">
        <v>412</v>
      </c>
    </row>
    <row r="232" spans="3:11">
      <c r="C232" s="141"/>
      <c r="D232" s="158"/>
      <c r="E232" s="123"/>
      <c r="F232" s="97">
        <f t="shared" si="8"/>
        <v>0</v>
      </c>
      <c r="G232" s="161"/>
      <c r="H232" s="142"/>
      <c r="I232" s="130" t="e">
        <f>VLOOKUP(H232,Presupuesto!$B$11:$C$565,2,0)</f>
        <v>#N/A</v>
      </c>
      <c r="J232" s="98" t="s">
        <v>1360</v>
      </c>
      <c r="K232" s="98" t="s">
        <v>412</v>
      </c>
    </row>
    <row r="233" spans="3:11">
      <c r="C233" s="141"/>
      <c r="D233" s="158"/>
      <c r="E233" s="123"/>
      <c r="F233" s="97">
        <f t="shared" si="8"/>
        <v>0</v>
      </c>
      <c r="G233" s="161"/>
      <c r="H233" s="142"/>
      <c r="I233" s="130" t="e">
        <f>VLOOKUP(H233,Presupuesto!$B$11:$C$565,2,0)</f>
        <v>#N/A</v>
      </c>
      <c r="J233" s="98" t="s">
        <v>1360</v>
      </c>
      <c r="K233" s="98" t="s">
        <v>412</v>
      </c>
    </row>
    <row r="234" spans="3:11">
      <c r="C234" s="141"/>
      <c r="D234" s="158"/>
      <c r="E234" s="123"/>
      <c r="F234" s="97">
        <f t="shared" si="8"/>
        <v>0</v>
      </c>
      <c r="G234" s="161"/>
      <c r="H234" s="142"/>
      <c r="I234" s="130" t="e">
        <f>VLOOKUP(H234,Presupuesto!$B$11:$C$565,2,0)</f>
        <v>#N/A</v>
      </c>
      <c r="J234" s="98" t="s">
        <v>1360</v>
      </c>
      <c r="K234" s="98" t="s">
        <v>412</v>
      </c>
    </row>
    <row r="235" spans="3:11">
      <c r="C235" s="141"/>
      <c r="D235" s="158"/>
      <c r="E235" s="123"/>
      <c r="F235" s="97">
        <f t="shared" si="8"/>
        <v>0</v>
      </c>
      <c r="G235" s="161"/>
      <c r="H235" s="142"/>
      <c r="I235" s="130" t="e">
        <f>VLOOKUP(H235,Presupuesto!$B$11:$C$565,2,0)</f>
        <v>#N/A</v>
      </c>
      <c r="J235" s="98" t="s">
        <v>1360</v>
      </c>
      <c r="K235" s="98" t="s">
        <v>412</v>
      </c>
    </row>
    <row r="236" spans="3:11">
      <c r="C236" s="141"/>
      <c r="D236" s="158"/>
      <c r="E236" s="123"/>
      <c r="F236" s="97">
        <f t="shared" si="8"/>
        <v>0</v>
      </c>
      <c r="G236" s="161"/>
      <c r="H236" s="142"/>
      <c r="I236" s="130" t="e">
        <f>VLOOKUP(H236,Presupuesto!$B$11:$C$565,2,0)</f>
        <v>#N/A</v>
      </c>
      <c r="J236" s="98" t="s">
        <v>1360</v>
      </c>
      <c r="K236" s="98" t="s">
        <v>412</v>
      </c>
    </row>
    <row r="237" spans="3:11">
      <c r="C237" s="141"/>
      <c r="D237" s="158"/>
      <c r="E237" s="123"/>
      <c r="F237" s="97">
        <f t="shared" si="8"/>
        <v>0</v>
      </c>
      <c r="G237" s="161"/>
      <c r="H237" s="142"/>
      <c r="I237" s="130" t="e">
        <f>VLOOKUP(H237,Presupuesto!$B$11:$C$565,2,0)</f>
        <v>#N/A</v>
      </c>
      <c r="J237" s="98" t="s">
        <v>1360</v>
      </c>
      <c r="K237" s="98" t="s">
        <v>412</v>
      </c>
    </row>
    <row r="238" spans="3:11">
      <c r="C238" s="141"/>
      <c r="D238" s="158"/>
      <c r="E238" s="123"/>
      <c r="F238" s="97">
        <f t="shared" si="8"/>
        <v>0</v>
      </c>
      <c r="G238" s="161"/>
      <c r="H238" s="142"/>
      <c r="I238" s="130" t="e">
        <f>VLOOKUP(H238,Presupuesto!$B$11:$C$565,2,0)</f>
        <v>#N/A</v>
      </c>
      <c r="J238" s="98" t="s">
        <v>1360</v>
      </c>
      <c r="K238" s="98" t="s">
        <v>412</v>
      </c>
    </row>
    <row r="239" spans="3:11">
      <c r="C239" s="141"/>
      <c r="D239" s="158"/>
      <c r="E239" s="123"/>
      <c r="F239" s="97">
        <f t="shared" si="8"/>
        <v>0</v>
      </c>
      <c r="G239" s="161"/>
      <c r="H239" s="142"/>
      <c r="I239" s="130" t="e">
        <f>VLOOKUP(H239,Presupuesto!$B$11:$C$565,2,0)</f>
        <v>#N/A</v>
      </c>
      <c r="J239" s="98" t="s">
        <v>1360</v>
      </c>
      <c r="K239" s="98" t="s">
        <v>412</v>
      </c>
    </row>
    <row r="240" spans="3:11">
      <c r="C240" s="143"/>
      <c r="D240" s="151"/>
      <c r="E240" s="118"/>
      <c r="F240" s="97">
        <f t="shared" si="8"/>
        <v>0</v>
      </c>
      <c r="G240" s="161"/>
      <c r="H240" s="144"/>
      <c r="I240" s="130" t="e">
        <f>VLOOKUP(H240,Presupuesto!$B$11:$C$565,2,0)</f>
        <v>#N/A</v>
      </c>
      <c r="J240" s="98" t="s">
        <v>1360</v>
      </c>
      <c r="K240" s="98" t="s">
        <v>412</v>
      </c>
    </row>
    <row r="241" spans="3:11">
      <c r="C241" s="143"/>
      <c r="D241" s="151"/>
      <c r="E241" s="118"/>
      <c r="F241" s="97">
        <f t="shared" si="8"/>
        <v>0</v>
      </c>
      <c r="G241" s="161"/>
      <c r="H241" s="144"/>
      <c r="I241" s="130" t="e">
        <f>VLOOKUP(H241,Presupuesto!$B$11:$C$565,2,0)</f>
        <v>#N/A</v>
      </c>
      <c r="J241" s="98" t="s">
        <v>1360</v>
      </c>
      <c r="K241" s="98" t="s">
        <v>412</v>
      </c>
    </row>
    <row r="242" spans="3:11">
      <c r="C242" s="143"/>
      <c r="D242" s="151"/>
      <c r="E242" s="118"/>
      <c r="F242" s="97">
        <f t="shared" si="8"/>
        <v>0</v>
      </c>
      <c r="G242" s="161"/>
      <c r="H242" s="144"/>
      <c r="I242" s="130" t="e">
        <f>VLOOKUP(H242,Presupuesto!$B$11:$C$565,2,0)</f>
        <v>#N/A</v>
      </c>
      <c r="J242" s="98" t="s">
        <v>1360</v>
      </c>
      <c r="K242" s="98" t="s">
        <v>412</v>
      </c>
    </row>
    <row r="243" spans="3:11">
      <c r="C243" s="143"/>
      <c r="D243" s="151"/>
      <c r="E243" s="118"/>
      <c r="F243" s="97">
        <f t="shared" si="8"/>
        <v>0</v>
      </c>
      <c r="G243" s="161"/>
      <c r="H243" s="144"/>
      <c r="I243" s="130" t="e">
        <f>VLOOKUP(H243,Presupuesto!$B$11:$C$565,2,0)</f>
        <v>#N/A</v>
      </c>
      <c r="J243" s="98" t="s">
        <v>1360</v>
      </c>
      <c r="K243" s="98" t="s">
        <v>412</v>
      </c>
    </row>
    <row r="244" spans="3:11">
      <c r="C244" s="143"/>
      <c r="D244" s="151"/>
      <c r="E244" s="118"/>
      <c r="F244" s="97">
        <f t="shared" si="8"/>
        <v>0</v>
      </c>
      <c r="G244" s="161"/>
      <c r="H244" s="144"/>
      <c r="I244" s="130" t="e">
        <f>VLOOKUP(H244,Presupuesto!$B$11:$C$565,2,0)</f>
        <v>#N/A</v>
      </c>
      <c r="J244" s="98" t="s">
        <v>1360</v>
      </c>
      <c r="K244" s="98" t="s">
        <v>412</v>
      </c>
    </row>
    <row r="245" spans="3:11">
      <c r="C245" s="143"/>
      <c r="D245" s="151"/>
      <c r="E245" s="118"/>
      <c r="F245" s="97">
        <f t="shared" si="8"/>
        <v>0</v>
      </c>
      <c r="G245" s="161"/>
      <c r="H245" s="144"/>
      <c r="I245" s="130" t="e">
        <f>VLOOKUP(H245,Presupuesto!$B$11:$C$565,2,0)</f>
        <v>#N/A</v>
      </c>
      <c r="J245" s="98" t="s">
        <v>1360</v>
      </c>
      <c r="K245" s="98" t="s">
        <v>412</v>
      </c>
    </row>
    <row r="246" spans="3:11">
      <c r="C246" s="143"/>
      <c r="D246" s="151"/>
      <c r="E246" s="118"/>
      <c r="F246" s="97">
        <f t="shared" si="8"/>
        <v>0</v>
      </c>
      <c r="G246" s="161"/>
      <c r="H246" s="144"/>
      <c r="I246" s="130" t="e">
        <f>VLOOKUP(H246,Presupuesto!$B$11:$C$565,2,0)</f>
        <v>#N/A</v>
      </c>
      <c r="J246" s="98" t="s">
        <v>1360</v>
      </c>
      <c r="K246" s="98" t="s">
        <v>412</v>
      </c>
    </row>
    <row r="247" spans="3:11">
      <c r="C247" s="143"/>
      <c r="D247" s="151"/>
      <c r="E247" s="118"/>
      <c r="F247" s="97">
        <f t="shared" si="8"/>
        <v>0</v>
      </c>
      <c r="G247" s="161"/>
      <c r="H247" s="144"/>
      <c r="I247" s="130" t="e">
        <f>VLOOKUP(H247,Presupuesto!$B$11:$C$565,2,0)</f>
        <v>#N/A</v>
      </c>
      <c r="J247" s="98" t="s">
        <v>1360</v>
      </c>
      <c r="K247" s="98" t="s">
        <v>412</v>
      </c>
    </row>
    <row r="248" spans="3:11">
      <c r="C248" s="145"/>
      <c r="D248" s="151"/>
      <c r="E248" s="118"/>
      <c r="F248" s="97">
        <f t="shared" si="8"/>
        <v>0</v>
      </c>
      <c r="G248" s="161"/>
      <c r="H248" s="146"/>
      <c r="I248" s="130" t="e">
        <f>VLOOKUP(H248,Presupuesto!$B$11:$C$565,2,0)</f>
        <v>#N/A</v>
      </c>
      <c r="J248" s="98" t="s">
        <v>1360</v>
      </c>
      <c r="K248" s="98" t="s">
        <v>403</v>
      </c>
    </row>
    <row r="249" spans="3:11">
      <c r="C249" s="145"/>
      <c r="D249" s="151"/>
      <c r="E249" s="118"/>
      <c r="F249" s="97">
        <f t="shared" si="8"/>
        <v>0</v>
      </c>
      <c r="G249" s="161"/>
      <c r="H249" s="146"/>
      <c r="I249" s="130" t="e">
        <f>VLOOKUP(H249,Presupuesto!$B$11:$C$565,2,0)</f>
        <v>#N/A</v>
      </c>
      <c r="J249" s="98" t="s">
        <v>1360</v>
      </c>
      <c r="K249" s="98" t="s">
        <v>412</v>
      </c>
    </row>
    <row r="250" spans="3:11">
      <c r="C250" s="145"/>
      <c r="D250" s="151"/>
      <c r="E250" s="118"/>
      <c r="F250" s="97">
        <f t="shared" si="8"/>
        <v>0</v>
      </c>
      <c r="G250" s="161"/>
      <c r="H250" s="146"/>
      <c r="I250" s="130" t="e">
        <f>VLOOKUP(H250,Presupuesto!$B$11:$C$565,2,0)</f>
        <v>#N/A</v>
      </c>
      <c r="J250" s="98" t="s">
        <v>1360</v>
      </c>
      <c r="K250" s="98" t="s">
        <v>412</v>
      </c>
    </row>
    <row r="251" spans="3:11">
      <c r="C251" s="145"/>
      <c r="D251" s="151"/>
      <c r="E251" s="118"/>
      <c r="F251" s="97">
        <f t="shared" si="8"/>
        <v>0</v>
      </c>
      <c r="G251" s="161"/>
      <c r="H251" s="146"/>
      <c r="I251" s="130" t="e">
        <f>VLOOKUP(H251,Presupuesto!$B$11:$C$565,2,0)</f>
        <v>#N/A</v>
      </c>
      <c r="J251" s="98" t="s">
        <v>1360</v>
      </c>
      <c r="K251" s="98" t="s">
        <v>412</v>
      </c>
    </row>
    <row r="252" spans="3:11" ht="15.75" thickBot="1">
      <c r="C252" s="147"/>
      <c r="D252" s="159"/>
      <c r="E252" s="103"/>
      <c r="F252" s="105">
        <f t="shared" si="8"/>
        <v>0</v>
      </c>
      <c r="G252" s="162"/>
      <c r="H252" s="148"/>
      <c r="I252" s="132" t="e">
        <f>VLOOKUP(H252,Presupuesto!$B$11:$C$565,2,0)</f>
        <v>#N/A</v>
      </c>
      <c r="J252" s="98" t="s">
        <v>1360</v>
      </c>
      <c r="K252" s="124" t="s">
        <v>394</v>
      </c>
    </row>
    <row r="254" spans="3:11" ht="15.75" thickBot="1"/>
    <row r="255" spans="3:11" ht="15.75" thickBot="1">
      <c r="C255" s="157" t="s">
        <v>53</v>
      </c>
      <c r="D255" s="374">
        <f>SUM(F262:F295)</f>
        <v>60000</v>
      </c>
      <c r="F255" s="70"/>
      <c r="G255" s="79"/>
      <c r="H255" s="70"/>
      <c r="I255" s="70"/>
    </row>
    <row r="256" spans="3:11">
      <c r="C256" s="70"/>
      <c r="D256" s="31"/>
      <c r="E256" s="93"/>
      <c r="F256" s="93"/>
      <c r="G256" s="93"/>
      <c r="H256" s="76"/>
      <c r="I256" s="76"/>
      <c r="J256" s="76"/>
      <c r="K256" s="112"/>
    </row>
    <row r="257" spans="3:11">
      <c r="C257" s="70"/>
      <c r="D257" s="31"/>
      <c r="E257" s="93"/>
      <c r="F257" s="93"/>
      <c r="G257" s="93"/>
      <c r="H257" s="76"/>
      <c r="I257" s="76"/>
      <c r="J257" s="76"/>
      <c r="K257" s="112"/>
    </row>
    <row r="258" spans="3:11" ht="15.75">
      <c r="C258" s="202" t="s">
        <v>392</v>
      </c>
      <c r="D258" s="370">
        <v>7.7</v>
      </c>
      <c r="E258" s="93"/>
      <c r="F258" s="93"/>
      <c r="G258" s="93"/>
      <c r="H258" s="76"/>
      <c r="I258" s="76"/>
      <c r="J258" s="76"/>
      <c r="K258" s="112"/>
    </row>
    <row r="259" spans="3:11" ht="18.75">
      <c r="C259" s="211" t="str">
        <f>IFERROR(VLOOKUP(D258,'1. Desarrollo e Innov. Curricu.'!$E:$F,2,FALSE),IFERROR(VLOOKUP(D258,'2. Investigación Científica'!$E:$F,2,FALSE),IFERROR(VLOOKUP(D258,'3. Vinculación Univ. Sociedad'!$E:$F,2,FALSE),IFERROR(VLOOKUP(D258,'4. Docencia y Profesorado Univ.'!$E:$F,2,FALSE),IFERROR(VLOOKUP(D258,'5. Estudiantes y Graduados'!$E:$F,2,FALSE),IFERROR(VLOOKUP(D258,'11. Gestion Administrativa'!$E:$F,2,FALSE),IFERROR(VLOOKUP(D258,'13. Gestión Académica'!$E:$F,2,FALSE),IFERROR(VLOOKUP(D258,'8. Asegura. de la Calid. y M'!$E:$F,2,FALSE),IFERROR(VLOOKUP(D258,'6. Gestión del Conocimiento'!$E:$F,2,FALSE),IFERROR(VLOOKUP(D258,'15. Gobernabilidad y Proceso...'!$E:$F,2,FALSE),IFERROR(VLOOKUP(D258,'12. Gestión del Talento Humano'!$E:$F,2,FALSE),IFERROR(VLOOKUP(D258,'14. Internacional... de la E.S.'!$E:$F,2,FALSE),IFERROR(VLOOKUP(D258,'10. Posgrado'!$E:$F,2,FALSE),IFERROR(VLOOKUP(D258,'17. Gestión TIC'!$E:$F,2,FALSE),IFERROR(VLOOKUP(D258,'16. Desa. del Sistema Educ.Sup.'!$E:$F,2,FALSE),IFERROR(VLOOKUP(D258,'9. Cultura de Inno. Insti...'!$E:$F,2,FALSE),VLOOKUP(D258,'7. Lo Esencial de la Reforma U.'!$E:$F,2,0)))))))))))))))))</f>
        <v>Consultoría para la catalogación del fondo Eric Swimmer de la  Fototeca Nacional Universitaria</v>
      </c>
      <c r="D259" s="31"/>
      <c r="E259" s="93"/>
      <c r="F259" s="93"/>
      <c r="G259" s="93"/>
      <c r="H259" s="76"/>
      <c r="I259" s="76"/>
      <c r="J259" s="76"/>
      <c r="K259" s="112"/>
    </row>
    <row r="260" spans="3:11" ht="15.75" thickBot="1">
      <c r="F260" s="93"/>
      <c r="G260" s="76"/>
      <c r="H260" s="76"/>
      <c r="I260" s="76"/>
    </row>
    <row r="261" spans="3:11" ht="30.75" thickBot="1">
      <c r="C261" s="129" t="s">
        <v>44</v>
      </c>
      <c r="D261" s="129" t="s">
        <v>55</v>
      </c>
      <c r="E261" s="136" t="s">
        <v>57</v>
      </c>
      <c r="F261" s="135" t="s">
        <v>27</v>
      </c>
      <c r="G261" s="133" t="s">
        <v>131</v>
      </c>
      <c r="H261" s="136" t="s">
        <v>46</v>
      </c>
      <c r="I261" s="133" t="s">
        <v>132</v>
      </c>
      <c r="J261" s="133" t="s">
        <v>410</v>
      </c>
      <c r="K261" s="133" t="s">
        <v>411</v>
      </c>
    </row>
    <row r="262" spans="3:11">
      <c r="C262" s="141" t="s">
        <v>1626</v>
      </c>
      <c r="D262" s="158">
        <v>1</v>
      </c>
      <c r="E262" s="123">
        <v>60000</v>
      </c>
      <c r="F262" s="97">
        <f t="shared" ref="F262:F295" si="9">D262*E262</f>
        <v>60000</v>
      </c>
      <c r="G262" s="161" t="s">
        <v>1508</v>
      </c>
      <c r="H262" s="142" t="s">
        <v>743</v>
      </c>
      <c r="I262" s="130" t="str">
        <f>VLOOKUP(H262,Presupuesto!$B$11:$C$565,2,0)</f>
        <v>OTROS SERVICIOS COMERCIALES Y FINANCIEROS</v>
      </c>
      <c r="J262" s="98" t="s">
        <v>1360</v>
      </c>
      <c r="K262" s="98" t="s">
        <v>412</v>
      </c>
    </row>
    <row r="263" spans="3:11">
      <c r="C263" s="141"/>
      <c r="D263" s="158"/>
      <c r="E263" s="123"/>
      <c r="F263" s="97">
        <f t="shared" si="9"/>
        <v>0</v>
      </c>
      <c r="G263" s="161"/>
      <c r="H263" s="142"/>
      <c r="I263" s="130" t="e">
        <f>VLOOKUP(H263,Presupuesto!$B$11:$C$565,2,0)</f>
        <v>#N/A</v>
      </c>
      <c r="J263" s="98" t="s">
        <v>1360</v>
      </c>
      <c r="K263" s="98" t="s">
        <v>412</v>
      </c>
    </row>
    <row r="264" spans="3:11">
      <c r="C264" s="141"/>
      <c r="D264" s="158"/>
      <c r="E264" s="123"/>
      <c r="F264" s="97">
        <f t="shared" si="9"/>
        <v>0</v>
      </c>
      <c r="G264" s="161"/>
      <c r="H264" s="142"/>
      <c r="I264" s="130" t="e">
        <f>VLOOKUP(H264,Presupuesto!$B$11:$C$565,2,0)</f>
        <v>#N/A</v>
      </c>
      <c r="J264" s="98" t="s">
        <v>1360</v>
      </c>
      <c r="K264" s="98" t="s">
        <v>412</v>
      </c>
    </row>
    <row r="265" spans="3:11">
      <c r="C265" s="141"/>
      <c r="D265" s="158"/>
      <c r="E265" s="123"/>
      <c r="F265" s="97">
        <f t="shared" si="9"/>
        <v>0</v>
      </c>
      <c r="G265" s="161"/>
      <c r="H265" s="142"/>
      <c r="I265" s="130" t="e">
        <f>VLOOKUP(H265,Presupuesto!$B$11:$C$565,2,0)</f>
        <v>#N/A</v>
      </c>
      <c r="J265" s="98" t="s">
        <v>1360</v>
      </c>
      <c r="K265" s="98" t="s">
        <v>412</v>
      </c>
    </row>
    <row r="266" spans="3:11">
      <c r="C266" s="141"/>
      <c r="D266" s="158"/>
      <c r="E266" s="123"/>
      <c r="F266" s="97">
        <f t="shared" si="9"/>
        <v>0</v>
      </c>
      <c r="G266" s="161"/>
      <c r="H266" s="142"/>
      <c r="I266" s="130" t="e">
        <f>VLOOKUP(H266,Presupuesto!$B$11:$C$565,2,0)</f>
        <v>#N/A</v>
      </c>
      <c r="J266" s="98" t="s">
        <v>1360</v>
      </c>
      <c r="K266" s="98" t="s">
        <v>401</v>
      </c>
    </row>
    <row r="267" spans="3:11">
      <c r="C267" s="141"/>
      <c r="D267" s="158"/>
      <c r="E267" s="123"/>
      <c r="F267" s="97">
        <f t="shared" si="9"/>
        <v>0</v>
      </c>
      <c r="G267" s="161"/>
      <c r="H267" s="142"/>
      <c r="I267" s="130" t="e">
        <f>VLOOKUP(H267,Presupuesto!$B$11:$C$565,2,0)</f>
        <v>#N/A</v>
      </c>
      <c r="J267" s="98" t="s">
        <v>1360</v>
      </c>
      <c r="K267" s="98" t="s">
        <v>412</v>
      </c>
    </row>
    <row r="268" spans="3:11">
      <c r="C268" s="141"/>
      <c r="D268" s="158"/>
      <c r="E268" s="123"/>
      <c r="F268" s="97">
        <f t="shared" si="9"/>
        <v>0</v>
      </c>
      <c r="G268" s="161"/>
      <c r="H268" s="142"/>
      <c r="I268" s="130" t="e">
        <f>VLOOKUP(H268,Presupuesto!$B$11:$C$565,2,0)</f>
        <v>#N/A</v>
      </c>
      <c r="J268" s="98" t="s">
        <v>1360</v>
      </c>
      <c r="K268" s="98" t="s">
        <v>412</v>
      </c>
    </row>
    <row r="269" spans="3:11">
      <c r="C269" s="141"/>
      <c r="D269" s="158"/>
      <c r="E269" s="123"/>
      <c r="F269" s="97">
        <f t="shared" si="9"/>
        <v>0</v>
      </c>
      <c r="G269" s="161"/>
      <c r="H269" s="142"/>
      <c r="I269" s="130" t="e">
        <f>VLOOKUP(H269,Presupuesto!$B$11:$C$565,2,0)</f>
        <v>#N/A</v>
      </c>
      <c r="J269" s="98" t="s">
        <v>1360</v>
      </c>
      <c r="K269" s="98" t="s">
        <v>412</v>
      </c>
    </row>
    <row r="270" spans="3:11">
      <c r="C270" s="141"/>
      <c r="D270" s="158"/>
      <c r="E270" s="123"/>
      <c r="F270" s="97">
        <f t="shared" si="9"/>
        <v>0</v>
      </c>
      <c r="G270" s="161"/>
      <c r="H270" s="142"/>
      <c r="I270" s="130" t="e">
        <f>VLOOKUP(H270,Presupuesto!$B$11:$C$565,2,0)</f>
        <v>#N/A</v>
      </c>
      <c r="J270" s="98" t="s">
        <v>1360</v>
      </c>
      <c r="K270" s="98" t="s">
        <v>412</v>
      </c>
    </row>
    <row r="271" spans="3:11">
      <c r="C271" s="141"/>
      <c r="D271" s="158"/>
      <c r="E271" s="123"/>
      <c r="F271" s="97">
        <f t="shared" si="9"/>
        <v>0</v>
      </c>
      <c r="G271" s="161"/>
      <c r="H271" s="142"/>
      <c r="I271" s="130" t="e">
        <f>VLOOKUP(H271,Presupuesto!$B$11:$C$565,2,0)</f>
        <v>#N/A</v>
      </c>
      <c r="J271" s="98" t="s">
        <v>1360</v>
      </c>
      <c r="K271" s="98" t="s">
        <v>412</v>
      </c>
    </row>
    <row r="272" spans="3:11">
      <c r="C272" s="141"/>
      <c r="D272" s="158"/>
      <c r="E272" s="123"/>
      <c r="F272" s="97">
        <f t="shared" si="9"/>
        <v>0</v>
      </c>
      <c r="G272" s="161"/>
      <c r="H272" s="142"/>
      <c r="I272" s="130" t="e">
        <f>VLOOKUP(H272,Presupuesto!$B$11:$C$565,2,0)</f>
        <v>#N/A</v>
      </c>
      <c r="J272" s="98" t="s">
        <v>1360</v>
      </c>
      <c r="K272" s="98" t="s">
        <v>412</v>
      </c>
    </row>
    <row r="273" spans="3:11">
      <c r="C273" s="141"/>
      <c r="D273" s="158"/>
      <c r="E273" s="123"/>
      <c r="F273" s="97">
        <f t="shared" si="9"/>
        <v>0</v>
      </c>
      <c r="G273" s="161"/>
      <c r="H273" s="142"/>
      <c r="I273" s="130" t="e">
        <f>VLOOKUP(H273,Presupuesto!$B$11:$C$565,2,0)</f>
        <v>#N/A</v>
      </c>
      <c r="J273" s="98" t="s">
        <v>1360</v>
      </c>
      <c r="K273" s="98" t="s">
        <v>412</v>
      </c>
    </row>
    <row r="274" spans="3:11">
      <c r="C274" s="141"/>
      <c r="D274" s="158"/>
      <c r="E274" s="123"/>
      <c r="F274" s="97">
        <f t="shared" si="9"/>
        <v>0</v>
      </c>
      <c r="G274" s="161"/>
      <c r="H274" s="142"/>
      <c r="I274" s="130" t="e">
        <f>VLOOKUP(H274,Presupuesto!$B$11:$C$565,2,0)</f>
        <v>#N/A</v>
      </c>
      <c r="J274" s="98" t="s">
        <v>1360</v>
      </c>
      <c r="K274" s="98" t="s">
        <v>412</v>
      </c>
    </row>
    <row r="275" spans="3:11">
      <c r="C275" s="141"/>
      <c r="D275" s="158"/>
      <c r="E275" s="123"/>
      <c r="F275" s="97">
        <f t="shared" si="9"/>
        <v>0</v>
      </c>
      <c r="G275" s="161"/>
      <c r="H275" s="142"/>
      <c r="I275" s="130" t="e">
        <f>VLOOKUP(H275,Presupuesto!$B$11:$C$565,2,0)</f>
        <v>#N/A</v>
      </c>
      <c r="J275" s="98" t="s">
        <v>1360</v>
      </c>
      <c r="K275" s="98" t="s">
        <v>412</v>
      </c>
    </row>
    <row r="276" spans="3:11">
      <c r="C276" s="141"/>
      <c r="D276" s="158"/>
      <c r="E276" s="123"/>
      <c r="F276" s="97">
        <f t="shared" si="9"/>
        <v>0</v>
      </c>
      <c r="G276" s="161"/>
      <c r="H276" s="142"/>
      <c r="I276" s="130" t="e">
        <f>VLOOKUP(H276,Presupuesto!$B$11:$C$565,2,0)</f>
        <v>#N/A</v>
      </c>
      <c r="J276" s="98" t="s">
        <v>1360</v>
      </c>
      <c r="K276" s="98" t="s">
        <v>412</v>
      </c>
    </row>
    <row r="277" spans="3:11">
      <c r="C277" s="141"/>
      <c r="D277" s="158"/>
      <c r="E277" s="123"/>
      <c r="F277" s="97">
        <f t="shared" si="9"/>
        <v>0</v>
      </c>
      <c r="G277" s="161"/>
      <c r="H277" s="142"/>
      <c r="I277" s="130" t="e">
        <f>VLOOKUP(H277,Presupuesto!$B$11:$C$565,2,0)</f>
        <v>#N/A</v>
      </c>
      <c r="J277" s="98" t="s">
        <v>1360</v>
      </c>
      <c r="K277" s="98" t="s">
        <v>412</v>
      </c>
    </row>
    <row r="278" spans="3:11">
      <c r="C278" s="141"/>
      <c r="D278" s="158"/>
      <c r="E278" s="123"/>
      <c r="F278" s="97">
        <f t="shared" si="9"/>
        <v>0</v>
      </c>
      <c r="G278" s="161"/>
      <c r="H278" s="142"/>
      <c r="I278" s="130" t="e">
        <f>VLOOKUP(H278,Presupuesto!$B$11:$C$565,2,0)</f>
        <v>#N/A</v>
      </c>
      <c r="J278" s="98" t="s">
        <v>1360</v>
      </c>
      <c r="K278" s="98" t="s">
        <v>412</v>
      </c>
    </row>
    <row r="279" spans="3:11">
      <c r="C279" s="141"/>
      <c r="D279" s="158"/>
      <c r="E279" s="123"/>
      <c r="F279" s="97">
        <f t="shared" si="9"/>
        <v>0</v>
      </c>
      <c r="G279" s="161"/>
      <c r="H279" s="142"/>
      <c r="I279" s="130" t="e">
        <f>VLOOKUP(H279,Presupuesto!$B$11:$C$565,2,0)</f>
        <v>#N/A</v>
      </c>
      <c r="J279" s="98" t="s">
        <v>1360</v>
      </c>
      <c r="K279" s="98" t="s">
        <v>412</v>
      </c>
    </row>
    <row r="280" spans="3:11">
      <c r="C280" s="141"/>
      <c r="D280" s="158"/>
      <c r="E280" s="123"/>
      <c r="F280" s="97">
        <f t="shared" si="9"/>
        <v>0</v>
      </c>
      <c r="G280" s="161"/>
      <c r="H280" s="142"/>
      <c r="I280" s="130" t="e">
        <f>VLOOKUP(H280,Presupuesto!$B$11:$C$565,2,0)</f>
        <v>#N/A</v>
      </c>
      <c r="J280" s="98" t="s">
        <v>1360</v>
      </c>
      <c r="K280" s="98" t="s">
        <v>412</v>
      </c>
    </row>
    <row r="281" spans="3:11">
      <c r="C281" s="141"/>
      <c r="D281" s="158"/>
      <c r="E281" s="123"/>
      <c r="F281" s="97">
        <f t="shared" si="9"/>
        <v>0</v>
      </c>
      <c r="G281" s="161"/>
      <c r="H281" s="142"/>
      <c r="I281" s="130" t="e">
        <f>VLOOKUP(H281,Presupuesto!$B$11:$C$565,2,0)</f>
        <v>#N/A</v>
      </c>
      <c r="J281" s="98" t="s">
        <v>1360</v>
      </c>
      <c r="K281" s="98" t="s">
        <v>412</v>
      </c>
    </row>
    <row r="282" spans="3:11">
      <c r="C282" s="141"/>
      <c r="D282" s="158"/>
      <c r="E282" s="123"/>
      <c r="F282" s="97">
        <f t="shared" si="9"/>
        <v>0</v>
      </c>
      <c r="G282" s="161"/>
      <c r="H282" s="142"/>
      <c r="I282" s="130" t="e">
        <f>VLOOKUP(H282,Presupuesto!$B$11:$C$565,2,0)</f>
        <v>#N/A</v>
      </c>
      <c r="J282" s="98" t="s">
        <v>1360</v>
      </c>
      <c r="K282" s="98" t="s">
        <v>412</v>
      </c>
    </row>
    <row r="283" spans="3:11">
      <c r="C283" s="143"/>
      <c r="D283" s="151"/>
      <c r="E283" s="118"/>
      <c r="F283" s="97">
        <f t="shared" si="9"/>
        <v>0</v>
      </c>
      <c r="G283" s="161"/>
      <c r="H283" s="144"/>
      <c r="I283" s="130" t="e">
        <f>VLOOKUP(H283,Presupuesto!$B$11:$C$565,2,0)</f>
        <v>#N/A</v>
      </c>
      <c r="J283" s="98" t="s">
        <v>1360</v>
      </c>
      <c r="K283" s="98" t="s">
        <v>412</v>
      </c>
    </row>
    <row r="284" spans="3:11">
      <c r="C284" s="143"/>
      <c r="D284" s="151"/>
      <c r="E284" s="118"/>
      <c r="F284" s="97">
        <f t="shared" si="9"/>
        <v>0</v>
      </c>
      <c r="G284" s="161"/>
      <c r="H284" s="144"/>
      <c r="I284" s="130" t="e">
        <f>VLOOKUP(H284,Presupuesto!$B$11:$C$565,2,0)</f>
        <v>#N/A</v>
      </c>
      <c r="J284" s="98" t="s">
        <v>1360</v>
      </c>
      <c r="K284" s="98" t="s">
        <v>412</v>
      </c>
    </row>
    <row r="285" spans="3:11">
      <c r="C285" s="143"/>
      <c r="D285" s="151"/>
      <c r="E285" s="118"/>
      <c r="F285" s="97">
        <f t="shared" si="9"/>
        <v>0</v>
      </c>
      <c r="G285" s="161"/>
      <c r="H285" s="144"/>
      <c r="I285" s="130" t="e">
        <f>VLOOKUP(H285,Presupuesto!$B$11:$C$565,2,0)</f>
        <v>#N/A</v>
      </c>
      <c r="J285" s="98" t="s">
        <v>1360</v>
      </c>
      <c r="K285" s="98" t="s">
        <v>412</v>
      </c>
    </row>
    <row r="286" spans="3:11">
      <c r="C286" s="143"/>
      <c r="D286" s="151"/>
      <c r="E286" s="118"/>
      <c r="F286" s="97">
        <f t="shared" si="9"/>
        <v>0</v>
      </c>
      <c r="G286" s="161"/>
      <c r="H286" s="144"/>
      <c r="I286" s="130" t="e">
        <f>VLOOKUP(H286,Presupuesto!$B$11:$C$565,2,0)</f>
        <v>#N/A</v>
      </c>
      <c r="J286" s="98" t="s">
        <v>1360</v>
      </c>
      <c r="K286" s="98" t="s">
        <v>412</v>
      </c>
    </row>
    <row r="287" spans="3:11">
      <c r="C287" s="143"/>
      <c r="D287" s="151"/>
      <c r="E287" s="118"/>
      <c r="F287" s="97">
        <f t="shared" si="9"/>
        <v>0</v>
      </c>
      <c r="G287" s="161"/>
      <c r="H287" s="144"/>
      <c r="I287" s="130" t="e">
        <f>VLOOKUP(H287,Presupuesto!$B$11:$C$565,2,0)</f>
        <v>#N/A</v>
      </c>
      <c r="J287" s="98" t="s">
        <v>1360</v>
      </c>
      <c r="K287" s="98" t="s">
        <v>412</v>
      </c>
    </row>
    <row r="288" spans="3:11">
      <c r="C288" s="143"/>
      <c r="D288" s="151"/>
      <c r="E288" s="118"/>
      <c r="F288" s="97">
        <f t="shared" si="9"/>
        <v>0</v>
      </c>
      <c r="G288" s="161"/>
      <c r="H288" s="144"/>
      <c r="I288" s="130" t="e">
        <f>VLOOKUP(H288,Presupuesto!$B$11:$C$565,2,0)</f>
        <v>#N/A</v>
      </c>
      <c r="J288" s="98" t="s">
        <v>1360</v>
      </c>
      <c r="K288" s="98" t="s">
        <v>412</v>
      </c>
    </row>
    <row r="289" spans="3:11">
      <c r="C289" s="143"/>
      <c r="D289" s="151"/>
      <c r="E289" s="118"/>
      <c r="F289" s="97">
        <f t="shared" si="9"/>
        <v>0</v>
      </c>
      <c r="G289" s="161"/>
      <c r="H289" s="144"/>
      <c r="I289" s="130" t="e">
        <f>VLOOKUP(H289,Presupuesto!$B$11:$C$565,2,0)</f>
        <v>#N/A</v>
      </c>
      <c r="J289" s="98" t="s">
        <v>1360</v>
      </c>
      <c r="K289" s="98" t="s">
        <v>412</v>
      </c>
    </row>
    <row r="290" spans="3:11">
      <c r="C290" s="143"/>
      <c r="D290" s="151"/>
      <c r="E290" s="118"/>
      <c r="F290" s="97">
        <f t="shared" si="9"/>
        <v>0</v>
      </c>
      <c r="G290" s="161"/>
      <c r="H290" s="144"/>
      <c r="I290" s="130" t="e">
        <f>VLOOKUP(H290,Presupuesto!$B$11:$C$565,2,0)</f>
        <v>#N/A</v>
      </c>
      <c r="J290" s="98" t="s">
        <v>1360</v>
      </c>
      <c r="K290" s="98" t="s">
        <v>412</v>
      </c>
    </row>
    <row r="291" spans="3:11">
      <c r="C291" s="145"/>
      <c r="D291" s="151"/>
      <c r="E291" s="118"/>
      <c r="F291" s="97">
        <f t="shared" si="9"/>
        <v>0</v>
      </c>
      <c r="G291" s="161"/>
      <c r="H291" s="146"/>
      <c r="I291" s="130" t="e">
        <f>VLOOKUP(H291,Presupuesto!$B$11:$C$565,2,0)</f>
        <v>#N/A</v>
      </c>
      <c r="J291" s="98" t="s">
        <v>1360</v>
      </c>
      <c r="K291" s="98" t="s">
        <v>403</v>
      </c>
    </row>
    <row r="292" spans="3:11">
      <c r="C292" s="145"/>
      <c r="D292" s="151"/>
      <c r="E292" s="118"/>
      <c r="F292" s="97">
        <f t="shared" si="9"/>
        <v>0</v>
      </c>
      <c r="G292" s="161"/>
      <c r="H292" s="146"/>
      <c r="I292" s="130" t="e">
        <f>VLOOKUP(H292,Presupuesto!$B$11:$C$565,2,0)</f>
        <v>#N/A</v>
      </c>
      <c r="J292" s="98" t="s">
        <v>1360</v>
      </c>
      <c r="K292" s="98" t="s">
        <v>412</v>
      </c>
    </row>
    <row r="293" spans="3:11">
      <c r="C293" s="145"/>
      <c r="D293" s="151"/>
      <c r="E293" s="118"/>
      <c r="F293" s="97">
        <f t="shared" si="9"/>
        <v>0</v>
      </c>
      <c r="G293" s="161"/>
      <c r="H293" s="146"/>
      <c r="I293" s="130" t="e">
        <f>VLOOKUP(H293,Presupuesto!$B$11:$C$565,2,0)</f>
        <v>#N/A</v>
      </c>
      <c r="J293" s="98" t="s">
        <v>1360</v>
      </c>
      <c r="K293" s="98" t="s">
        <v>412</v>
      </c>
    </row>
    <row r="294" spans="3:11">
      <c r="C294" s="145"/>
      <c r="D294" s="151"/>
      <c r="E294" s="118"/>
      <c r="F294" s="97">
        <f t="shared" si="9"/>
        <v>0</v>
      </c>
      <c r="G294" s="161"/>
      <c r="H294" s="146"/>
      <c r="I294" s="130" t="e">
        <f>VLOOKUP(H294,Presupuesto!$B$11:$C$565,2,0)</f>
        <v>#N/A</v>
      </c>
      <c r="J294" s="98" t="s">
        <v>1360</v>
      </c>
      <c r="K294" s="98" t="s">
        <v>412</v>
      </c>
    </row>
    <row r="295" spans="3:11" ht="15.75" thickBot="1">
      <c r="C295" s="147"/>
      <c r="D295" s="159"/>
      <c r="E295" s="103"/>
      <c r="F295" s="105">
        <f t="shared" si="9"/>
        <v>0</v>
      </c>
      <c r="G295" s="162"/>
      <c r="H295" s="148"/>
      <c r="I295" s="132" t="e">
        <f>VLOOKUP(H295,Presupuesto!$B$11:$C$565,2,0)</f>
        <v>#N/A</v>
      </c>
      <c r="J295" s="98" t="s">
        <v>1360</v>
      </c>
      <c r="K295" s="124" t="s">
        <v>394</v>
      </c>
    </row>
    <row r="297" spans="3:11" ht="15.75" thickBot="1">
      <c r="F297" s="90"/>
      <c r="G297" s="89"/>
      <c r="H297" s="90"/>
      <c r="I297" s="90"/>
    </row>
    <row r="298" spans="3:11" ht="15.75" thickBot="1">
      <c r="C298" s="157" t="s">
        <v>53</v>
      </c>
      <c r="D298" s="374">
        <f>SUM(F305:F338)</f>
        <v>55000</v>
      </c>
      <c r="F298" s="70"/>
      <c r="G298" s="79"/>
      <c r="H298" s="70"/>
      <c r="I298" s="70"/>
    </row>
    <row r="299" spans="3:11">
      <c r="C299" s="70"/>
      <c r="D299" s="31"/>
      <c r="E299" s="93"/>
      <c r="F299" s="93"/>
      <c r="G299" s="93"/>
      <c r="H299" s="76"/>
      <c r="I299" s="76"/>
      <c r="J299" s="76"/>
      <c r="K299" s="112"/>
    </row>
    <row r="300" spans="3:11">
      <c r="C300" s="70"/>
      <c r="D300" s="31"/>
      <c r="E300" s="93"/>
      <c r="F300" s="93"/>
      <c r="G300" s="93"/>
      <c r="H300" s="76"/>
      <c r="I300" s="76"/>
      <c r="J300" s="76"/>
      <c r="K300" s="112"/>
    </row>
    <row r="301" spans="3:11" ht="15.75">
      <c r="C301" s="202" t="s">
        <v>392</v>
      </c>
      <c r="D301" s="370">
        <v>7.8</v>
      </c>
      <c r="E301" s="93"/>
      <c r="F301" s="93"/>
      <c r="G301" s="93"/>
      <c r="H301" s="76"/>
      <c r="I301" s="76"/>
      <c r="J301" s="76"/>
      <c r="K301" s="112"/>
    </row>
    <row r="302" spans="3:11" ht="18.75">
      <c r="C302" s="211" t="str">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Impresión de fotografías para exhibición itinerante de la Fototeca Nacional Universitaria</v>
      </c>
      <c r="D302" s="31"/>
      <c r="E302" s="93"/>
      <c r="F302" s="93"/>
      <c r="G302" s="93"/>
      <c r="H302" s="76"/>
      <c r="I302" s="76"/>
      <c r="J302" s="76"/>
      <c r="K302" s="112"/>
    </row>
    <row r="303" spans="3:11" ht="15.75" thickBot="1">
      <c r="F303" s="93"/>
      <c r="G303" s="76"/>
      <c r="H303" s="76"/>
      <c r="I303" s="76"/>
    </row>
    <row r="304" spans="3:11" ht="30.75" thickBot="1">
      <c r="C304" s="129" t="s">
        <v>44</v>
      </c>
      <c r="D304" s="129" t="s">
        <v>55</v>
      </c>
      <c r="E304" s="136" t="s">
        <v>57</v>
      </c>
      <c r="F304" s="135" t="s">
        <v>27</v>
      </c>
      <c r="G304" s="133" t="s">
        <v>131</v>
      </c>
      <c r="H304" s="136" t="s">
        <v>46</v>
      </c>
      <c r="I304" s="133" t="s">
        <v>132</v>
      </c>
      <c r="J304" s="133" t="s">
        <v>410</v>
      </c>
      <c r="K304" s="133" t="s">
        <v>411</v>
      </c>
    </row>
    <row r="305" spans="3:11" ht="30">
      <c r="C305" s="550" t="s">
        <v>1629</v>
      </c>
      <c r="D305" s="158">
        <v>20</v>
      </c>
      <c r="E305" s="123">
        <v>2000</v>
      </c>
      <c r="F305" s="97">
        <f t="shared" ref="F305:F338" si="10">D305*E305</f>
        <v>40000</v>
      </c>
      <c r="G305" s="161" t="s">
        <v>1508</v>
      </c>
      <c r="H305" s="142" t="s">
        <v>717</v>
      </c>
      <c r="I305" s="130" t="str">
        <f>VLOOKUP(H305,Presupuesto!$B$11:$C$565,2,0)</f>
        <v>SERVICIOS DE IMPRENTA PUBLIC.Y REPRODUCCION</v>
      </c>
      <c r="J305" s="98" t="s">
        <v>1360</v>
      </c>
      <c r="K305" s="98" t="s">
        <v>412</v>
      </c>
    </row>
    <row r="306" spans="3:11">
      <c r="C306" s="141" t="s">
        <v>1628</v>
      </c>
      <c r="D306" s="158">
        <v>5</v>
      </c>
      <c r="E306" s="123">
        <v>3000</v>
      </c>
      <c r="F306" s="97">
        <f t="shared" si="10"/>
        <v>15000</v>
      </c>
      <c r="G306" s="161" t="s">
        <v>1508</v>
      </c>
      <c r="H306" s="142" t="s">
        <v>743</v>
      </c>
      <c r="I306" s="130" t="str">
        <f>VLOOKUP(H306,Presupuesto!$B$11:$C$565,2,0)</f>
        <v>OTROS SERVICIOS COMERCIALES Y FINANCIEROS</v>
      </c>
      <c r="J306" s="98" t="s">
        <v>1360</v>
      </c>
      <c r="K306" s="98" t="s">
        <v>412</v>
      </c>
    </row>
    <row r="307" spans="3:11">
      <c r="C307" s="141"/>
      <c r="D307" s="158"/>
      <c r="E307" s="123"/>
      <c r="F307" s="97">
        <f t="shared" si="10"/>
        <v>0</v>
      </c>
      <c r="G307" s="161"/>
      <c r="H307" s="142"/>
      <c r="I307" s="130" t="e">
        <f>VLOOKUP(H307,Presupuesto!$B$11:$C$565,2,0)</f>
        <v>#N/A</v>
      </c>
      <c r="J307" s="98" t="s">
        <v>1360</v>
      </c>
      <c r="K307" s="98" t="s">
        <v>412</v>
      </c>
    </row>
    <row r="308" spans="3:11">
      <c r="C308" s="141"/>
      <c r="D308" s="158"/>
      <c r="E308" s="123"/>
      <c r="F308" s="97">
        <f t="shared" si="10"/>
        <v>0</v>
      </c>
      <c r="G308" s="161"/>
      <c r="H308" s="142"/>
      <c r="I308" s="130" t="e">
        <f>VLOOKUP(H308,Presupuesto!$B$11:$C$565,2,0)</f>
        <v>#N/A</v>
      </c>
      <c r="J308" s="98" t="s">
        <v>1360</v>
      </c>
      <c r="K308" s="98" t="s">
        <v>412</v>
      </c>
    </row>
    <row r="309" spans="3:11">
      <c r="C309" s="141"/>
      <c r="D309" s="158"/>
      <c r="E309" s="123"/>
      <c r="F309" s="97">
        <f t="shared" si="10"/>
        <v>0</v>
      </c>
      <c r="G309" s="161"/>
      <c r="H309" s="142"/>
      <c r="I309" s="130" t="e">
        <f>VLOOKUP(H309,Presupuesto!$B$11:$C$565,2,0)</f>
        <v>#N/A</v>
      </c>
      <c r="J309" s="98" t="s">
        <v>1360</v>
      </c>
      <c r="K309" s="98" t="s">
        <v>401</v>
      </c>
    </row>
    <row r="310" spans="3:11">
      <c r="C310" s="141"/>
      <c r="D310" s="158"/>
      <c r="E310" s="123"/>
      <c r="F310" s="97">
        <f t="shared" si="10"/>
        <v>0</v>
      </c>
      <c r="G310" s="161"/>
      <c r="H310" s="142"/>
      <c r="I310" s="130" t="e">
        <f>VLOOKUP(H310,Presupuesto!$B$11:$C$565,2,0)</f>
        <v>#N/A</v>
      </c>
      <c r="J310" s="98" t="s">
        <v>1360</v>
      </c>
      <c r="K310" s="98" t="s">
        <v>412</v>
      </c>
    </row>
    <row r="311" spans="3:11">
      <c r="C311" s="141"/>
      <c r="D311" s="158"/>
      <c r="E311" s="123"/>
      <c r="F311" s="97">
        <f t="shared" si="10"/>
        <v>0</v>
      </c>
      <c r="G311" s="161"/>
      <c r="H311" s="142"/>
      <c r="I311" s="130" t="e">
        <f>VLOOKUP(H311,Presupuesto!$B$11:$C$565,2,0)</f>
        <v>#N/A</v>
      </c>
      <c r="J311" s="98" t="s">
        <v>1360</v>
      </c>
      <c r="K311" s="98" t="s">
        <v>412</v>
      </c>
    </row>
    <row r="312" spans="3:11">
      <c r="C312" s="141"/>
      <c r="D312" s="158"/>
      <c r="E312" s="123"/>
      <c r="F312" s="97">
        <f t="shared" si="10"/>
        <v>0</v>
      </c>
      <c r="G312" s="161"/>
      <c r="H312" s="142"/>
      <c r="I312" s="130" t="e">
        <f>VLOOKUP(H312,Presupuesto!$B$11:$C$565,2,0)</f>
        <v>#N/A</v>
      </c>
      <c r="J312" s="98" t="s">
        <v>1360</v>
      </c>
      <c r="K312" s="98" t="s">
        <v>412</v>
      </c>
    </row>
    <row r="313" spans="3:11">
      <c r="C313" s="141"/>
      <c r="D313" s="158"/>
      <c r="E313" s="123"/>
      <c r="F313" s="97">
        <f t="shared" si="10"/>
        <v>0</v>
      </c>
      <c r="G313" s="161"/>
      <c r="H313" s="142"/>
      <c r="I313" s="130" t="e">
        <f>VLOOKUP(H313,Presupuesto!$B$11:$C$565,2,0)</f>
        <v>#N/A</v>
      </c>
      <c r="J313" s="98" t="s">
        <v>1360</v>
      </c>
      <c r="K313" s="98" t="s">
        <v>412</v>
      </c>
    </row>
    <row r="314" spans="3:11">
      <c r="C314" s="141"/>
      <c r="D314" s="158"/>
      <c r="E314" s="123"/>
      <c r="F314" s="97">
        <f t="shared" si="10"/>
        <v>0</v>
      </c>
      <c r="G314" s="161"/>
      <c r="H314" s="142"/>
      <c r="I314" s="130" t="e">
        <f>VLOOKUP(H314,Presupuesto!$B$11:$C$565,2,0)</f>
        <v>#N/A</v>
      </c>
      <c r="J314" s="98" t="s">
        <v>1360</v>
      </c>
      <c r="K314" s="98" t="s">
        <v>412</v>
      </c>
    </row>
    <row r="315" spans="3:11">
      <c r="C315" s="141"/>
      <c r="D315" s="158"/>
      <c r="E315" s="123"/>
      <c r="F315" s="97">
        <f t="shared" si="10"/>
        <v>0</v>
      </c>
      <c r="G315" s="161"/>
      <c r="H315" s="142"/>
      <c r="I315" s="130" t="e">
        <f>VLOOKUP(H315,Presupuesto!$B$11:$C$565,2,0)</f>
        <v>#N/A</v>
      </c>
      <c r="J315" s="98" t="s">
        <v>1360</v>
      </c>
      <c r="K315" s="98" t="s">
        <v>412</v>
      </c>
    </row>
    <row r="316" spans="3:11">
      <c r="C316" s="141"/>
      <c r="D316" s="158"/>
      <c r="E316" s="123"/>
      <c r="F316" s="97">
        <f t="shared" si="10"/>
        <v>0</v>
      </c>
      <c r="G316" s="161"/>
      <c r="H316" s="142"/>
      <c r="I316" s="130" t="e">
        <f>VLOOKUP(H316,Presupuesto!$B$11:$C$565,2,0)</f>
        <v>#N/A</v>
      </c>
      <c r="J316" s="98" t="s">
        <v>1360</v>
      </c>
      <c r="K316" s="98" t="s">
        <v>412</v>
      </c>
    </row>
    <row r="317" spans="3:11">
      <c r="C317" s="141"/>
      <c r="D317" s="158"/>
      <c r="E317" s="123"/>
      <c r="F317" s="97">
        <f t="shared" si="10"/>
        <v>0</v>
      </c>
      <c r="G317" s="161"/>
      <c r="H317" s="142"/>
      <c r="I317" s="130" t="e">
        <f>VLOOKUP(H317,Presupuesto!$B$11:$C$565,2,0)</f>
        <v>#N/A</v>
      </c>
      <c r="J317" s="98" t="s">
        <v>1360</v>
      </c>
      <c r="K317" s="98" t="s">
        <v>412</v>
      </c>
    </row>
    <row r="318" spans="3:11">
      <c r="C318" s="141"/>
      <c r="D318" s="158"/>
      <c r="E318" s="123"/>
      <c r="F318" s="97">
        <f t="shared" si="10"/>
        <v>0</v>
      </c>
      <c r="G318" s="161"/>
      <c r="H318" s="142"/>
      <c r="I318" s="130" t="e">
        <f>VLOOKUP(H318,Presupuesto!$B$11:$C$565,2,0)</f>
        <v>#N/A</v>
      </c>
      <c r="J318" s="98" t="s">
        <v>1360</v>
      </c>
      <c r="K318" s="98" t="s">
        <v>412</v>
      </c>
    </row>
    <row r="319" spans="3:11">
      <c r="C319" s="141"/>
      <c r="D319" s="158"/>
      <c r="E319" s="123"/>
      <c r="F319" s="97">
        <f t="shared" si="10"/>
        <v>0</v>
      </c>
      <c r="G319" s="161"/>
      <c r="H319" s="142"/>
      <c r="I319" s="130" t="e">
        <f>VLOOKUP(H319,Presupuesto!$B$11:$C$565,2,0)</f>
        <v>#N/A</v>
      </c>
      <c r="J319" s="98" t="s">
        <v>1360</v>
      </c>
      <c r="K319" s="98" t="s">
        <v>412</v>
      </c>
    </row>
    <row r="320" spans="3:11">
      <c r="C320" s="141"/>
      <c r="D320" s="158"/>
      <c r="E320" s="123"/>
      <c r="F320" s="97">
        <f t="shared" si="10"/>
        <v>0</v>
      </c>
      <c r="G320" s="161"/>
      <c r="H320" s="142"/>
      <c r="I320" s="130" t="e">
        <f>VLOOKUP(H320,Presupuesto!$B$11:$C$565,2,0)</f>
        <v>#N/A</v>
      </c>
      <c r="J320" s="98" t="s">
        <v>1360</v>
      </c>
      <c r="K320" s="98" t="s">
        <v>412</v>
      </c>
    </row>
    <row r="321" spans="3:11">
      <c r="C321" s="141"/>
      <c r="D321" s="158"/>
      <c r="E321" s="123"/>
      <c r="F321" s="97">
        <f t="shared" si="10"/>
        <v>0</v>
      </c>
      <c r="G321" s="161"/>
      <c r="H321" s="142"/>
      <c r="I321" s="130" t="e">
        <f>VLOOKUP(H321,Presupuesto!$B$11:$C$565,2,0)</f>
        <v>#N/A</v>
      </c>
      <c r="J321" s="98" t="s">
        <v>1360</v>
      </c>
      <c r="K321" s="98" t="s">
        <v>412</v>
      </c>
    </row>
    <row r="322" spans="3:11">
      <c r="C322" s="141"/>
      <c r="D322" s="158"/>
      <c r="E322" s="123"/>
      <c r="F322" s="97">
        <f t="shared" si="10"/>
        <v>0</v>
      </c>
      <c r="G322" s="161"/>
      <c r="H322" s="142"/>
      <c r="I322" s="130" t="e">
        <f>VLOOKUP(H322,Presupuesto!$B$11:$C$565,2,0)</f>
        <v>#N/A</v>
      </c>
      <c r="J322" s="98" t="s">
        <v>1360</v>
      </c>
      <c r="K322" s="98" t="s">
        <v>412</v>
      </c>
    </row>
    <row r="323" spans="3:11">
      <c r="C323" s="141"/>
      <c r="D323" s="158"/>
      <c r="E323" s="123"/>
      <c r="F323" s="97">
        <f t="shared" si="10"/>
        <v>0</v>
      </c>
      <c r="G323" s="161"/>
      <c r="H323" s="142"/>
      <c r="I323" s="130" t="e">
        <f>VLOOKUP(H323,Presupuesto!$B$11:$C$565,2,0)</f>
        <v>#N/A</v>
      </c>
      <c r="J323" s="98" t="s">
        <v>1360</v>
      </c>
      <c r="K323" s="98" t="s">
        <v>412</v>
      </c>
    </row>
    <row r="324" spans="3:11">
      <c r="C324" s="141"/>
      <c r="D324" s="158"/>
      <c r="E324" s="123"/>
      <c r="F324" s="97">
        <f t="shared" si="10"/>
        <v>0</v>
      </c>
      <c r="G324" s="161"/>
      <c r="H324" s="142"/>
      <c r="I324" s="130" t="e">
        <f>VLOOKUP(H324,Presupuesto!$B$11:$C$565,2,0)</f>
        <v>#N/A</v>
      </c>
      <c r="J324" s="98" t="s">
        <v>1360</v>
      </c>
      <c r="K324" s="98" t="s">
        <v>412</v>
      </c>
    </row>
    <row r="325" spans="3:11">
      <c r="C325" s="141"/>
      <c r="D325" s="158"/>
      <c r="E325" s="123"/>
      <c r="F325" s="97">
        <f t="shared" si="10"/>
        <v>0</v>
      </c>
      <c r="G325" s="161"/>
      <c r="H325" s="142"/>
      <c r="I325" s="130" t="e">
        <f>VLOOKUP(H325,Presupuesto!$B$11:$C$565,2,0)</f>
        <v>#N/A</v>
      </c>
      <c r="J325" s="98" t="s">
        <v>1360</v>
      </c>
      <c r="K325" s="98" t="s">
        <v>412</v>
      </c>
    </row>
    <row r="326" spans="3:11">
      <c r="C326" s="143"/>
      <c r="D326" s="151"/>
      <c r="E326" s="118"/>
      <c r="F326" s="97">
        <f t="shared" si="10"/>
        <v>0</v>
      </c>
      <c r="G326" s="161"/>
      <c r="H326" s="144"/>
      <c r="I326" s="130" t="e">
        <f>VLOOKUP(H326,Presupuesto!$B$11:$C$565,2,0)</f>
        <v>#N/A</v>
      </c>
      <c r="J326" s="98" t="s">
        <v>1360</v>
      </c>
      <c r="K326" s="98" t="s">
        <v>412</v>
      </c>
    </row>
    <row r="327" spans="3:11">
      <c r="C327" s="143"/>
      <c r="D327" s="151"/>
      <c r="E327" s="118"/>
      <c r="F327" s="97">
        <f t="shared" si="10"/>
        <v>0</v>
      </c>
      <c r="G327" s="161"/>
      <c r="H327" s="144"/>
      <c r="I327" s="130" t="e">
        <f>VLOOKUP(H327,Presupuesto!$B$11:$C$565,2,0)</f>
        <v>#N/A</v>
      </c>
      <c r="J327" s="98" t="s">
        <v>1360</v>
      </c>
      <c r="K327" s="98" t="s">
        <v>412</v>
      </c>
    </row>
    <row r="328" spans="3:11">
      <c r="C328" s="143"/>
      <c r="D328" s="151"/>
      <c r="E328" s="118"/>
      <c r="F328" s="97">
        <f t="shared" si="10"/>
        <v>0</v>
      </c>
      <c r="G328" s="161"/>
      <c r="H328" s="144"/>
      <c r="I328" s="130" t="e">
        <f>VLOOKUP(H328,Presupuesto!$B$11:$C$565,2,0)</f>
        <v>#N/A</v>
      </c>
      <c r="J328" s="98" t="s">
        <v>1360</v>
      </c>
      <c r="K328" s="98" t="s">
        <v>412</v>
      </c>
    </row>
    <row r="329" spans="3:11">
      <c r="C329" s="143"/>
      <c r="D329" s="151"/>
      <c r="E329" s="118"/>
      <c r="F329" s="97">
        <f t="shared" si="10"/>
        <v>0</v>
      </c>
      <c r="G329" s="161"/>
      <c r="H329" s="144"/>
      <c r="I329" s="130" t="e">
        <f>VLOOKUP(H329,Presupuesto!$B$11:$C$565,2,0)</f>
        <v>#N/A</v>
      </c>
      <c r="J329" s="98" t="s">
        <v>1360</v>
      </c>
      <c r="K329" s="98" t="s">
        <v>412</v>
      </c>
    </row>
    <row r="330" spans="3:11">
      <c r="C330" s="143"/>
      <c r="D330" s="151"/>
      <c r="E330" s="118"/>
      <c r="F330" s="97">
        <f t="shared" si="10"/>
        <v>0</v>
      </c>
      <c r="G330" s="161"/>
      <c r="H330" s="144"/>
      <c r="I330" s="130" t="e">
        <f>VLOOKUP(H330,Presupuesto!$B$11:$C$565,2,0)</f>
        <v>#N/A</v>
      </c>
      <c r="J330" s="98" t="s">
        <v>1360</v>
      </c>
      <c r="K330" s="98" t="s">
        <v>412</v>
      </c>
    </row>
    <row r="331" spans="3:11">
      <c r="C331" s="143"/>
      <c r="D331" s="151"/>
      <c r="E331" s="118"/>
      <c r="F331" s="97">
        <f t="shared" si="10"/>
        <v>0</v>
      </c>
      <c r="G331" s="161"/>
      <c r="H331" s="144"/>
      <c r="I331" s="130" t="e">
        <f>VLOOKUP(H331,Presupuesto!$B$11:$C$565,2,0)</f>
        <v>#N/A</v>
      </c>
      <c r="J331" s="98" t="s">
        <v>1360</v>
      </c>
      <c r="K331" s="98" t="s">
        <v>412</v>
      </c>
    </row>
    <row r="332" spans="3:11">
      <c r="C332" s="143"/>
      <c r="D332" s="151"/>
      <c r="E332" s="118"/>
      <c r="F332" s="97">
        <f t="shared" si="10"/>
        <v>0</v>
      </c>
      <c r="G332" s="161"/>
      <c r="H332" s="144"/>
      <c r="I332" s="130" t="e">
        <f>VLOOKUP(H332,Presupuesto!$B$11:$C$565,2,0)</f>
        <v>#N/A</v>
      </c>
      <c r="J332" s="98" t="s">
        <v>1360</v>
      </c>
      <c r="K332" s="98" t="s">
        <v>412</v>
      </c>
    </row>
    <row r="333" spans="3:11">
      <c r="C333" s="143"/>
      <c r="D333" s="151"/>
      <c r="E333" s="118"/>
      <c r="F333" s="97">
        <f t="shared" si="10"/>
        <v>0</v>
      </c>
      <c r="G333" s="161"/>
      <c r="H333" s="144"/>
      <c r="I333" s="130" t="e">
        <f>VLOOKUP(H333,Presupuesto!$B$11:$C$565,2,0)</f>
        <v>#N/A</v>
      </c>
      <c r="J333" s="98" t="s">
        <v>1360</v>
      </c>
      <c r="K333" s="98" t="s">
        <v>412</v>
      </c>
    </row>
    <row r="334" spans="3:11">
      <c r="C334" s="145"/>
      <c r="D334" s="151"/>
      <c r="E334" s="118"/>
      <c r="F334" s="97">
        <f t="shared" si="10"/>
        <v>0</v>
      </c>
      <c r="G334" s="161"/>
      <c r="H334" s="146"/>
      <c r="I334" s="130" t="e">
        <f>VLOOKUP(H334,Presupuesto!$B$11:$C$565,2,0)</f>
        <v>#N/A</v>
      </c>
      <c r="J334" s="98" t="s">
        <v>1360</v>
      </c>
      <c r="K334" s="98" t="s">
        <v>403</v>
      </c>
    </row>
    <row r="335" spans="3:11">
      <c r="C335" s="145"/>
      <c r="D335" s="151"/>
      <c r="E335" s="118"/>
      <c r="F335" s="97">
        <f t="shared" si="10"/>
        <v>0</v>
      </c>
      <c r="G335" s="161"/>
      <c r="H335" s="146"/>
      <c r="I335" s="130" t="e">
        <f>VLOOKUP(H335,Presupuesto!$B$11:$C$565,2,0)</f>
        <v>#N/A</v>
      </c>
      <c r="J335" s="98" t="s">
        <v>1360</v>
      </c>
      <c r="K335" s="98" t="s">
        <v>412</v>
      </c>
    </row>
    <row r="336" spans="3:11">
      <c r="C336" s="145"/>
      <c r="D336" s="151"/>
      <c r="E336" s="118"/>
      <c r="F336" s="97">
        <f t="shared" si="10"/>
        <v>0</v>
      </c>
      <c r="G336" s="161"/>
      <c r="H336" s="146"/>
      <c r="I336" s="130" t="e">
        <f>VLOOKUP(H336,Presupuesto!$B$11:$C$565,2,0)</f>
        <v>#N/A</v>
      </c>
      <c r="J336" s="98" t="s">
        <v>1360</v>
      </c>
      <c r="K336" s="98" t="s">
        <v>412</v>
      </c>
    </row>
    <row r="337" spans="3:11">
      <c r="C337" s="145"/>
      <c r="D337" s="151"/>
      <c r="E337" s="118"/>
      <c r="F337" s="97">
        <f t="shared" si="10"/>
        <v>0</v>
      </c>
      <c r="G337" s="161"/>
      <c r="H337" s="146"/>
      <c r="I337" s="130" t="e">
        <f>VLOOKUP(H337,Presupuesto!$B$11:$C$565,2,0)</f>
        <v>#N/A</v>
      </c>
      <c r="J337" s="98" t="s">
        <v>1360</v>
      </c>
      <c r="K337" s="98" t="s">
        <v>412</v>
      </c>
    </row>
    <row r="338" spans="3:11" ht="15.75" thickBot="1">
      <c r="C338" s="147"/>
      <c r="D338" s="159"/>
      <c r="E338" s="103"/>
      <c r="F338" s="105">
        <f t="shared" si="10"/>
        <v>0</v>
      </c>
      <c r="G338" s="162"/>
      <c r="H338" s="148"/>
      <c r="I338" s="132" t="e">
        <f>VLOOKUP(H338,Presupuesto!$B$11:$C$565,2,0)</f>
        <v>#N/A</v>
      </c>
      <c r="J338" s="98" t="s">
        <v>1360</v>
      </c>
      <c r="K338" s="124" t="s">
        <v>394</v>
      </c>
    </row>
    <row r="341" spans="3:11" ht="15.75" thickBot="1"/>
    <row r="342" spans="3:11" ht="15.75" thickBot="1">
      <c r="C342" s="157" t="s">
        <v>53</v>
      </c>
      <c r="D342" s="374">
        <f>SUM(F349:F383)</f>
        <v>68837.5</v>
      </c>
      <c r="F342" s="70"/>
      <c r="G342" s="79"/>
      <c r="H342" s="70"/>
      <c r="I342" s="70"/>
    </row>
    <row r="343" spans="3:11">
      <c r="C343" s="70"/>
      <c r="D343" s="31"/>
      <c r="E343" s="93"/>
      <c r="F343" s="93"/>
      <c r="G343" s="93"/>
      <c r="H343" s="76"/>
      <c r="I343" s="76"/>
      <c r="J343" s="76"/>
      <c r="K343" s="112"/>
    </row>
    <row r="344" spans="3:11">
      <c r="C344" s="70"/>
      <c r="D344" s="31"/>
      <c r="E344" s="93"/>
      <c r="F344" s="93"/>
      <c r="G344" s="93"/>
      <c r="H344" s="76"/>
      <c r="I344" s="76"/>
      <c r="J344" s="76"/>
      <c r="K344" s="112"/>
    </row>
    <row r="345" spans="3:11" ht="15.75">
      <c r="C345" s="202" t="s">
        <v>392</v>
      </c>
      <c r="D345" s="370">
        <v>7.9</v>
      </c>
      <c r="E345" s="93"/>
      <c r="F345" s="93"/>
      <c r="G345" s="93"/>
      <c r="H345" s="76"/>
      <c r="I345" s="76"/>
      <c r="J345" s="76"/>
      <c r="K345" s="112"/>
    </row>
    <row r="346" spans="3:11" ht="18.75">
      <c r="C346" s="211" t="str">
        <f>IFERROR(VLOOKUP(D345,'1. Desarrollo e Innov. Curricu.'!$E:$F,2,FALSE),IFERROR(VLOOKUP(D345,'2. Investigación Científica'!$E:$F,2,FALSE),IFERROR(VLOOKUP(D345,'3. Vinculación Univ. Sociedad'!$E:$F,2,FALSE),IFERROR(VLOOKUP(D345,'4. Docencia y Profesorado Univ.'!$E:$F,2,FALSE),IFERROR(VLOOKUP(D345,'5. Estudiantes y Graduados'!$E:$F,2,FALSE),IFERROR(VLOOKUP(D345,'11. Gestion Administrativa'!$E:$F,2,FALSE),IFERROR(VLOOKUP(D345,'13. Gestión Académica'!$E:$F,2,FALSE),IFERROR(VLOOKUP(D345,'8. Asegura. de la Calid. y M'!$E:$F,2,FALSE),IFERROR(VLOOKUP(D345,'6. Gestión del Conocimiento'!$E:$F,2,FALSE),IFERROR(VLOOKUP(D345,'15. Gobernabilidad y Proceso...'!$E:$F,2,FALSE),IFERROR(VLOOKUP(D345,'12. Gestión del Talento Humano'!$E:$F,2,FALSE),IFERROR(VLOOKUP(D345,'14. Internacional... de la E.S.'!$E:$F,2,FALSE),IFERROR(VLOOKUP(D345,'10. Posgrado'!$E:$F,2,FALSE),IFERROR(VLOOKUP(D345,'17. Gestión TIC'!$E:$F,2,FALSE),IFERROR(VLOOKUP(D345,'16. Desa. del Sistema Educ.Sup.'!$E:$F,2,FALSE),IFERROR(VLOOKUP(D345,'9. Cultura de Inno. Insti...'!$E:$F,2,FALSE),VLOOKUP(D345,'7. Lo Esencial de la Reforma U.'!$E:$F,2,0)))))))))))))))))</f>
        <v>Gira itinerante de la fototeca Nacional Universitaria en los Centros Regionales universitarios.</v>
      </c>
      <c r="D346" s="31"/>
      <c r="E346" s="93"/>
      <c r="F346" s="93"/>
      <c r="G346" s="93"/>
      <c r="H346" s="76"/>
      <c r="I346" s="76"/>
      <c r="J346" s="76"/>
      <c r="K346" s="112"/>
    </row>
    <row r="347" spans="3:11" ht="15.75" thickBot="1">
      <c r="F347" s="93"/>
      <c r="G347" s="76"/>
      <c r="H347" s="76"/>
      <c r="I347" s="76"/>
    </row>
    <row r="348" spans="3:11" ht="30.75" thickBot="1">
      <c r="C348" s="129" t="s">
        <v>44</v>
      </c>
      <c r="D348" s="129" t="s">
        <v>55</v>
      </c>
      <c r="E348" s="136" t="s">
        <v>57</v>
      </c>
      <c r="F348" s="135" t="s">
        <v>27</v>
      </c>
      <c r="G348" s="133" t="s">
        <v>131</v>
      </c>
      <c r="H348" s="136" t="s">
        <v>46</v>
      </c>
      <c r="I348" s="133" t="s">
        <v>132</v>
      </c>
      <c r="J348" s="133" t="s">
        <v>410</v>
      </c>
      <c r="K348" s="133" t="s">
        <v>411</v>
      </c>
    </row>
    <row r="349" spans="3:11" ht="15.75" thickBot="1">
      <c r="C349" s="221" t="s">
        <v>424</v>
      </c>
      <c r="D349" s="222">
        <v>5</v>
      </c>
      <c r="E349" s="220">
        <v>6187.5</v>
      </c>
      <c r="F349" s="97">
        <f t="shared" ref="F349:F383" si="11">D349*E349</f>
        <v>30937.5</v>
      </c>
      <c r="G349" s="161" t="s">
        <v>1508</v>
      </c>
      <c r="H349" s="142" t="s">
        <v>761</v>
      </c>
      <c r="I349" s="130" t="str">
        <f>VLOOKUP(H349,Presupuesto!$B$11:$C$565,2,0)</f>
        <v>VIATICOS NACIONALES</v>
      </c>
      <c r="J349" s="219" t="s">
        <v>1360</v>
      </c>
      <c r="K349" s="98" t="s">
        <v>394</v>
      </c>
    </row>
    <row r="350" spans="3:11">
      <c r="C350" s="221" t="s">
        <v>425</v>
      </c>
      <c r="D350" s="158">
        <v>4</v>
      </c>
      <c r="E350" s="220">
        <v>3850</v>
      </c>
      <c r="F350" s="97">
        <f t="shared" si="11"/>
        <v>15400</v>
      </c>
      <c r="G350" s="161" t="s">
        <v>1508</v>
      </c>
      <c r="H350" s="142" t="s">
        <v>763</v>
      </c>
      <c r="I350" s="130" t="str">
        <f>VLOOKUP(H350,Presupuesto!$B$11:$C$565,2,0)</f>
        <v>VIATICOS NACIONALES</v>
      </c>
      <c r="J350" s="98" t="str">
        <f>$J$349</f>
        <v>Lo Esencial de la Reforma Universitaria</v>
      </c>
      <c r="K350" s="98" t="s">
        <v>412</v>
      </c>
    </row>
    <row r="351" spans="3:11">
      <c r="C351" s="141" t="s">
        <v>1630</v>
      </c>
      <c r="D351" s="158">
        <v>9</v>
      </c>
      <c r="E351" s="123">
        <v>2500</v>
      </c>
      <c r="F351" s="97">
        <f t="shared" si="11"/>
        <v>22500</v>
      </c>
      <c r="G351" s="161" t="s">
        <v>1508</v>
      </c>
      <c r="H351" s="142" t="s">
        <v>871</v>
      </c>
      <c r="I351" s="130" t="str">
        <f>VLOOKUP(H351,Presupuesto!$B$11:$C$565,2,0)</f>
        <v>GASOLINA</v>
      </c>
      <c r="J351" s="98" t="str">
        <f t="shared" ref="J351:J383" si="12">$J$349</f>
        <v>Lo Esencial de la Reforma Universitaria</v>
      </c>
      <c r="K351" s="98" t="s">
        <v>412</v>
      </c>
    </row>
    <row r="352" spans="3:11">
      <c r="C352" s="141"/>
      <c r="D352" s="158"/>
      <c r="E352" s="123"/>
      <c r="F352" s="97">
        <f t="shared" si="11"/>
        <v>0</v>
      </c>
      <c r="G352" s="161"/>
      <c r="H352" s="142"/>
      <c r="I352" s="130" t="e">
        <f>VLOOKUP(H352,Presupuesto!$B$11:$C$565,2,0)</f>
        <v>#N/A</v>
      </c>
      <c r="J352" s="98" t="str">
        <f t="shared" si="12"/>
        <v>Lo Esencial de la Reforma Universitaria</v>
      </c>
      <c r="K352" s="98" t="s">
        <v>412</v>
      </c>
    </row>
    <row r="353" spans="3:11">
      <c r="C353" s="141"/>
      <c r="D353" s="158"/>
      <c r="E353" s="123"/>
      <c r="F353" s="97">
        <f t="shared" si="11"/>
        <v>0</v>
      </c>
      <c r="G353" s="161"/>
      <c r="H353" s="142"/>
      <c r="I353" s="130" t="e">
        <f>VLOOKUP(H353,Presupuesto!$B$11:$C$565,2,0)</f>
        <v>#N/A</v>
      </c>
      <c r="J353" s="98" t="str">
        <f t="shared" si="12"/>
        <v>Lo Esencial de la Reforma Universitaria</v>
      </c>
      <c r="K353" s="98" t="s">
        <v>412</v>
      </c>
    </row>
    <row r="354" spans="3:11">
      <c r="C354" s="141"/>
      <c r="D354" s="158"/>
      <c r="E354" s="123"/>
      <c r="F354" s="97">
        <f t="shared" si="11"/>
        <v>0</v>
      </c>
      <c r="G354" s="161"/>
      <c r="H354" s="142"/>
      <c r="I354" s="130" t="e">
        <f>VLOOKUP(H354,Presupuesto!$B$11:$C$565,2,0)</f>
        <v>#N/A</v>
      </c>
      <c r="J354" s="98" t="str">
        <f t="shared" si="12"/>
        <v>Lo Esencial de la Reforma Universitaria</v>
      </c>
      <c r="K354" s="98" t="s">
        <v>401</v>
      </c>
    </row>
    <row r="355" spans="3:11">
      <c r="C355" s="141"/>
      <c r="D355" s="158"/>
      <c r="E355" s="123"/>
      <c r="F355" s="97">
        <f t="shared" si="11"/>
        <v>0</v>
      </c>
      <c r="G355" s="161"/>
      <c r="H355" s="142"/>
      <c r="I355" s="130" t="e">
        <f>VLOOKUP(H355,Presupuesto!$B$11:$C$565,2,0)</f>
        <v>#N/A</v>
      </c>
      <c r="J355" s="98" t="str">
        <f t="shared" si="12"/>
        <v>Lo Esencial de la Reforma Universitaria</v>
      </c>
      <c r="K355" s="98" t="s">
        <v>412</v>
      </c>
    </row>
    <row r="356" spans="3:11">
      <c r="C356" s="141"/>
      <c r="D356" s="158"/>
      <c r="E356" s="123"/>
      <c r="F356" s="97">
        <f t="shared" si="11"/>
        <v>0</v>
      </c>
      <c r="G356" s="161"/>
      <c r="H356" s="142"/>
      <c r="I356" s="130" t="e">
        <f>VLOOKUP(H356,Presupuesto!$B$11:$C$565,2,0)</f>
        <v>#N/A</v>
      </c>
      <c r="J356" s="98" t="str">
        <f t="shared" si="12"/>
        <v>Lo Esencial de la Reforma Universitaria</v>
      </c>
      <c r="K356" s="98" t="s">
        <v>412</v>
      </c>
    </row>
    <row r="357" spans="3:11">
      <c r="C357" s="141"/>
      <c r="D357" s="158"/>
      <c r="E357" s="123"/>
      <c r="F357" s="97">
        <f t="shared" si="11"/>
        <v>0</v>
      </c>
      <c r="G357" s="161"/>
      <c r="H357" s="142"/>
      <c r="I357" s="130" t="e">
        <f>VLOOKUP(H357,Presupuesto!$B$11:$C$565,2,0)</f>
        <v>#N/A</v>
      </c>
      <c r="J357" s="98" t="str">
        <f t="shared" si="12"/>
        <v>Lo Esencial de la Reforma Universitaria</v>
      </c>
      <c r="K357" s="98" t="s">
        <v>412</v>
      </c>
    </row>
    <row r="358" spans="3:11">
      <c r="C358" s="141"/>
      <c r="D358" s="158"/>
      <c r="E358" s="123"/>
      <c r="F358" s="97">
        <f t="shared" si="11"/>
        <v>0</v>
      </c>
      <c r="G358" s="161"/>
      <c r="H358" s="142"/>
      <c r="I358" s="130" t="e">
        <f>VLOOKUP(H358,Presupuesto!$B$11:$C$565,2,0)</f>
        <v>#N/A</v>
      </c>
      <c r="J358" s="98" t="str">
        <f t="shared" si="12"/>
        <v>Lo Esencial de la Reforma Universitaria</v>
      </c>
      <c r="K358" s="98" t="s">
        <v>412</v>
      </c>
    </row>
    <row r="359" spans="3:11">
      <c r="C359" s="141"/>
      <c r="D359" s="158"/>
      <c r="E359" s="123"/>
      <c r="F359" s="97">
        <f t="shared" si="11"/>
        <v>0</v>
      </c>
      <c r="G359" s="161"/>
      <c r="H359" s="142"/>
      <c r="I359" s="130" t="e">
        <f>VLOOKUP(H359,Presupuesto!$B$11:$C$565,2,0)</f>
        <v>#N/A</v>
      </c>
      <c r="J359" s="98" t="str">
        <f t="shared" si="12"/>
        <v>Lo Esencial de la Reforma Universitaria</v>
      </c>
      <c r="K359" s="98" t="s">
        <v>412</v>
      </c>
    </row>
    <row r="360" spans="3:11">
      <c r="C360" s="141"/>
      <c r="D360" s="158"/>
      <c r="E360" s="123"/>
      <c r="F360" s="97">
        <f t="shared" si="11"/>
        <v>0</v>
      </c>
      <c r="G360" s="161"/>
      <c r="H360" s="142"/>
      <c r="I360" s="130" t="e">
        <f>VLOOKUP(H360,Presupuesto!$B$11:$C$565,2,0)</f>
        <v>#N/A</v>
      </c>
      <c r="J360" s="98" t="str">
        <f t="shared" si="12"/>
        <v>Lo Esencial de la Reforma Universitaria</v>
      </c>
      <c r="K360" s="98" t="s">
        <v>412</v>
      </c>
    </row>
    <row r="361" spans="3:11">
      <c r="C361" s="141"/>
      <c r="D361" s="158"/>
      <c r="E361" s="123"/>
      <c r="F361" s="97">
        <f t="shared" si="11"/>
        <v>0</v>
      </c>
      <c r="G361" s="161"/>
      <c r="H361" s="142"/>
      <c r="I361" s="130" t="e">
        <f>VLOOKUP(H361,Presupuesto!$B$11:$C$565,2,0)</f>
        <v>#N/A</v>
      </c>
      <c r="J361" s="98" t="str">
        <f t="shared" si="12"/>
        <v>Lo Esencial de la Reforma Universitaria</v>
      </c>
      <c r="K361" s="98" t="s">
        <v>412</v>
      </c>
    </row>
    <row r="362" spans="3:11">
      <c r="C362" s="141"/>
      <c r="D362" s="158"/>
      <c r="E362" s="123"/>
      <c r="F362" s="97">
        <f t="shared" si="11"/>
        <v>0</v>
      </c>
      <c r="G362" s="161"/>
      <c r="H362" s="142"/>
      <c r="I362" s="130" t="e">
        <f>VLOOKUP(H362,Presupuesto!$B$11:$C$565,2,0)</f>
        <v>#N/A</v>
      </c>
      <c r="J362" s="98" t="str">
        <f t="shared" si="12"/>
        <v>Lo Esencial de la Reforma Universitaria</v>
      </c>
      <c r="K362" s="98" t="s">
        <v>412</v>
      </c>
    </row>
    <row r="363" spans="3:11">
      <c r="C363" s="141"/>
      <c r="D363" s="158"/>
      <c r="E363" s="123"/>
      <c r="F363" s="97">
        <f t="shared" si="11"/>
        <v>0</v>
      </c>
      <c r="G363" s="161"/>
      <c r="H363" s="142"/>
      <c r="I363" s="130" t="e">
        <f>VLOOKUP(H363,Presupuesto!$B$11:$C$565,2,0)</f>
        <v>#N/A</v>
      </c>
      <c r="J363" s="98" t="str">
        <f t="shared" si="12"/>
        <v>Lo Esencial de la Reforma Universitaria</v>
      </c>
      <c r="K363" s="98" t="s">
        <v>412</v>
      </c>
    </row>
    <row r="364" spans="3:11">
      <c r="C364" s="141"/>
      <c r="D364" s="158"/>
      <c r="E364" s="123"/>
      <c r="F364" s="97">
        <f t="shared" si="11"/>
        <v>0</v>
      </c>
      <c r="G364" s="161"/>
      <c r="H364" s="142"/>
      <c r="I364" s="130" t="e">
        <f>VLOOKUP(H364,Presupuesto!$B$11:$C$565,2,0)</f>
        <v>#N/A</v>
      </c>
      <c r="J364" s="98" t="str">
        <f t="shared" si="12"/>
        <v>Lo Esencial de la Reforma Universitaria</v>
      </c>
      <c r="K364" s="98" t="s">
        <v>412</v>
      </c>
    </row>
    <row r="365" spans="3:11">
      <c r="C365" s="141"/>
      <c r="D365" s="158"/>
      <c r="E365" s="123"/>
      <c r="F365" s="97">
        <f t="shared" si="11"/>
        <v>0</v>
      </c>
      <c r="G365" s="161"/>
      <c r="H365" s="142"/>
      <c r="I365" s="130" t="e">
        <f>VLOOKUP(H365,Presupuesto!$B$11:$C$565,2,0)</f>
        <v>#N/A</v>
      </c>
      <c r="J365" s="98" t="str">
        <f t="shared" si="12"/>
        <v>Lo Esencial de la Reforma Universitaria</v>
      </c>
      <c r="K365" s="98" t="s">
        <v>412</v>
      </c>
    </row>
    <row r="366" spans="3:11">
      <c r="C366" s="141"/>
      <c r="D366" s="158"/>
      <c r="E366" s="123"/>
      <c r="F366" s="97">
        <f t="shared" si="11"/>
        <v>0</v>
      </c>
      <c r="G366" s="161"/>
      <c r="H366" s="142"/>
      <c r="I366" s="130" t="e">
        <f>VLOOKUP(H366,Presupuesto!$B$11:$C$565,2,0)</f>
        <v>#N/A</v>
      </c>
      <c r="J366" s="98" t="str">
        <f t="shared" si="12"/>
        <v>Lo Esencial de la Reforma Universitaria</v>
      </c>
      <c r="K366" s="98" t="s">
        <v>412</v>
      </c>
    </row>
    <row r="367" spans="3:11">
      <c r="C367" s="141"/>
      <c r="D367" s="158"/>
      <c r="E367" s="123"/>
      <c r="F367" s="97">
        <f t="shared" si="11"/>
        <v>0</v>
      </c>
      <c r="G367" s="161"/>
      <c r="H367" s="142"/>
      <c r="I367" s="130" t="e">
        <f>VLOOKUP(H367,Presupuesto!$B$11:$C$565,2,0)</f>
        <v>#N/A</v>
      </c>
      <c r="J367" s="98" t="str">
        <f t="shared" si="12"/>
        <v>Lo Esencial de la Reforma Universitaria</v>
      </c>
      <c r="K367" s="98" t="s">
        <v>412</v>
      </c>
    </row>
    <row r="368" spans="3:11">
      <c r="C368" s="141"/>
      <c r="D368" s="158"/>
      <c r="E368" s="123"/>
      <c r="F368" s="97">
        <f t="shared" si="11"/>
        <v>0</v>
      </c>
      <c r="G368" s="161"/>
      <c r="H368" s="142"/>
      <c r="I368" s="130" t="e">
        <f>VLOOKUP(H368,Presupuesto!$B$11:$C$565,2,0)</f>
        <v>#N/A</v>
      </c>
      <c r="J368" s="98" t="str">
        <f t="shared" si="12"/>
        <v>Lo Esencial de la Reforma Universitaria</v>
      </c>
      <c r="K368" s="98" t="s">
        <v>412</v>
      </c>
    </row>
    <row r="369" spans="3:11">
      <c r="C369" s="141"/>
      <c r="D369" s="158"/>
      <c r="E369" s="123"/>
      <c r="F369" s="97">
        <f t="shared" si="11"/>
        <v>0</v>
      </c>
      <c r="G369" s="161"/>
      <c r="H369" s="142"/>
      <c r="I369" s="130" t="e">
        <f>VLOOKUP(H369,Presupuesto!$B$11:$C$565,2,0)</f>
        <v>#N/A</v>
      </c>
      <c r="J369" s="98" t="str">
        <f t="shared" si="12"/>
        <v>Lo Esencial de la Reforma Universitaria</v>
      </c>
      <c r="K369" s="98" t="s">
        <v>412</v>
      </c>
    </row>
    <row r="370" spans="3:11">
      <c r="C370" s="141"/>
      <c r="D370" s="158"/>
      <c r="E370" s="123"/>
      <c r="F370" s="97">
        <f t="shared" si="11"/>
        <v>0</v>
      </c>
      <c r="G370" s="161"/>
      <c r="H370" s="142"/>
      <c r="I370" s="130" t="e">
        <f>VLOOKUP(H370,Presupuesto!$B$11:$C$565,2,0)</f>
        <v>#N/A</v>
      </c>
      <c r="J370" s="98" t="str">
        <f t="shared" si="12"/>
        <v>Lo Esencial de la Reforma Universitaria</v>
      </c>
      <c r="K370" s="98" t="s">
        <v>412</v>
      </c>
    </row>
    <row r="371" spans="3:11">
      <c r="C371" s="143"/>
      <c r="D371" s="151"/>
      <c r="E371" s="118"/>
      <c r="F371" s="97">
        <f t="shared" si="11"/>
        <v>0</v>
      </c>
      <c r="G371" s="161"/>
      <c r="H371" s="144"/>
      <c r="I371" s="130" t="e">
        <f>VLOOKUP(H371,Presupuesto!$B$11:$C$565,2,0)</f>
        <v>#N/A</v>
      </c>
      <c r="J371" s="98" t="str">
        <f t="shared" si="12"/>
        <v>Lo Esencial de la Reforma Universitaria</v>
      </c>
      <c r="K371" s="98" t="s">
        <v>412</v>
      </c>
    </row>
    <row r="372" spans="3:11">
      <c r="C372" s="143"/>
      <c r="D372" s="151"/>
      <c r="E372" s="118"/>
      <c r="F372" s="97">
        <f t="shared" si="11"/>
        <v>0</v>
      </c>
      <c r="G372" s="161"/>
      <c r="H372" s="144"/>
      <c r="I372" s="130" t="e">
        <f>VLOOKUP(H372,Presupuesto!$B$11:$C$565,2,0)</f>
        <v>#N/A</v>
      </c>
      <c r="J372" s="98" t="str">
        <f t="shared" si="12"/>
        <v>Lo Esencial de la Reforma Universitaria</v>
      </c>
      <c r="K372" s="98" t="s">
        <v>412</v>
      </c>
    </row>
    <row r="373" spans="3:11">
      <c r="C373" s="143"/>
      <c r="D373" s="151"/>
      <c r="E373" s="118"/>
      <c r="F373" s="97">
        <f t="shared" si="11"/>
        <v>0</v>
      </c>
      <c r="G373" s="161"/>
      <c r="H373" s="144"/>
      <c r="I373" s="130" t="e">
        <f>VLOOKUP(H373,Presupuesto!$B$11:$C$565,2,0)</f>
        <v>#N/A</v>
      </c>
      <c r="J373" s="98" t="str">
        <f t="shared" si="12"/>
        <v>Lo Esencial de la Reforma Universitaria</v>
      </c>
      <c r="K373" s="98" t="s">
        <v>412</v>
      </c>
    </row>
    <row r="374" spans="3:11">
      <c r="C374" s="143"/>
      <c r="D374" s="151"/>
      <c r="E374" s="118"/>
      <c r="F374" s="97">
        <f t="shared" si="11"/>
        <v>0</v>
      </c>
      <c r="G374" s="161"/>
      <c r="H374" s="144"/>
      <c r="I374" s="130" t="e">
        <f>VLOOKUP(H374,Presupuesto!$B$11:$C$565,2,0)</f>
        <v>#N/A</v>
      </c>
      <c r="J374" s="98" t="str">
        <f t="shared" si="12"/>
        <v>Lo Esencial de la Reforma Universitaria</v>
      </c>
      <c r="K374" s="98" t="s">
        <v>412</v>
      </c>
    </row>
    <row r="375" spans="3:11">
      <c r="C375" s="143"/>
      <c r="D375" s="151"/>
      <c r="E375" s="118"/>
      <c r="F375" s="97">
        <f t="shared" si="11"/>
        <v>0</v>
      </c>
      <c r="G375" s="161"/>
      <c r="H375" s="144"/>
      <c r="I375" s="130" t="e">
        <f>VLOOKUP(H375,Presupuesto!$B$11:$C$565,2,0)</f>
        <v>#N/A</v>
      </c>
      <c r="J375" s="98" t="str">
        <f t="shared" si="12"/>
        <v>Lo Esencial de la Reforma Universitaria</v>
      </c>
      <c r="K375" s="98" t="s">
        <v>412</v>
      </c>
    </row>
    <row r="376" spans="3:11">
      <c r="C376" s="143"/>
      <c r="D376" s="151"/>
      <c r="E376" s="118"/>
      <c r="F376" s="97">
        <f t="shared" si="11"/>
        <v>0</v>
      </c>
      <c r="G376" s="161"/>
      <c r="H376" s="144"/>
      <c r="I376" s="130" t="e">
        <f>VLOOKUP(H376,Presupuesto!$B$11:$C$565,2,0)</f>
        <v>#N/A</v>
      </c>
      <c r="J376" s="98" t="str">
        <f t="shared" si="12"/>
        <v>Lo Esencial de la Reforma Universitaria</v>
      </c>
      <c r="K376" s="98" t="s">
        <v>412</v>
      </c>
    </row>
    <row r="377" spans="3:11">
      <c r="C377" s="143"/>
      <c r="D377" s="151"/>
      <c r="E377" s="118"/>
      <c r="F377" s="97">
        <f t="shared" si="11"/>
        <v>0</v>
      </c>
      <c r="G377" s="161"/>
      <c r="H377" s="144"/>
      <c r="I377" s="130" t="e">
        <f>VLOOKUP(H377,Presupuesto!$B$11:$C$565,2,0)</f>
        <v>#N/A</v>
      </c>
      <c r="J377" s="98" t="str">
        <f t="shared" si="12"/>
        <v>Lo Esencial de la Reforma Universitaria</v>
      </c>
      <c r="K377" s="98" t="s">
        <v>412</v>
      </c>
    </row>
    <row r="378" spans="3:11">
      <c r="C378" s="143"/>
      <c r="D378" s="151"/>
      <c r="E378" s="118"/>
      <c r="F378" s="97">
        <f t="shared" si="11"/>
        <v>0</v>
      </c>
      <c r="G378" s="161"/>
      <c r="H378" s="144"/>
      <c r="I378" s="130" t="e">
        <f>VLOOKUP(H378,Presupuesto!$B$11:$C$565,2,0)</f>
        <v>#N/A</v>
      </c>
      <c r="J378" s="98" t="str">
        <f t="shared" si="12"/>
        <v>Lo Esencial de la Reforma Universitaria</v>
      </c>
      <c r="K378" s="98" t="s">
        <v>412</v>
      </c>
    </row>
    <row r="379" spans="3:11">
      <c r="C379" s="145"/>
      <c r="D379" s="151"/>
      <c r="E379" s="118"/>
      <c r="F379" s="97">
        <f t="shared" si="11"/>
        <v>0</v>
      </c>
      <c r="G379" s="161"/>
      <c r="H379" s="146"/>
      <c r="I379" s="130" t="e">
        <f>VLOOKUP(H379,Presupuesto!$B$11:$C$565,2,0)</f>
        <v>#N/A</v>
      </c>
      <c r="J379" s="98" t="str">
        <f t="shared" si="12"/>
        <v>Lo Esencial de la Reforma Universitaria</v>
      </c>
      <c r="K379" s="98" t="s">
        <v>403</v>
      </c>
    </row>
    <row r="380" spans="3:11">
      <c r="C380" s="145"/>
      <c r="D380" s="151"/>
      <c r="E380" s="118"/>
      <c r="F380" s="97">
        <f t="shared" si="11"/>
        <v>0</v>
      </c>
      <c r="G380" s="161"/>
      <c r="H380" s="146"/>
      <c r="I380" s="130" t="e">
        <f>VLOOKUP(H380,Presupuesto!$B$11:$C$565,2,0)</f>
        <v>#N/A</v>
      </c>
      <c r="J380" s="98" t="str">
        <f t="shared" si="12"/>
        <v>Lo Esencial de la Reforma Universitaria</v>
      </c>
      <c r="K380" s="98" t="s">
        <v>412</v>
      </c>
    </row>
    <row r="381" spans="3:11">
      <c r="C381" s="145"/>
      <c r="D381" s="151"/>
      <c r="E381" s="118"/>
      <c r="F381" s="97">
        <f t="shared" si="11"/>
        <v>0</v>
      </c>
      <c r="G381" s="161"/>
      <c r="H381" s="146"/>
      <c r="I381" s="130" t="e">
        <f>VLOOKUP(H381,Presupuesto!$B$11:$C$565,2,0)</f>
        <v>#N/A</v>
      </c>
      <c r="J381" s="98" t="str">
        <f t="shared" si="12"/>
        <v>Lo Esencial de la Reforma Universitaria</v>
      </c>
      <c r="K381" s="98" t="s">
        <v>412</v>
      </c>
    </row>
    <row r="382" spans="3:11">
      <c r="C382" s="145"/>
      <c r="D382" s="151"/>
      <c r="E382" s="118"/>
      <c r="F382" s="97">
        <f t="shared" si="11"/>
        <v>0</v>
      </c>
      <c r="G382" s="161"/>
      <c r="H382" s="146"/>
      <c r="I382" s="130" t="e">
        <f>VLOOKUP(H382,Presupuesto!$B$11:$C$565,2,0)</f>
        <v>#N/A</v>
      </c>
      <c r="J382" s="98" t="str">
        <f t="shared" si="12"/>
        <v>Lo Esencial de la Reforma Universitaria</v>
      </c>
      <c r="K382" s="98" t="s">
        <v>412</v>
      </c>
    </row>
    <row r="383" spans="3:11" ht="15.75" thickBot="1">
      <c r="C383" s="147"/>
      <c r="D383" s="159"/>
      <c r="E383" s="103"/>
      <c r="F383" s="105">
        <f t="shared" si="11"/>
        <v>0</v>
      </c>
      <c r="G383" s="162"/>
      <c r="H383" s="148"/>
      <c r="I383" s="132" t="e">
        <f>VLOOKUP(H383,Presupuesto!$B$11:$C$565,2,0)</f>
        <v>#N/A</v>
      </c>
      <c r="J383" s="106" t="str">
        <f t="shared" si="12"/>
        <v>Lo Esencial de la Reforma Universitaria</v>
      </c>
      <c r="K383" s="124" t="s">
        <v>394</v>
      </c>
    </row>
    <row r="385" spans="3:11" ht="15.75" thickBot="1">
      <c r="F385" s="90"/>
      <c r="G385" s="89"/>
      <c r="H385" s="90"/>
      <c r="I385" s="90"/>
    </row>
    <row r="386" spans="3:11" ht="15.75" thickBot="1">
      <c r="C386" s="157" t="s">
        <v>53</v>
      </c>
      <c r="D386" s="374">
        <f>SUM(F393:F427)</f>
        <v>75000</v>
      </c>
      <c r="F386" s="70"/>
      <c r="G386" s="79"/>
      <c r="H386" s="70"/>
      <c r="I386" s="70"/>
    </row>
    <row r="387" spans="3:11">
      <c r="C387" s="70"/>
      <c r="D387" s="31"/>
      <c r="E387" s="93"/>
      <c r="F387" s="93"/>
      <c r="G387" s="93"/>
      <c r="H387" s="76"/>
      <c r="I387" s="76"/>
      <c r="J387" s="76"/>
      <c r="K387" s="112"/>
    </row>
    <row r="388" spans="3:11">
      <c r="C388" s="70"/>
      <c r="D388" s="31"/>
      <c r="E388" s="93"/>
      <c r="F388" s="93"/>
      <c r="G388" s="93"/>
      <c r="H388" s="76"/>
      <c r="I388" s="76"/>
      <c r="J388" s="76"/>
      <c r="K388" s="112"/>
    </row>
    <row r="389" spans="3:11" ht="15.75">
      <c r="C389" s="202" t="s">
        <v>392</v>
      </c>
      <c r="D389" s="549" t="s">
        <v>1627</v>
      </c>
      <c r="E389" s="93"/>
      <c r="F389" s="93"/>
      <c r="G389" s="93"/>
      <c r="H389" s="76"/>
      <c r="I389" s="76"/>
      <c r="J389" s="76"/>
      <c r="K389" s="112"/>
    </row>
    <row r="390" spans="3:11" ht="18.75">
      <c r="C390" s="211" t="str">
        <f>IFERROR(VLOOKUP(D389,'1. Desarrollo e Innov. Curricu.'!$E:$F,2,FALSE),IFERROR(VLOOKUP(D389,'2. Investigación Científica'!$E:$F,2,FALSE),IFERROR(VLOOKUP(D389,'3. Vinculación Univ. Sociedad'!$E:$F,2,FALSE),IFERROR(VLOOKUP(D389,'4. Docencia y Profesorado Univ.'!$E:$F,2,FALSE),IFERROR(VLOOKUP(D389,'5. Estudiantes y Graduados'!$E:$F,2,FALSE),IFERROR(VLOOKUP(D389,'11. Gestion Administrativa'!$E:$F,2,FALSE),IFERROR(VLOOKUP(D389,'13. Gestión Académica'!$E:$F,2,FALSE),IFERROR(VLOOKUP(D389,'8. Asegura. de la Calid. y M'!$E:$F,2,FALSE),IFERROR(VLOOKUP(D389,'6. Gestión del Conocimiento'!$E:$F,2,FALSE),IFERROR(VLOOKUP(D389,'15. Gobernabilidad y Proceso...'!$E:$F,2,FALSE),IFERROR(VLOOKUP(D389,'12. Gestión del Talento Humano'!$E:$F,2,FALSE),IFERROR(VLOOKUP(D389,'14. Internacional... de la E.S.'!$E:$F,2,FALSE),IFERROR(VLOOKUP(D389,'10. Posgrado'!$E:$F,2,FALSE),IFERROR(VLOOKUP(D389,'17. Gestión TIC'!$E:$F,2,FALSE),IFERROR(VLOOKUP(D389,'16. Desa. del Sistema Educ.Sup.'!$E:$F,2,FALSE),IFERROR(VLOOKUP(D389,'9. Cultura de Inno. Insti...'!$E:$F,2,FALSE),VLOOKUP(D389,'7. Lo Esencial de la Reforma U.'!$E:$F,2,0)))))))))))))))))</f>
        <v>Exhibición de la colección de retratos de escritores del siglo XX.</v>
      </c>
      <c r="D390" s="31"/>
      <c r="E390" s="93"/>
      <c r="F390" s="93"/>
      <c r="G390" s="93"/>
      <c r="H390" s="76"/>
      <c r="I390" s="76"/>
      <c r="J390" s="76"/>
      <c r="K390" s="112"/>
    </row>
    <row r="391" spans="3:11" ht="15.75" thickBot="1">
      <c r="F391" s="93"/>
      <c r="G391" s="76"/>
      <c r="H391" s="76"/>
      <c r="I391" s="76"/>
    </row>
    <row r="392" spans="3:11" ht="30.75" thickBot="1">
      <c r="C392" s="129" t="s">
        <v>44</v>
      </c>
      <c r="D392" s="129" t="s">
        <v>55</v>
      </c>
      <c r="E392" s="136" t="s">
        <v>57</v>
      </c>
      <c r="F392" s="135" t="s">
        <v>27</v>
      </c>
      <c r="G392" s="133" t="s">
        <v>131</v>
      </c>
      <c r="H392" s="136" t="s">
        <v>46</v>
      </c>
      <c r="I392" s="133" t="s">
        <v>132</v>
      </c>
      <c r="J392" s="133" t="s">
        <v>410</v>
      </c>
      <c r="K392" s="133" t="s">
        <v>411</v>
      </c>
    </row>
    <row r="393" spans="3:11">
      <c r="C393" s="221" t="s">
        <v>444</v>
      </c>
      <c r="D393" s="222"/>
      <c r="E393" s="220">
        <f>HLOOKUP(C393,$AH$2:$BU$3,2,0)</f>
        <v>4945.7925000000005</v>
      </c>
      <c r="F393" s="97">
        <f t="shared" ref="F393:F427" si="13">D393*E393</f>
        <v>0</v>
      </c>
      <c r="G393" s="161"/>
      <c r="H393" s="142"/>
      <c r="I393" s="130" t="e">
        <f>VLOOKUP(H393,Presupuesto!$B$11:$C$565,2,0)</f>
        <v>#N/A</v>
      </c>
      <c r="J393" s="219" t="s">
        <v>1478</v>
      </c>
      <c r="K393" s="98" t="s">
        <v>394</v>
      </c>
    </row>
    <row r="394" spans="3:11">
      <c r="C394" s="141" t="s">
        <v>1640</v>
      </c>
      <c r="D394" s="158">
        <v>50</v>
      </c>
      <c r="E394" s="123">
        <v>1200</v>
      </c>
      <c r="F394" s="97">
        <f t="shared" si="13"/>
        <v>60000</v>
      </c>
      <c r="G394" s="161" t="s">
        <v>129</v>
      </c>
      <c r="H394" s="142" t="s">
        <v>294</v>
      </c>
      <c r="I394" s="130" t="str">
        <f>VLOOKUP(H394,Presupuesto!$B$11:$C$565,2,0)</f>
        <v>IMPRENTA, PUBLIC. Y REPRODUC. (25300-00)</v>
      </c>
      <c r="J394" s="98" t="s">
        <v>1360</v>
      </c>
      <c r="K394" s="98" t="s">
        <v>412</v>
      </c>
    </row>
    <row r="395" spans="3:11" ht="30">
      <c r="C395" s="550" t="s">
        <v>1641</v>
      </c>
      <c r="D395" s="158">
        <v>1</v>
      </c>
      <c r="E395" s="123">
        <v>15000</v>
      </c>
      <c r="F395" s="97">
        <f t="shared" si="13"/>
        <v>15000</v>
      </c>
      <c r="G395" s="161" t="s">
        <v>1508</v>
      </c>
      <c r="H395" s="142" t="s">
        <v>792</v>
      </c>
      <c r="I395" s="130" t="str">
        <f>VLOOKUP(H395,Presupuesto!$B$11:$C$565,2,0)</f>
        <v>ALIMENTOS B EBIDAS PARA PERSONAS</v>
      </c>
      <c r="J395" s="98" t="s">
        <v>1360</v>
      </c>
      <c r="K395" s="98" t="s">
        <v>412</v>
      </c>
    </row>
    <row r="396" spans="3:11">
      <c r="C396" s="141"/>
      <c r="D396" s="158"/>
      <c r="E396" s="123"/>
      <c r="F396" s="97">
        <f t="shared" si="13"/>
        <v>0</v>
      </c>
      <c r="G396" s="161"/>
      <c r="H396" s="142"/>
      <c r="I396" s="130" t="e">
        <f>VLOOKUP(H396,Presupuesto!$B$11:$C$565,2,0)</f>
        <v>#N/A</v>
      </c>
      <c r="J396" s="98" t="str">
        <f t="shared" ref="J396:J427" si="14">$J$393</f>
        <v>Desarrollo del Sistema de Educación Superior</v>
      </c>
      <c r="K396" s="98" t="s">
        <v>412</v>
      </c>
    </row>
    <row r="397" spans="3:11">
      <c r="C397" s="141"/>
      <c r="D397" s="158"/>
      <c r="E397" s="123"/>
      <c r="F397" s="97">
        <f t="shared" si="13"/>
        <v>0</v>
      </c>
      <c r="G397" s="161"/>
      <c r="H397" s="142"/>
      <c r="I397" s="130" t="e">
        <f>VLOOKUP(H397,Presupuesto!$B$11:$C$565,2,0)</f>
        <v>#N/A</v>
      </c>
      <c r="J397" s="98" t="str">
        <f t="shared" si="14"/>
        <v>Desarrollo del Sistema de Educación Superior</v>
      </c>
      <c r="K397" s="98" t="s">
        <v>412</v>
      </c>
    </row>
    <row r="398" spans="3:11">
      <c r="C398" s="141"/>
      <c r="D398" s="158"/>
      <c r="E398" s="123"/>
      <c r="F398" s="97">
        <f t="shared" si="13"/>
        <v>0</v>
      </c>
      <c r="G398" s="161"/>
      <c r="H398" s="142"/>
      <c r="I398" s="130" t="e">
        <f>VLOOKUP(H398,Presupuesto!$B$11:$C$565,2,0)</f>
        <v>#N/A</v>
      </c>
      <c r="J398" s="98" t="str">
        <f t="shared" si="14"/>
        <v>Desarrollo del Sistema de Educación Superior</v>
      </c>
      <c r="K398" s="98" t="s">
        <v>401</v>
      </c>
    </row>
    <row r="399" spans="3:11">
      <c r="C399" s="141"/>
      <c r="D399" s="158"/>
      <c r="E399" s="123"/>
      <c r="F399" s="97">
        <f t="shared" si="13"/>
        <v>0</v>
      </c>
      <c r="G399" s="161"/>
      <c r="H399" s="142"/>
      <c r="I399" s="130" t="e">
        <f>VLOOKUP(H399,Presupuesto!$B$11:$C$565,2,0)</f>
        <v>#N/A</v>
      </c>
      <c r="J399" s="98" t="str">
        <f t="shared" si="14"/>
        <v>Desarrollo del Sistema de Educación Superior</v>
      </c>
      <c r="K399" s="98" t="s">
        <v>412</v>
      </c>
    </row>
    <row r="400" spans="3:11">
      <c r="C400" s="141"/>
      <c r="D400" s="158"/>
      <c r="E400" s="123"/>
      <c r="F400" s="97">
        <f t="shared" si="13"/>
        <v>0</v>
      </c>
      <c r="G400" s="161"/>
      <c r="H400" s="142"/>
      <c r="I400" s="130" t="e">
        <f>VLOOKUP(H400,Presupuesto!$B$11:$C$565,2,0)</f>
        <v>#N/A</v>
      </c>
      <c r="J400" s="98" t="str">
        <f t="shared" si="14"/>
        <v>Desarrollo del Sistema de Educación Superior</v>
      </c>
      <c r="K400" s="98" t="s">
        <v>412</v>
      </c>
    </row>
    <row r="401" spans="3:11">
      <c r="C401" s="141"/>
      <c r="D401" s="158"/>
      <c r="E401" s="123"/>
      <c r="F401" s="97">
        <f t="shared" si="13"/>
        <v>0</v>
      </c>
      <c r="G401" s="161"/>
      <c r="H401" s="142"/>
      <c r="I401" s="130" t="e">
        <f>VLOOKUP(H401,Presupuesto!$B$11:$C$565,2,0)</f>
        <v>#N/A</v>
      </c>
      <c r="J401" s="98" t="str">
        <f t="shared" si="14"/>
        <v>Desarrollo del Sistema de Educación Superior</v>
      </c>
      <c r="K401" s="98" t="s">
        <v>412</v>
      </c>
    </row>
    <row r="402" spans="3:11">
      <c r="C402" s="141"/>
      <c r="D402" s="158"/>
      <c r="E402" s="123"/>
      <c r="F402" s="97">
        <f t="shared" si="13"/>
        <v>0</v>
      </c>
      <c r="G402" s="161"/>
      <c r="H402" s="142"/>
      <c r="I402" s="130" t="e">
        <f>VLOOKUP(H402,Presupuesto!$B$11:$C$565,2,0)</f>
        <v>#N/A</v>
      </c>
      <c r="J402" s="98" t="str">
        <f t="shared" si="14"/>
        <v>Desarrollo del Sistema de Educación Superior</v>
      </c>
      <c r="K402" s="98" t="s">
        <v>412</v>
      </c>
    </row>
    <row r="403" spans="3:11">
      <c r="C403" s="141"/>
      <c r="D403" s="158"/>
      <c r="E403" s="123"/>
      <c r="F403" s="97">
        <f t="shared" si="13"/>
        <v>0</v>
      </c>
      <c r="G403" s="161"/>
      <c r="H403" s="142"/>
      <c r="I403" s="130" t="e">
        <f>VLOOKUP(H403,Presupuesto!$B$11:$C$565,2,0)</f>
        <v>#N/A</v>
      </c>
      <c r="J403" s="98" t="str">
        <f t="shared" si="14"/>
        <v>Desarrollo del Sistema de Educación Superior</v>
      </c>
      <c r="K403" s="98" t="s">
        <v>412</v>
      </c>
    </row>
    <row r="404" spans="3:11">
      <c r="C404" s="141"/>
      <c r="D404" s="158"/>
      <c r="E404" s="123"/>
      <c r="F404" s="97">
        <f t="shared" si="13"/>
        <v>0</v>
      </c>
      <c r="G404" s="161"/>
      <c r="H404" s="142"/>
      <c r="I404" s="130" t="e">
        <f>VLOOKUP(H404,Presupuesto!$B$11:$C$565,2,0)</f>
        <v>#N/A</v>
      </c>
      <c r="J404" s="98" t="str">
        <f t="shared" si="14"/>
        <v>Desarrollo del Sistema de Educación Superior</v>
      </c>
      <c r="K404" s="98" t="s">
        <v>412</v>
      </c>
    </row>
    <row r="405" spans="3:11">
      <c r="C405" s="141"/>
      <c r="D405" s="158"/>
      <c r="E405" s="123"/>
      <c r="F405" s="97">
        <f t="shared" si="13"/>
        <v>0</v>
      </c>
      <c r="G405" s="161"/>
      <c r="H405" s="142"/>
      <c r="I405" s="130" t="e">
        <f>VLOOKUP(H405,Presupuesto!$B$11:$C$565,2,0)</f>
        <v>#N/A</v>
      </c>
      <c r="J405" s="98" t="str">
        <f t="shared" si="14"/>
        <v>Desarrollo del Sistema de Educación Superior</v>
      </c>
      <c r="K405" s="98" t="s">
        <v>412</v>
      </c>
    </row>
    <row r="406" spans="3:11">
      <c r="C406" s="141"/>
      <c r="D406" s="158"/>
      <c r="E406" s="123"/>
      <c r="F406" s="97">
        <f t="shared" si="13"/>
        <v>0</v>
      </c>
      <c r="G406" s="161"/>
      <c r="H406" s="142"/>
      <c r="I406" s="130" t="e">
        <f>VLOOKUP(H406,Presupuesto!$B$11:$C$565,2,0)</f>
        <v>#N/A</v>
      </c>
      <c r="J406" s="98" t="str">
        <f t="shared" si="14"/>
        <v>Desarrollo del Sistema de Educación Superior</v>
      </c>
      <c r="K406" s="98" t="s">
        <v>412</v>
      </c>
    </row>
    <row r="407" spans="3:11">
      <c r="C407" s="141"/>
      <c r="D407" s="158"/>
      <c r="E407" s="123"/>
      <c r="F407" s="97">
        <f t="shared" si="13"/>
        <v>0</v>
      </c>
      <c r="G407" s="161"/>
      <c r="H407" s="142"/>
      <c r="I407" s="130" t="e">
        <f>VLOOKUP(H407,Presupuesto!$B$11:$C$565,2,0)</f>
        <v>#N/A</v>
      </c>
      <c r="J407" s="98" t="str">
        <f t="shared" si="14"/>
        <v>Desarrollo del Sistema de Educación Superior</v>
      </c>
      <c r="K407" s="98" t="s">
        <v>412</v>
      </c>
    </row>
    <row r="408" spans="3:11">
      <c r="C408" s="141"/>
      <c r="D408" s="158"/>
      <c r="E408" s="123"/>
      <c r="F408" s="97">
        <f t="shared" si="13"/>
        <v>0</v>
      </c>
      <c r="G408" s="161"/>
      <c r="H408" s="142"/>
      <c r="I408" s="130" t="e">
        <f>VLOOKUP(H408,Presupuesto!$B$11:$C$565,2,0)</f>
        <v>#N/A</v>
      </c>
      <c r="J408" s="98" t="str">
        <f t="shared" si="14"/>
        <v>Desarrollo del Sistema de Educación Superior</v>
      </c>
      <c r="K408" s="98" t="s">
        <v>412</v>
      </c>
    </row>
    <row r="409" spans="3:11">
      <c r="C409" s="141"/>
      <c r="D409" s="158"/>
      <c r="E409" s="123"/>
      <c r="F409" s="97">
        <f t="shared" si="13"/>
        <v>0</v>
      </c>
      <c r="G409" s="161"/>
      <c r="H409" s="142"/>
      <c r="I409" s="130" t="e">
        <f>VLOOKUP(H409,Presupuesto!$B$11:$C$565,2,0)</f>
        <v>#N/A</v>
      </c>
      <c r="J409" s="98" t="str">
        <f t="shared" si="14"/>
        <v>Desarrollo del Sistema de Educación Superior</v>
      </c>
      <c r="K409" s="98" t="s">
        <v>412</v>
      </c>
    </row>
    <row r="410" spans="3:11">
      <c r="C410" s="141"/>
      <c r="D410" s="158"/>
      <c r="E410" s="123"/>
      <c r="F410" s="97">
        <f t="shared" si="13"/>
        <v>0</v>
      </c>
      <c r="G410" s="161"/>
      <c r="H410" s="142"/>
      <c r="I410" s="130" t="e">
        <f>VLOOKUP(H410,Presupuesto!$B$11:$C$565,2,0)</f>
        <v>#N/A</v>
      </c>
      <c r="J410" s="98" t="str">
        <f t="shared" si="14"/>
        <v>Desarrollo del Sistema de Educación Superior</v>
      </c>
      <c r="K410" s="98" t="s">
        <v>412</v>
      </c>
    </row>
    <row r="411" spans="3:11">
      <c r="C411" s="141"/>
      <c r="D411" s="158"/>
      <c r="E411" s="123"/>
      <c r="F411" s="97">
        <f t="shared" si="13"/>
        <v>0</v>
      </c>
      <c r="G411" s="161"/>
      <c r="H411" s="142"/>
      <c r="I411" s="130" t="e">
        <f>VLOOKUP(H411,Presupuesto!$B$11:$C$565,2,0)</f>
        <v>#N/A</v>
      </c>
      <c r="J411" s="98" t="str">
        <f t="shared" si="14"/>
        <v>Desarrollo del Sistema de Educación Superior</v>
      </c>
      <c r="K411" s="98" t="s">
        <v>412</v>
      </c>
    </row>
    <row r="412" spans="3:11">
      <c r="C412" s="141"/>
      <c r="D412" s="158"/>
      <c r="E412" s="123"/>
      <c r="F412" s="97">
        <f t="shared" si="13"/>
        <v>0</v>
      </c>
      <c r="G412" s="161"/>
      <c r="H412" s="142"/>
      <c r="I412" s="130" t="e">
        <f>VLOOKUP(H412,Presupuesto!$B$11:$C$565,2,0)</f>
        <v>#N/A</v>
      </c>
      <c r="J412" s="98" t="str">
        <f t="shared" si="14"/>
        <v>Desarrollo del Sistema de Educación Superior</v>
      </c>
      <c r="K412" s="98" t="s">
        <v>412</v>
      </c>
    </row>
    <row r="413" spans="3:11">
      <c r="C413" s="141"/>
      <c r="D413" s="158"/>
      <c r="E413" s="123"/>
      <c r="F413" s="97">
        <f t="shared" si="13"/>
        <v>0</v>
      </c>
      <c r="G413" s="161"/>
      <c r="H413" s="142"/>
      <c r="I413" s="130" t="e">
        <f>VLOOKUP(H413,Presupuesto!$B$11:$C$565,2,0)</f>
        <v>#N/A</v>
      </c>
      <c r="J413" s="98" t="str">
        <f t="shared" si="14"/>
        <v>Desarrollo del Sistema de Educación Superior</v>
      </c>
      <c r="K413" s="98" t="s">
        <v>412</v>
      </c>
    </row>
    <row r="414" spans="3:11">
      <c r="C414" s="141"/>
      <c r="D414" s="158"/>
      <c r="E414" s="123"/>
      <c r="F414" s="97">
        <f t="shared" si="13"/>
        <v>0</v>
      </c>
      <c r="G414" s="161"/>
      <c r="H414" s="142"/>
      <c r="I414" s="130" t="e">
        <f>VLOOKUP(H414,Presupuesto!$B$11:$C$565,2,0)</f>
        <v>#N/A</v>
      </c>
      <c r="J414" s="98" t="str">
        <f t="shared" si="14"/>
        <v>Desarrollo del Sistema de Educación Superior</v>
      </c>
      <c r="K414" s="98" t="s">
        <v>412</v>
      </c>
    </row>
    <row r="415" spans="3:11">
      <c r="C415" s="143"/>
      <c r="D415" s="151"/>
      <c r="E415" s="118"/>
      <c r="F415" s="97">
        <f t="shared" si="13"/>
        <v>0</v>
      </c>
      <c r="G415" s="161"/>
      <c r="H415" s="144"/>
      <c r="I415" s="130" t="e">
        <f>VLOOKUP(H415,Presupuesto!$B$11:$C$565,2,0)</f>
        <v>#N/A</v>
      </c>
      <c r="J415" s="98" t="str">
        <f t="shared" si="14"/>
        <v>Desarrollo del Sistema de Educación Superior</v>
      </c>
      <c r="K415" s="98" t="s">
        <v>412</v>
      </c>
    </row>
    <row r="416" spans="3:11">
      <c r="C416" s="143"/>
      <c r="D416" s="151"/>
      <c r="E416" s="118"/>
      <c r="F416" s="97">
        <f t="shared" si="13"/>
        <v>0</v>
      </c>
      <c r="G416" s="161"/>
      <c r="H416" s="144"/>
      <c r="I416" s="130" t="e">
        <f>VLOOKUP(H416,Presupuesto!$B$11:$C$565,2,0)</f>
        <v>#N/A</v>
      </c>
      <c r="J416" s="98" t="str">
        <f t="shared" si="14"/>
        <v>Desarrollo del Sistema de Educación Superior</v>
      </c>
      <c r="K416" s="98" t="s">
        <v>412</v>
      </c>
    </row>
    <row r="417" spans="3:11">
      <c r="C417" s="143"/>
      <c r="D417" s="151"/>
      <c r="E417" s="118"/>
      <c r="F417" s="97">
        <f t="shared" si="13"/>
        <v>0</v>
      </c>
      <c r="G417" s="161"/>
      <c r="H417" s="144"/>
      <c r="I417" s="130" t="e">
        <f>VLOOKUP(H417,Presupuesto!$B$11:$C$565,2,0)</f>
        <v>#N/A</v>
      </c>
      <c r="J417" s="98" t="str">
        <f t="shared" si="14"/>
        <v>Desarrollo del Sistema de Educación Superior</v>
      </c>
      <c r="K417" s="98" t="s">
        <v>412</v>
      </c>
    </row>
    <row r="418" spans="3:11">
      <c r="C418" s="143"/>
      <c r="D418" s="151"/>
      <c r="E418" s="118"/>
      <c r="F418" s="97">
        <f t="shared" si="13"/>
        <v>0</v>
      </c>
      <c r="G418" s="161"/>
      <c r="H418" s="144"/>
      <c r="I418" s="130" t="e">
        <f>VLOOKUP(H418,Presupuesto!$B$11:$C$565,2,0)</f>
        <v>#N/A</v>
      </c>
      <c r="J418" s="98" t="str">
        <f t="shared" si="14"/>
        <v>Desarrollo del Sistema de Educación Superior</v>
      </c>
      <c r="K418" s="98" t="s">
        <v>412</v>
      </c>
    </row>
    <row r="419" spans="3:11">
      <c r="C419" s="143"/>
      <c r="D419" s="151"/>
      <c r="E419" s="118"/>
      <c r="F419" s="97">
        <f t="shared" si="13"/>
        <v>0</v>
      </c>
      <c r="G419" s="161"/>
      <c r="H419" s="144"/>
      <c r="I419" s="130" t="e">
        <f>VLOOKUP(H419,Presupuesto!$B$11:$C$565,2,0)</f>
        <v>#N/A</v>
      </c>
      <c r="J419" s="98" t="str">
        <f t="shared" si="14"/>
        <v>Desarrollo del Sistema de Educación Superior</v>
      </c>
      <c r="K419" s="98" t="s">
        <v>412</v>
      </c>
    </row>
    <row r="420" spans="3:11">
      <c r="C420" s="143"/>
      <c r="D420" s="151"/>
      <c r="E420" s="118"/>
      <c r="F420" s="97">
        <f t="shared" si="13"/>
        <v>0</v>
      </c>
      <c r="G420" s="161"/>
      <c r="H420" s="144"/>
      <c r="I420" s="130" t="e">
        <f>VLOOKUP(H420,Presupuesto!$B$11:$C$565,2,0)</f>
        <v>#N/A</v>
      </c>
      <c r="J420" s="98" t="str">
        <f t="shared" si="14"/>
        <v>Desarrollo del Sistema de Educación Superior</v>
      </c>
      <c r="K420" s="98" t="s">
        <v>412</v>
      </c>
    </row>
    <row r="421" spans="3:11">
      <c r="C421" s="143"/>
      <c r="D421" s="151"/>
      <c r="E421" s="118"/>
      <c r="F421" s="97">
        <f t="shared" si="13"/>
        <v>0</v>
      </c>
      <c r="G421" s="161"/>
      <c r="H421" s="144"/>
      <c r="I421" s="130" t="e">
        <f>VLOOKUP(H421,Presupuesto!$B$11:$C$565,2,0)</f>
        <v>#N/A</v>
      </c>
      <c r="J421" s="98" t="str">
        <f t="shared" si="14"/>
        <v>Desarrollo del Sistema de Educación Superior</v>
      </c>
      <c r="K421" s="98" t="s">
        <v>412</v>
      </c>
    </row>
    <row r="422" spans="3:11">
      <c r="C422" s="143"/>
      <c r="D422" s="151"/>
      <c r="E422" s="118"/>
      <c r="F422" s="97">
        <f t="shared" si="13"/>
        <v>0</v>
      </c>
      <c r="G422" s="161"/>
      <c r="H422" s="144"/>
      <c r="I422" s="130" t="e">
        <f>VLOOKUP(H422,Presupuesto!$B$11:$C$565,2,0)</f>
        <v>#N/A</v>
      </c>
      <c r="J422" s="98" t="str">
        <f t="shared" si="14"/>
        <v>Desarrollo del Sistema de Educación Superior</v>
      </c>
      <c r="K422" s="98" t="s">
        <v>412</v>
      </c>
    </row>
    <row r="423" spans="3:11">
      <c r="C423" s="145"/>
      <c r="D423" s="151"/>
      <c r="E423" s="118"/>
      <c r="F423" s="97">
        <f t="shared" si="13"/>
        <v>0</v>
      </c>
      <c r="G423" s="161"/>
      <c r="H423" s="146"/>
      <c r="I423" s="130" t="e">
        <f>VLOOKUP(H423,Presupuesto!$B$11:$C$565,2,0)</f>
        <v>#N/A</v>
      </c>
      <c r="J423" s="98" t="str">
        <f t="shared" si="14"/>
        <v>Desarrollo del Sistema de Educación Superior</v>
      </c>
      <c r="K423" s="98" t="s">
        <v>403</v>
      </c>
    </row>
    <row r="424" spans="3:11">
      <c r="C424" s="145"/>
      <c r="D424" s="151"/>
      <c r="E424" s="118"/>
      <c r="F424" s="97">
        <f t="shared" si="13"/>
        <v>0</v>
      </c>
      <c r="G424" s="161"/>
      <c r="H424" s="146"/>
      <c r="I424" s="130" t="e">
        <f>VLOOKUP(H424,Presupuesto!$B$11:$C$565,2,0)</f>
        <v>#N/A</v>
      </c>
      <c r="J424" s="98" t="str">
        <f t="shared" si="14"/>
        <v>Desarrollo del Sistema de Educación Superior</v>
      </c>
      <c r="K424" s="98" t="s">
        <v>412</v>
      </c>
    </row>
    <row r="425" spans="3:11">
      <c r="C425" s="145"/>
      <c r="D425" s="151"/>
      <c r="E425" s="118"/>
      <c r="F425" s="97">
        <f t="shared" si="13"/>
        <v>0</v>
      </c>
      <c r="G425" s="161"/>
      <c r="H425" s="146"/>
      <c r="I425" s="130" t="e">
        <f>VLOOKUP(H425,Presupuesto!$B$11:$C$565,2,0)</f>
        <v>#N/A</v>
      </c>
      <c r="J425" s="98" t="str">
        <f t="shared" si="14"/>
        <v>Desarrollo del Sistema de Educación Superior</v>
      </c>
      <c r="K425" s="98" t="s">
        <v>412</v>
      </c>
    </row>
    <row r="426" spans="3:11">
      <c r="C426" s="145"/>
      <c r="D426" s="151"/>
      <c r="E426" s="118"/>
      <c r="F426" s="97">
        <f t="shared" si="13"/>
        <v>0</v>
      </c>
      <c r="G426" s="161"/>
      <c r="H426" s="146"/>
      <c r="I426" s="130" t="e">
        <f>VLOOKUP(H426,Presupuesto!$B$11:$C$565,2,0)</f>
        <v>#N/A</v>
      </c>
      <c r="J426" s="98" t="str">
        <f t="shared" si="14"/>
        <v>Desarrollo del Sistema de Educación Superior</v>
      </c>
      <c r="K426" s="98" t="s">
        <v>412</v>
      </c>
    </row>
    <row r="427" spans="3:11" ht="15.75" thickBot="1">
      <c r="C427" s="147"/>
      <c r="D427" s="159"/>
      <c r="E427" s="103"/>
      <c r="F427" s="105">
        <f t="shared" si="13"/>
        <v>0</v>
      </c>
      <c r="G427" s="162"/>
      <c r="H427" s="148"/>
      <c r="I427" s="132" t="e">
        <f>VLOOKUP(H427,Presupuesto!$B$11:$C$565,2,0)</f>
        <v>#N/A</v>
      </c>
      <c r="J427" s="106" t="str">
        <f t="shared" si="14"/>
        <v>Desarrollo del Sistema de Educación Superior</v>
      </c>
      <c r="K427" s="124" t="s">
        <v>394</v>
      </c>
    </row>
    <row r="429" spans="3:11" s="465" customFormat="1" ht="15.75" thickBot="1">
      <c r="G429" s="452"/>
    </row>
    <row r="430" spans="3:11" s="465" customFormat="1" ht="15.75" thickBot="1">
      <c r="C430" s="157" t="s">
        <v>53</v>
      </c>
      <c r="D430" s="374">
        <f>SUM(F437:F471)</f>
        <v>109999.99999999999</v>
      </c>
      <c r="E430" s="86"/>
      <c r="F430" s="70"/>
      <c r="G430" s="79"/>
      <c r="H430" s="70"/>
      <c r="I430" s="70"/>
      <c r="J430" s="86"/>
      <c r="K430" s="86"/>
    </row>
    <row r="431" spans="3:11" s="465" customFormat="1">
      <c r="C431" s="70"/>
      <c r="D431" s="31"/>
      <c r="E431" s="93"/>
      <c r="F431" s="93"/>
      <c r="G431" s="93"/>
      <c r="H431" s="76"/>
      <c r="I431" s="76"/>
      <c r="J431" s="76"/>
      <c r="K431" s="112"/>
    </row>
    <row r="432" spans="3:11" s="465" customFormat="1">
      <c r="C432" s="70"/>
      <c r="D432" s="31"/>
      <c r="E432" s="93"/>
      <c r="F432" s="93"/>
      <c r="G432" s="93"/>
      <c r="H432" s="76"/>
      <c r="I432" s="76"/>
      <c r="J432" s="76"/>
      <c r="K432" s="112"/>
    </row>
    <row r="433" spans="3:11" s="465" customFormat="1" ht="15.75">
      <c r="C433" s="202" t="s">
        <v>392</v>
      </c>
      <c r="D433" s="370">
        <v>7.11</v>
      </c>
      <c r="E433" s="93"/>
      <c r="F433" s="93"/>
      <c r="G433" s="93"/>
      <c r="H433" s="76"/>
      <c r="I433" s="76"/>
      <c r="J433" s="76"/>
      <c r="K433" s="112"/>
    </row>
    <row r="434" spans="3:11" s="465" customFormat="1" ht="18.75">
      <c r="C434" s="211" t="str">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Gestionar la compra de Cuerdas Musicales para instrumentos musicales de la Orquesta de Cámara</v>
      </c>
      <c r="D434" s="31"/>
      <c r="E434" s="93"/>
      <c r="F434" s="93"/>
      <c r="G434" s="93"/>
      <c r="H434" s="76"/>
      <c r="I434" s="76"/>
      <c r="J434" s="76"/>
      <c r="K434" s="112"/>
    </row>
    <row r="435" spans="3:11" s="465" customFormat="1" ht="15.75" thickBot="1">
      <c r="C435" s="86"/>
      <c r="D435" s="86"/>
      <c r="E435" s="86"/>
      <c r="F435" s="93"/>
      <c r="G435" s="76"/>
      <c r="H435" s="76"/>
      <c r="I435" s="76"/>
      <c r="J435" s="86"/>
      <c r="K435" s="86"/>
    </row>
    <row r="436" spans="3:11" s="465" customFormat="1" ht="30.75" thickBot="1">
      <c r="C436" s="129" t="s">
        <v>44</v>
      </c>
      <c r="D436" s="129" t="s">
        <v>55</v>
      </c>
      <c r="E436" s="136" t="s">
        <v>57</v>
      </c>
      <c r="F436" s="135" t="s">
        <v>27</v>
      </c>
      <c r="G436" s="133" t="s">
        <v>131</v>
      </c>
      <c r="H436" s="136" t="s">
        <v>46</v>
      </c>
      <c r="I436" s="133" t="s">
        <v>132</v>
      </c>
      <c r="J436" s="133" t="s">
        <v>410</v>
      </c>
      <c r="K436" s="133" t="s">
        <v>411</v>
      </c>
    </row>
    <row r="437" spans="3:11" s="465" customFormat="1">
      <c r="C437" s="221" t="s">
        <v>439</v>
      </c>
      <c r="D437" s="222"/>
      <c r="E437" s="220">
        <f>HLOOKUP(C437,$AH$2:$BU$3,2,0)</f>
        <v>620</v>
      </c>
      <c r="F437" s="97">
        <f t="shared" ref="F437:F471" si="15">D437*E437</f>
        <v>0</v>
      </c>
      <c r="G437" s="161"/>
      <c r="H437" s="142"/>
      <c r="I437" s="130" t="e">
        <f>VLOOKUP(H437,Presupuesto!$B$11:$C$565,2,0)</f>
        <v>#N/A</v>
      </c>
      <c r="J437" s="219" t="s">
        <v>1360</v>
      </c>
      <c r="K437" s="98" t="s">
        <v>394</v>
      </c>
    </row>
    <row r="438" spans="3:11" s="465" customFormat="1">
      <c r="C438" s="141" t="s">
        <v>1654</v>
      </c>
      <c r="D438" s="158">
        <v>28</v>
      </c>
      <c r="E438" s="123">
        <v>3928.58</v>
      </c>
      <c r="F438" s="97">
        <f>D438*E438-0.24</f>
        <v>109999.99999999999</v>
      </c>
      <c r="G438" s="161" t="s">
        <v>1508</v>
      </c>
      <c r="H438" s="142" t="s">
        <v>955</v>
      </c>
      <c r="I438" s="130" t="str">
        <f>VLOOKUP(H438,Presupuesto!$B$11:$C$565,2,0)</f>
        <v>OTROS RESPUESTOS Y ACCESORIOS MENORES</v>
      </c>
      <c r="J438" s="98" t="str">
        <f t="shared" ref="J438:J471" si="16">$J$437</f>
        <v>Lo Esencial de la Reforma Universitaria</v>
      </c>
      <c r="K438" s="98" t="s">
        <v>412</v>
      </c>
    </row>
    <row r="439" spans="3:11" s="465" customFormat="1">
      <c r="C439" s="141"/>
      <c r="D439" s="158"/>
      <c r="E439" s="123"/>
      <c r="F439" s="97">
        <f t="shared" si="15"/>
        <v>0</v>
      </c>
      <c r="G439" s="161"/>
      <c r="H439" s="142"/>
      <c r="I439" s="130" t="e">
        <f>VLOOKUP(H439,Presupuesto!$B$11:$C$565,2,0)</f>
        <v>#N/A</v>
      </c>
      <c r="J439" s="98" t="str">
        <f t="shared" si="16"/>
        <v>Lo Esencial de la Reforma Universitaria</v>
      </c>
      <c r="K439" s="98" t="s">
        <v>412</v>
      </c>
    </row>
    <row r="440" spans="3:11" s="465" customFormat="1">
      <c r="C440" s="141"/>
      <c r="D440" s="158"/>
      <c r="E440" s="123"/>
      <c r="F440" s="97">
        <f t="shared" si="15"/>
        <v>0</v>
      </c>
      <c r="G440" s="161"/>
      <c r="H440" s="142"/>
      <c r="I440" s="130" t="e">
        <f>VLOOKUP(H440,Presupuesto!$B$11:$C$565,2,0)</f>
        <v>#N/A</v>
      </c>
      <c r="J440" s="98" t="str">
        <f t="shared" si="16"/>
        <v>Lo Esencial de la Reforma Universitaria</v>
      </c>
      <c r="K440" s="98" t="s">
        <v>412</v>
      </c>
    </row>
    <row r="441" spans="3:11" s="465" customFormat="1">
      <c r="C441" s="141"/>
      <c r="D441" s="158"/>
      <c r="E441" s="123"/>
      <c r="F441" s="97">
        <f t="shared" si="15"/>
        <v>0</v>
      </c>
      <c r="G441" s="161"/>
      <c r="H441" s="142"/>
      <c r="I441" s="130" t="e">
        <f>VLOOKUP(H441,Presupuesto!$B$11:$C$565,2,0)</f>
        <v>#N/A</v>
      </c>
      <c r="J441" s="98" t="str">
        <f t="shared" si="16"/>
        <v>Lo Esencial de la Reforma Universitaria</v>
      </c>
      <c r="K441" s="98" t="s">
        <v>412</v>
      </c>
    </row>
    <row r="442" spans="3:11" s="465" customFormat="1">
      <c r="C442" s="141"/>
      <c r="D442" s="158"/>
      <c r="E442" s="123"/>
      <c r="F442" s="97">
        <f t="shared" si="15"/>
        <v>0</v>
      </c>
      <c r="G442" s="161"/>
      <c r="H442" s="142"/>
      <c r="I442" s="130" t="e">
        <f>VLOOKUP(H442,Presupuesto!$B$11:$C$565,2,0)</f>
        <v>#N/A</v>
      </c>
      <c r="J442" s="98" t="str">
        <f t="shared" si="16"/>
        <v>Lo Esencial de la Reforma Universitaria</v>
      </c>
      <c r="K442" s="98" t="s">
        <v>401</v>
      </c>
    </row>
    <row r="443" spans="3:11" s="465" customFormat="1">
      <c r="C443" s="141"/>
      <c r="D443" s="158"/>
      <c r="E443" s="123"/>
      <c r="F443" s="97">
        <f t="shared" si="15"/>
        <v>0</v>
      </c>
      <c r="G443" s="161"/>
      <c r="H443" s="142"/>
      <c r="I443" s="130" t="e">
        <f>VLOOKUP(H443,Presupuesto!$B$11:$C$565,2,0)</f>
        <v>#N/A</v>
      </c>
      <c r="J443" s="98" t="str">
        <f t="shared" si="16"/>
        <v>Lo Esencial de la Reforma Universitaria</v>
      </c>
      <c r="K443" s="98" t="s">
        <v>412</v>
      </c>
    </row>
    <row r="444" spans="3:11" s="465" customFormat="1">
      <c r="C444" s="141"/>
      <c r="D444" s="158"/>
      <c r="E444" s="123"/>
      <c r="F444" s="97">
        <f t="shared" si="15"/>
        <v>0</v>
      </c>
      <c r="G444" s="161"/>
      <c r="H444" s="142"/>
      <c r="I444" s="130" t="e">
        <f>VLOOKUP(H444,Presupuesto!$B$11:$C$565,2,0)</f>
        <v>#N/A</v>
      </c>
      <c r="J444" s="98" t="str">
        <f t="shared" si="16"/>
        <v>Lo Esencial de la Reforma Universitaria</v>
      </c>
      <c r="K444" s="98" t="s">
        <v>412</v>
      </c>
    </row>
    <row r="445" spans="3:11" s="465" customFormat="1">
      <c r="C445" s="141"/>
      <c r="D445" s="158"/>
      <c r="E445" s="123"/>
      <c r="F445" s="97">
        <f t="shared" si="15"/>
        <v>0</v>
      </c>
      <c r="G445" s="161"/>
      <c r="H445" s="142"/>
      <c r="I445" s="130" t="e">
        <f>VLOOKUP(H445,Presupuesto!$B$11:$C$565,2,0)</f>
        <v>#N/A</v>
      </c>
      <c r="J445" s="98" t="str">
        <f t="shared" si="16"/>
        <v>Lo Esencial de la Reforma Universitaria</v>
      </c>
      <c r="K445" s="98" t="s">
        <v>412</v>
      </c>
    </row>
    <row r="446" spans="3:11" s="465" customFormat="1">
      <c r="C446" s="141"/>
      <c r="D446" s="158"/>
      <c r="E446" s="123"/>
      <c r="F446" s="97">
        <f t="shared" si="15"/>
        <v>0</v>
      </c>
      <c r="G446" s="161"/>
      <c r="H446" s="142"/>
      <c r="I446" s="130" t="e">
        <f>VLOOKUP(H446,Presupuesto!$B$11:$C$565,2,0)</f>
        <v>#N/A</v>
      </c>
      <c r="J446" s="98" t="str">
        <f t="shared" si="16"/>
        <v>Lo Esencial de la Reforma Universitaria</v>
      </c>
      <c r="K446" s="98" t="s">
        <v>412</v>
      </c>
    </row>
    <row r="447" spans="3:11" s="465" customFormat="1">
      <c r="C447" s="141"/>
      <c r="D447" s="158"/>
      <c r="E447" s="123"/>
      <c r="F447" s="97">
        <f t="shared" si="15"/>
        <v>0</v>
      </c>
      <c r="G447" s="161"/>
      <c r="H447" s="142"/>
      <c r="I447" s="130" t="e">
        <f>VLOOKUP(H447,Presupuesto!$B$11:$C$565,2,0)</f>
        <v>#N/A</v>
      </c>
      <c r="J447" s="98" t="str">
        <f t="shared" si="16"/>
        <v>Lo Esencial de la Reforma Universitaria</v>
      </c>
      <c r="K447" s="98" t="s">
        <v>412</v>
      </c>
    </row>
    <row r="448" spans="3:11" s="465" customFormat="1">
      <c r="C448" s="141"/>
      <c r="D448" s="158"/>
      <c r="E448" s="123"/>
      <c r="F448" s="97">
        <f t="shared" si="15"/>
        <v>0</v>
      </c>
      <c r="G448" s="161"/>
      <c r="H448" s="142"/>
      <c r="I448" s="130" t="e">
        <f>VLOOKUP(H448,Presupuesto!$B$11:$C$565,2,0)</f>
        <v>#N/A</v>
      </c>
      <c r="J448" s="98" t="str">
        <f t="shared" si="16"/>
        <v>Lo Esencial de la Reforma Universitaria</v>
      </c>
      <c r="K448" s="98" t="s">
        <v>412</v>
      </c>
    </row>
    <row r="449" spans="3:11" s="465" customFormat="1">
      <c r="C449" s="141"/>
      <c r="D449" s="158"/>
      <c r="E449" s="123"/>
      <c r="F449" s="97">
        <f t="shared" si="15"/>
        <v>0</v>
      </c>
      <c r="G449" s="161"/>
      <c r="H449" s="142"/>
      <c r="I449" s="130" t="e">
        <f>VLOOKUP(H449,Presupuesto!$B$11:$C$565,2,0)</f>
        <v>#N/A</v>
      </c>
      <c r="J449" s="98" t="str">
        <f t="shared" si="16"/>
        <v>Lo Esencial de la Reforma Universitaria</v>
      </c>
      <c r="K449" s="98" t="s">
        <v>412</v>
      </c>
    </row>
    <row r="450" spans="3:11" s="465" customFormat="1">
      <c r="C450" s="141"/>
      <c r="D450" s="158"/>
      <c r="E450" s="123"/>
      <c r="F450" s="97">
        <f t="shared" si="15"/>
        <v>0</v>
      </c>
      <c r="G450" s="161"/>
      <c r="H450" s="142"/>
      <c r="I450" s="130" t="e">
        <f>VLOOKUP(H450,Presupuesto!$B$11:$C$565,2,0)</f>
        <v>#N/A</v>
      </c>
      <c r="J450" s="98" t="str">
        <f t="shared" si="16"/>
        <v>Lo Esencial de la Reforma Universitaria</v>
      </c>
      <c r="K450" s="98" t="s">
        <v>412</v>
      </c>
    </row>
    <row r="451" spans="3:11" s="465" customFormat="1">
      <c r="C451" s="141"/>
      <c r="D451" s="158"/>
      <c r="E451" s="123"/>
      <c r="F451" s="97">
        <f t="shared" si="15"/>
        <v>0</v>
      </c>
      <c r="G451" s="161"/>
      <c r="H451" s="142"/>
      <c r="I451" s="130" t="e">
        <f>VLOOKUP(H451,Presupuesto!$B$11:$C$565,2,0)</f>
        <v>#N/A</v>
      </c>
      <c r="J451" s="98" t="str">
        <f t="shared" si="16"/>
        <v>Lo Esencial de la Reforma Universitaria</v>
      </c>
      <c r="K451" s="98" t="s">
        <v>412</v>
      </c>
    </row>
    <row r="452" spans="3:11" s="465" customFormat="1">
      <c r="C452" s="141"/>
      <c r="D452" s="158"/>
      <c r="E452" s="123"/>
      <c r="F452" s="97">
        <f t="shared" si="15"/>
        <v>0</v>
      </c>
      <c r="G452" s="161"/>
      <c r="H452" s="142"/>
      <c r="I452" s="130" t="e">
        <f>VLOOKUP(H452,Presupuesto!$B$11:$C$565,2,0)</f>
        <v>#N/A</v>
      </c>
      <c r="J452" s="98" t="str">
        <f t="shared" si="16"/>
        <v>Lo Esencial de la Reforma Universitaria</v>
      </c>
      <c r="K452" s="98" t="s">
        <v>412</v>
      </c>
    </row>
    <row r="453" spans="3:11" s="465" customFormat="1">
      <c r="C453" s="141"/>
      <c r="D453" s="158"/>
      <c r="E453" s="123"/>
      <c r="F453" s="97">
        <f t="shared" si="15"/>
        <v>0</v>
      </c>
      <c r="G453" s="161"/>
      <c r="H453" s="142"/>
      <c r="I453" s="130" t="e">
        <f>VLOOKUP(H453,Presupuesto!$B$11:$C$565,2,0)</f>
        <v>#N/A</v>
      </c>
      <c r="J453" s="98" t="str">
        <f t="shared" si="16"/>
        <v>Lo Esencial de la Reforma Universitaria</v>
      </c>
      <c r="K453" s="98" t="s">
        <v>412</v>
      </c>
    </row>
    <row r="454" spans="3:11" s="465" customFormat="1">
      <c r="C454" s="141"/>
      <c r="D454" s="158"/>
      <c r="E454" s="123"/>
      <c r="F454" s="97">
        <f t="shared" si="15"/>
        <v>0</v>
      </c>
      <c r="G454" s="161"/>
      <c r="H454" s="142"/>
      <c r="I454" s="130" t="e">
        <f>VLOOKUP(H454,Presupuesto!$B$11:$C$565,2,0)</f>
        <v>#N/A</v>
      </c>
      <c r="J454" s="98" t="str">
        <f t="shared" si="16"/>
        <v>Lo Esencial de la Reforma Universitaria</v>
      </c>
      <c r="K454" s="98" t="s">
        <v>412</v>
      </c>
    </row>
    <row r="455" spans="3:11" s="465" customFormat="1">
      <c r="C455" s="141"/>
      <c r="D455" s="158"/>
      <c r="E455" s="123"/>
      <c r="F455" s="97">
        <f t="shared" si="15"/>
        <v>0</v>
      </c>
      <c r="G455" s="161"/>
      <c r="H455" s="142"/>
      <c r="I455" s="130" t="e">
        <f>VLOOKUP(H455,Presupuesto!$B$11:$C$565,2,0)</f>
        <v>#N/A</v>
      </c>
      <c r="J455" s="98" t="str">
        <f t="shared" si="16"/>
        <v>Lo Esencial de la Reforma Universitaria</v>
      </c>
      <c r="K455" s="98" t="s">
        <v>412</v>
      </c>
    </row>
    <row r="456" spans="3:11" s="465" customFormat="1">
      <c r="C456" s="141"/>
      <c r="D456" s="158"/>
      <c r="E456" s="123"/>
      <c r="F456" s="97">
        <f t="shared" si="15"/>
        <v>0</v>
      </c>
      <c r="G456" s="161"/>
      <c r="H456" s="142"/>
      <c r="I456" s="130" t="e">
        <f>VLOOKUP(H456,Presupuesto!$B$11:$C$565,2,0)</f>
        <v>#N/A</v>
      </c>
      <c r="J456" s="98" t="str">
        <f t="shared" si="16"/>
        <v>Lo Esencial de la Reforma Universitaria</v>
      </c>
      <c r="K456" s="98" t="s">
        <v>412</v>
      </c>
    </row>
    <row r="457" spans="3:11" s="465" customFormat="1">
      <c r="C457" s="141"/>
      <c r="D457" s="158"/>
      <c r="E457" s="123"/>
      <c r="F457" s="97">
        <f t="shared" si="15"/>
        <v>0</v>
      </c>
      <c r="G457" s="161"/>
      <c r="H457" s="142"/>
      <c r="I457" s="130" t="e">
        <f>VLOOKUP(H457,Presupuesto!$B$11:$C$565,2,0)</f>
        <v>#N/A</v>
      </c>
      <c r="J457" s="98" t="str">
        <f t="shared" si="16"/>
        <v>Lo Esencial de la Reforma Universitaria</v>
      </c>
      <c r="K457" s="98" t="s">
        <v>412</v>
      </c>
    </row>
    <row r="458" spans="3:11" s="465" customFormat="1">
      <c r="C458" s="141"/>
      <c r="D458" s="158"/>
      <c r="E458" s="123"/>
      <c r="F458" s="97">
        <f t="shared" si="15"/>
        <v>0</v>
      </c>
      <c r="G458" s="161"/>
      <c r="H458" s="142"/>
      <c r="I458" s="130" t="e">
        <f>VLOOKUP(H458,Presupuesto!$B$11:$C$565,2,0)</f>
        <v>#N/A</v>
      </c>
      <c r="J458" s="98" t="str">
        <f t="shared" si="16"/>
        <v>Lo Esencial de la Reforma Universitaria</v>
      </c>
      <c r="K458" s="98" t="s">
        <v>412</v>
      </c>
    </row>
    <row r="459" spans="3:11" s="465" customFormat="1">
      <c r="C459" s="143"/>
      <c r="D459" s="151"/>
      <c r="E459" s="118"/>
      <c r="F459" s="97">
        <f t="shared" si="15"/>
        <v>0</v>
      </c>
      <c r="G459" s="161"/>
      <c r="H459" s="144"/>
      <c r="I459" s="130" t="e">
        <f>VLOOKUP(H459,Presupuesto!$B$11:$C$565,2,0)</f>
        <v>#N/A</v>
      </c>
      <c r="J459" s="98" t="str">
        <f t="shared" si="16"/>
        <v>Lo Esencial de la Reforma Universitaria</v>
      </c>
      <c r="K459" s="98" t="s">
        <v>412</v>
      </c>
    </row>
    <row r="460" spans="3:11" s="465" customFormat="1">
      <c r="C460" s="143"/>
      <c r="D460" s="151"/>
      <c r="E460" s="118"/>
      <c r="F460" s="97">
        <f t="shared" si="15"/>
        <v>0</v>
      </c>
      <c r="G460" s="161"/>
      <c r="H460" s="144"/>
      <c r="I460" s="130" t="e">
        <f>VLOOKUP(H460,Presupuesto!$B$11:$C$565,2,0)</f>
        <v>#N/A</v>
      </c>
      <c r="J460" s="98" t="str">
        <f t="shared" si="16"/>
        <v>Lo Esencial de la Reforma Universitaria</v>
      </c>
      <c r="K460" s="98" t="s">
        <v>412</v>
      </c>
    </row>
    <row r="461" spans="3:11" s="465" customFormat="1">
      <c r="C461" s="143"/>
      <c r="D461" s="151"/>
      <c r="E461" s="118"/>
      <c r="F461" s="97">
        <f t="shared" si="15"/>
        <v>0</v>
      </c>
      <c r="G461" s="161"/>
      <c r="H461" s="144"/>
      <c r="I461" s="130" t="e">
        <f>VLOOKUP(H461,Presupuesto!$B$11:$C$565,2,0)</f>
        <v>#N/A</v>
      </c>
      <c r="J461" s="98" t="str">
        <f t="shared" si="16"/>
        <v>Lo Esencial de la Reforma Universitaria</v>
      </c>
      <c r="K461" s="98" t="s">
        <v>412</v>
      </c>
    </row>
    <row r="462" spans="3:11" s="465" customFormat="1">
      <c r="C462" s="143"/>
      <c r="D462" s="151"/>
      <c r="E462" s="118"/>
      <c r="F462" s="97">
        <f t="shared" si="15"/>
        <v>0</v>
      </c>
      <c r="G462" s="161"/>
      <c r="H462" s="144"/>
      <c r="I462" s="130" t="e">
        <f>VLOOKUP(H462,Presupuesto!$B$11:$C$565,2,0)</f>
        <v>#N/A</v>
      </c>
      <c r="J462" s="98" t="str">
        <f t="shared" si="16"/>
        <v>Lo Esencial de la Reforma Universitaria</v>
      </c>
      <c r="K462" s="98" t="s">
        <v>412</v>
      </c>
    </row>
    <row r="463" spans="3:11" s="465" customFormat="1">
      <c r="C463" s="143"/>
      <c r="D463" s="151"/>
      <c r="E463" s="118"/>
      <c r="F463" s="97">
        <f t="shared" si="15"/>
        <v>0</v>
      </c>
      <c r="G463" s="161"/>
      <c r="H463" s="144"/>
      <c r="I463" s="130" t="e">
        <f>VLOOKUP(H463,Presupuesto!$B$11:$C$565,2,0)</f>
        <v>#N/A</v>
      </c>
      <c r="J463" s="98" t="str">
        <f t="shared" si="16"/>
        <v>Lo Esencial de la Reforma Universitaria</v>
      </c>
      <c r="K463" s="98" t="s">
        <v>412</v>
      </c>
    </row>
    <row r="464" spans="3:11" s="465" customFormat="1">
      <c r="C464" s="143"/>
      <c r="D464" s="151"/>
      <c r="E464" s="118"/>
      <c r="F464" s="97">
        <f t="shared" si="15"/>
        <v>0</v>
      </c>
      <c r="G464" s="161"/>
      <c r="H464" s="144"/>
      <c r="I464" s="130" t="e">
        <f>VLOOKUP(H464,Presupuesto!$B$11:$C$565,2,0)</f>
        <v>#N/A</v>
      </c>
      <c r="J464" s="98" t="str">
        <f t="shared" si="16"/>
        <v>Lo Esencial de la Reforma Universitaria</v>
      </c>
      <c r="K464" s="98" t="s">
        <v>412</v>
      </c>
    </row>
    <row r="465" spans="3:11" s="465" customFormat="1">
      <c r="C465" s="143"/>
      <c r="D465" s="151"/>
      <c r="E465" s="118"/>
      <c r="F465" s="97">
        <f t="shared" si="15"/>
        <v>0</v>
      </c>
      <c r="G465" s="161"/>
      <c r="H465" s="144"/>
      <c r="I465" s="130" t="e">
        <f>VLOOKUP(H465,Presupuesto!$B$11:$C$565,2,0)</f>
        <v>#N/A</v>
      </c>
      <c r="J465" s="98" t="str">
        <f t="shared" si="16"/>
        <v>Lo Esencial de la Reforma Universitaria</v>
      </c>
      <c r="K465" s="98" t="s">
        <v>412</v>
      </c>
    </row>
    <row r="466" spans="3:11" s="465" customFormat="1">
      <c r="C466" s="143"/>
      <c r="D466" s="151"/>
      <c r="E466" s="118"/>
      <c r="F466" s="97">
        <f t="shared" si="15"/>
        <v>0</v>
      </c>
      <c r="G466" s="161"/>
      <c r="H466" s="144"/>
      <c r="I466" s="130" t="e">
        <f>VLOOKUP(H466,Presupuesto!$B$11:$C$565,2,0)</f>
        <v>#N/A</v>
      </c>
      <c r="J466" s="98" t="str">
        <f t="shared" si="16"/>
        <v>Lo Esencial de la Reforma Universitaria</v>
      </c>
      <c r="K466" s="98" t="s">
        <v>412</v>
      </c>
    </row>
    <row r="467" spans="3:11" s="465" customFormat="1">
      <c r="C467" s="145"/>
      <c r="D467" s="151"/>
      <c r="E467" s="118"/>
      <c r="F467" s="97">
        <f t="shared" si="15"/>
        <v>0</v>
      </c>
      <c r="G467" s="161"/>
      <c r="H467" s="146"/>
      <c r="I467" s="130" t="e">
        <f>VLOOKUP(H467,Presupuesto!$B$11:$C$565,2,0)</f>
        <v>#N/A</v>
      </c>
      <c r="J467" s="98" t="str">
        <f t="shared" si="16"/>
        <v>Lo Esencial de la Reforma Universitaria</v>
      </c>
      <c r="K467" s="98" t="s">
        <v>403</v>
      </c>
    </row>
    <row r="468" spans="3:11" s="465" customFormat="1">
      <c r="C468" s="145"/>
      <c r="D468" s="151"/>
      <c r="E468" s="118"/>
      <c r="F468" s="97">
        <f t="shared" si="15"/>
        <v>0</v>
      </c>
      <c r="G468" s="161"/>
      <c r="H468" s="146"/>
      <c r="I468" s="130" t="e">
        <f>VLOOKUP(H468,Presupuesto!$B$11:$C$565,2,0)</f>
        <v>#N/A</v>
      </c>
      <c r="J468" s="98" t="str">
        <f t="shared" si="16"/>
        <v>Lo Esencial de la Reforma Universitaria</v>
      </c>
      <c r="K468" s="98" t="s">
        <v>412</v>
      </c>
    </row>
    <row r="469" spans="3:11" s="465" customFormat="1">
      <c r="C469" s="145"/>
      <c r="D469" s="151"/>
      <c r="E469" s="118"/>
      <c r="F469" s="97">
        <f t="shared" si="15"/>
        <v>0</v>
      </c>
      <c r="G469" s="161"/>
      <c r="H469" s="146"/>
      <c r="I469" s="130" t="e">
        <f>VLOOKUP(H469,Presupuesto!$B$11:$C$565,2,0)</f>
        <v>#N/A</v>
      </c>
      <c r="J469" s="98" t="str">
        <f t="shared" si="16"/>
        <v>Lo Esencial de la Reforma Universitaria</v>
      </c>
      <c r="K469" s="98" t="s">
        <v>412</v>
      </c>
    </row>
    <row r="470" spans="3:11" s="465" customFormat="1">
      <c r="C470" s="145"/>
      <c r="D470" s="151"/>
      <c r="E470" s="118"/>
      <c r="F470" s="97">
        <f t="shared" si="15"/>
        <v>0</v>
      </c>
      <c r="G470" s="161"/>
      <c r="H470" s="146"/>
      <c r="I470" s="130" t="e">
        <f>VLOOKUP(H470,Presupuesto!$B$11:$C$565,2,0)</f>
        <v>#N/A</v>
      </c>
      <c r="J470" s="98" t="str">
        <f t="shared" si="16"/>
        <v>Lo Esencial de la Reforma Universitaria</v>
      </c>
      <c r="K470" s="98" t="s">
        <v>412</v>
      </c>
    </row>
    <row r="471" spans="3:11" s="465" customFormat="1" ht="15.75" thickBot="1">
      <c r="C471" s="147"/>
      <c r="D471" s="159"/>
      <c r="E471" s="103"/>
      <c r="F471" s="105">
        <f t="shared" si="15"/>
        <v>0</v>
      </c>
      <c r="G471" s="162"/>
      <c r="H471" s="148"/>
      <c r="I471" s="132" t="e">
        <f>VLOOKUP(H471,Presupuesto!$B$11:$C$565,2,0)</f>
        <v>#N/A</v>
      </c>
      <c r="J471" s="106" t="str">
        <f t="shared" si="16"/>
        <v>Lo Esencial de la Reforma Universitaria</v>
      </c>
      <c r="K471" s="124" t="s">
        <v>394</v>
      </c>
    </row>
    <row r="472" spans="3:11" s="465" customFormat="1">
      <c r="G472" s="452"/>
    </row>
    <row r="473" spans="3:11" ht="15.75" thickBot="1"/>
    <row r="474" spans="3:11" ht="15.75" thickBot="1">
      <c r="C474" s="157" t="s">
        <v>53</v>
      </c>
      <c r="D474" s="374">
        <f>SUM(F481:F515)</f>
        <v>1789162.5</v>
      </c>
      <c r="F474" s="70"/>
      <c r="G474" s="79"/>
      <c r="H474" s="70"/>
      <c r="I474" s="70"/>
    </row>
    <row r="475" spans="3:11">
      <c r="C475" s="70"/>
      <c r="D475" s="31"/>
      <c r="E475" s="93"/>
      <c r="F475" s="93"/>
      <c r="G475" s="93"/>
      <c r="H475" s="76"/>
      <c r="I475" s="76"/>
      <c r="J475" s="76"/>
      <c r="K475" s="112"/>
    </row>
    <row r="476" spans="3:11">
      <c r="C476" s="70"/>
      <c r="D476" s="31"/>
      <c r="E476" s="93"/>
      <c r="F476" s="93"/>
      <c r="G476" s="93"/>
      <c r="H476" s="76"/>
      <c r="I476" s="76"/>
      <c r="J476" s="76"/>
      <c r="K476" s="112"/>
    </row>
    <row r="477" spans="3:11" ht="15.75">
      <c r="C477" s="202" t="s">
        <v>392</v>
      </c>
      <c r="D477" s="370">
        <v>7.12</v>
      </c>
      <c r="E477" s="93"/>
      <c r="F477" s="93"/>
      <c r="G477" s="551"/>
      <c r="H477" s="76"/>
      <c r="I477" s="76"/>
      <c r="J477" s="76"/>
      <c r="K477" s="112"/>
    </row>
    <row r="478" spans="3:11" ht="18.75">
      <c r="C478" s="211" t="str">
        <f>IFERROR(VLOOKUP(D477,'1. Desarrollo e Innov. Curricu.'!$E:$F,2,FALSE),IFERROR(VLOOKUP(D477,'2. Investigación Científica'!$E:$F,2,FALSE),IFERROR(VLOOKUP(D477,'3. Vinculación Univ. Sociedad'!$E:$F,2,FALSE),IFERROR(VLOOKUP(D477,'4. Docencia y Profesorado Univ.'!$E:$F,2,FALSE),IFERROR(VLOOKUP(D477,'5. Estudiantes y Graduados'!$E:$F,2,FALSE),IFERROR(VLOOKUP(D477,'11. Gestion Administrativa'!$E:$F,2,FALSE),IFERROR(VLOOKUP(D477,'13. Gestión Académica'!$E:$F,2,FALSE),IFERROR(VLOOKUP(D477,'8. Asegura. de la Calid. y M'!$E:$F,2,FALSE),IFERROR(VLOOKUP(D477,'6. Gestión del Conocimiento'!$E:$F,2,FALSE),IFERROR(VLOOKUP(D477,'15. Gobernabilidad y Proceso...'!$E:$F,2,FALSE),IFERROR(VLOOKUP(D477,'12. Gestión del Talento Humano'!$E:$F,2,FALSE),IFERROR(VLOOKUP(D477,'14. Internacional... de la E.S.'!$E:$F,2,FALSE),IFERROR(VLOOKUP(D477,'10. Posgrado'!$E:$F,2,FALSE),IFERROR(VLOOKUP(D477,'17. Gestión TIC'!$E:$F,2,FALSE),IFERROR(VLOOKUP(D477,'16. Desa. del Sistema Educ.Sup.'!$E:$F,2,FALSE),IFERROR(VLOOKUP(D477,'9. Cultura de Inno. Insti...'!$E:$F,2,FALSE),VLOOKUP(D477,'7. Lo Esencial de la Reforma U.'!$E:$F,2,0)))))))))))))))))</f>
        <v>Gira de conciertos navideños con el Coro Universitario y la Orquesta de Cámara de la UNAH .</v>
      </c>
      <c r="D478" s="31"/>
      <c r="E478" s="93"/>
      <c r="F478" s="93"/>
      <c r="G478" s="93"/>
      <c r="H478" s="76"/>
      <c r="I478" s="76"/>
      <c r="J478" s="76"/>
      <c r="K478" s="112"/>
    </row>
    <row r="479" spans="3:11" ht="15.75" thickBot="1">
      <c r="F479" s="93"/>
      <c r="G479" s="76"/>
      <c r="H479" s="76"/>
      <c r="I479" s="76"/>
    </row>
    <row r="480" spans="3:11" ht="30.75" thickBot="1">
      <c r="C480" s="129" t="s">
        <v>44</v>
      </c>
      <c r="D480" s="129" t="s">
        <v>55</v>
      </c>
      <c r="E480" s="136" t="s">
        <v>57</v>
      </c>
      <c r="F480" s="135" t="s">
        <v>27</v>
      </c>
      <c r="G480" s="133" t="s">
        <v>131</v>
      </c>
      <c r="H480" s="136" t="s">
        <v>46</v>
      </c>
      <c r="I480" s="133" t="s">
        <v>132</v>
      </c>
      <c r="J480" s="133" t="s">
        <v>410</v>
      </c>
      <c r="K480" s="133" t="s">
        <v>411</v>
      </c>
    </row>
    <row r="481" spans="3:11">
      <c r="C481" s="547" t="s">
        <v>432</v>
      </c>
      <c r="D481" s="222">
        <v>70</v>
      </c>
      <c r="E481" s="220">
        <f>1750*3.75</f>
        <v>6562.5</v>
      </c>
      <c r="F481" s="97">
        <f t="shared" ref="F481:F495" si="17">D481*E481</f>
        <v>459375</v>
      </c>
      <c r="G481" s="161" t="s">
        <v>129</v>
      </c>
      <c r="H481" s="142" t="s">
        <v>761</v>
      </c>
      <c r="I481" s="130" t="str">
        <f>VLOOKUP(H481,Presupuesto!$B$11:$C$565,2,0)</f>
        <v>VIATICOS NACIONALES</v>
      </c>
      <c r="J481" s="219" t="s">
        <v>1360</v>
      </c>
      <c r="K481" s="98" t="s">
        <v>404</v>
      </c>
    </row>
    <row r="482" spans="3:11">
      <c r="C482" s="547" t="s">
        <v>428</v>
      </c>
      <c r="D482" s="158">
        <v>5</v>
      </c>
      <c r="E482" s="123">
        <f>2000*3.75</f>
        <v>7500</v>
      </c>
      <c r="F482" s="97">
        <f t="shared" si="17"/>
        <v>37500</v>
      </c>
      <c r="G482" s="161" t="s">
        <v>129</v>
      </c>
      <c r="H482" s="142" t="s">
        <v>761</v>
      </c>
      <c r="I482" s="130" t="str">
        <f>VLOOKUP(H482,Presupuesto!$B$11:$C$565,2,0)</f>
        <v>VIATICOS NACIONALES</v>
      </c>
      <c r="J482" s="98" t="str">
        <f t="shared" ref="J482:J490" si="18">$J$481</f>
        <v>Lo Esencial de la Reforma Universitaria</v>
      </c>
      <c r="K482" s="98" t="s">
        <v>404</v>
      </c>
    </row>
    <row r="483" spans="3:11">
      <c r="C483" s="547" t="s">
        <v>436</v>
      </c>
      <c r="D483" s="158">
        <v>4</v>
      </c>
      <c r="E483" s="123">
        <f>1200*3.75</f>
        <v>4500</v>
      </c>
      <c r="F483" s="97">
        <f t="shared" si="17"/>
        <v>18000</v>
      </c>
      <c r="G483" s="161" t="s">
        <v>129</v>
      </c>
      <c r="H483" s="142" t="s">
        <v>761</v>
      </c>
      <c r="I483" s="130" t="str">
        <f>VLOOKUP(H483,Presupuesto!$B$11:$C$565,2,0)</f>
        <v>VIATICOS NACIONALES</v>
      </c>
      <c r="J483" s="98" t="str">
        <f t="shared" si="18"/>
        <v>Lo Esencial de la Reforma Universitaria</v>
      </c>
      <c r="K483" s="98" t="s">
        <v>404</v>
      </c>
    </row>
    <row r="484" spans="3:11">
      <c r="C484" s="547" t="s">
        <v>432</v>
      </c>
      <c r="D484" s="158">
        <v>70</v>
      </c>
      <c r="E484" s="123">
        <f>1750*2.75</f>
        <v>4812.5</v>
      </c>
      <c r="F484" s="97">
        <f t="shared" si="17"/>
        <v>336875</v>
      </c>
      <c r="G484" s="161" t="s">
        <v>129</v>
      </c>
      <c r="H484" s="142" t="s">
        <v>761</v>
      </c>
      <c r="I484" s="130" t="str">
        <f>VLOOKUP(H484,Presupuesto!$B$11:$C$565,2,0)</f>
        <v>VIATICOS NACIONALES</v>
      </c>
      <c r="J484" s="98" t="str">
        <f t="shared" si="18"/>
        <v>Lo Esencial de la Reforma Universitaria</v>
      </c>
      <c r="K484" s="98" t="s">
        <v>412</v>
      </c>
    </row>
    <row r="485" spans="3:11">
      <c r="C485" s="547" t="s">
        <v>434</v>
      </c>
      <c r="D485" s="158">
        <v>70</v>
      </c>
      <c r="E485" s="123">
        <v>900</v>
      </c>
      <c r="F485" s="97">
        <f t="shared" si="17"/>
        <v>63000</v>
      </c>
      <c r="G485" s="161" t="s">
        <v>129</v>
      </c>
      <c r="H485" s="142" t="s">
        <v>761</v>
      </c>
      <c r="I485" s="130" t="str">
        <f>VLOOKUP(H485,Presupuesto!$B$11:$C$565,2,0)</f>
        <v>VIATICOS NACIONALES</v>
      </c>
      <c r="J485" s="98" t="str">
        <f t="shared" si="18"/>
        <v>Lo Esencial de la Reforma Universitaria</v>
      </c>
      <c r="K485" s="98" t="s">
        <v>412</v>
      </c>
    </row>
    <row r="486" spans="3:11">
      <c r="C486" s="547" t="s">
        <v>428</v>
      </c>
      <c r="D486" s="158">
        <v>5</v>
      </c>
      <c r="E486" s="123">
        <f>2000*2.75</f>
        <v>5500</v>
      </c>
      <c r="F486" s="97">
        <f t="shared" si="17"/>
        <v>27500</v>
      </c>
      <c r="G486" s="161" t="s">
        <v>129</v>
      </c>
      <c r="H486" s="142" t="s">
        <v>761</v>
      </c>
      <c r="I486" s="130" t="str">
        <f>VLOOKUP(H486,Presupuesto!$B$11:$C$565,2,0)</f>
        <v>VIATICOS NACIONALES</v>
      </c>
      <c r="J486" s="98" t="str">
        <f t="shared" si="18"/>
        <v>Lo Esencial de la Reforma Universitaria</v>
      </c>
      <c r="K486" s="98" t="s">
        <v>401</v>
      </c>
    </row>
    <row r="487" spans="3:11">
      <c r="C487" s="547" t="s">
        <v>430</v>
      </c>
      <c r="D487" s="158">
        <v>5</v>
      </c>
      <c r="E487" s="123">
        <v>1150</v>
      </c>
      <c r="F487" s="97">
        <f t="shared" si="17"/>
        <v>5750</v>
      </c>
      <c r="G487" s="161" t="s">
        <v>129</v>
      </c>
      <c r="H487" s="142" t="s">
        <v>761</v>
      </c>
      <c r="I487" s="130" t="str">
        <f>VLOOKUP(H487,Presupuesto!$B$11:$C$565,2,0)</f>
        <v>VIATICOS NACIONALES</v>
      </c>
      <c r="J487" s="98" t="str">
        <f t="shared" si="18"/>
        <v>Lo Esencial de la Reforma Universitaria</v>
      </c>
      <c r="K487" s="98" t="s">
        <v>412</v>
      </c>
    </row>
    <row r="488" spans="3:11">
      <c r="C488" s="547" t="s">
        <v>436</v>
      </c>
      <c r="D488" s="158">
        <v>4</v>
      </c>
      <c r="E488" s="123">
        <f>1200*2.75</f>
        <v>3300</v>
      </c>
      <c r="F488" s="97">
        <f t="shared" si="17"/>
        <v>13200</v>
      </c>
      <c r="G488" s="161" t="s">
        <v>129</v>
      </c>
      <c r="H488" s="142" t="s">
        <v>761</v>
      </c>
      <c r="I488" s="130" t="str">
        <f>VLOOKUP(H488,Presupuesto!$B$11:$C$565,2,0)</f>
        <v>VIATICOS NACIONALES</v>
      </c>
      <c r="J488" s="98" t="str">
        <f t="shared" si="18"/>
        <v>Lo Esencial de la Reforma Universitaria</v>
      </c>
      <c r="K488" s="98" t="s">
        <v>412</v>
      </c>
    </row>
    <row r="489" spans="3:11">
      <c r="C489" s="547" t="s">
        <v>438</v>
      </c>
      <c r="D489" s="158">
        <v>4</v>
      </c>
      <c r="E489" s="123">
        <f>650*2.75</f>
        <v>1787.5</v>
      </c>
      <c r="F489" s="97">
        <f t="shared" si="17"/>
        <v>7150</v>
      </c>
      <c r="G489" s="161" t="s">
        <v>129</v>
      </c>
      <c r="H489" s="142" t="s">
        <v>761</v>
      </c>
      <c r="I489" s="130" t="str">
        <f>VLOOKUP(H489,Presupuesto!$B$11:$C$565,2,0)</f>
        <v>VIATICOS NACIONALES</v>
      </c>
      <c r="J489" s="98" t="str">
        <f t="shared" si="18"/>
        <v>Lo Esencial de la Reforma Universitaria</v>
      </c>
      <c r="K489" s="98" t="s">
        <v>412</v>
      </c>
    </row>
    <row r="490" spans="3:11">
      <c r="C490" s="547" t="s">
        <v>432</v>
      </c>
      <c r="D490" s="158">
        <v>70</v>
      </c>
      <c r="E490" s="123">
        <f>1750*2</f>
        <v>3500</v>
      </c>
      <c r="F490" s="97">
        <f t="shared" si="17"/>
        <v>245000</v>
      </c>
      <c r="G490" s="161" t="s">
        <v>129</v>
      </c>
      <c r="H490" s="142" t="s">
        <v>761</v>
      </c>
      <c r="I490" s="130" t="str">
        <f>VLOOKUP(H490,Presupuesto!$B$11:$C$565,2,0)</f>
        <v>VIATICOS NACIONALES</v>
      </c>
      <c r="J490" s="98" t="str">
        <f t="shared" si="18"/>
        <v>Lo Esencial de la Reforma Universitaria</v>
      </c>
      <c r="K490" s="98" t="s">
        <v>412</v>
      </c>
    </row>
    <row r="491" spans="3:11">
      <c r="C491" s="547" t="s">
        <v>434</v>
      </c>
      <c r="D491" s="158">
        <v>70</v>
      </c>
      <c r="E491" s="123">
        <f>900*2.75</f>
        <v>2475</v>
      </c>
      <c r="F491" s="97">
        <f t="shared" si="17"/>
        <v>173250</v>
      </c>
      <c r="G491" s="161" t="s">
        <v>129</v>
      </c>
      <c r="H491" s="142" t="s">
        <v>761</v>
      </c>
      <c r="I491" s="130" t="str">
        <f>VLOOKUP(H491,Presupuesto!$B$11:$C$565,2,0)</f>
        <v>VIATICOS NACIONALES</v>
      </c>
      <c r="J491" s="98" t="s">
        <v>1360</v>
      </c>
      <c r="K491" s="98" t="s">
        <v>412</v>
      </c>
    </row>
    <row r="492" spans="3:11">
      <c r="C492" s="547" t="s">
        <v>428</v>
      </c>
      <c r="D492" s="158">
        <v>5</v>
      </c>
      <c r="E492" s="123">
        <f>2000*2</f>
        <v>4000</v>
      </c>
      <c r="F492" s="97">
        <f t="shared" si="17"/>
        <v>20000</v>
      </c>
      <c r="G492" s="161" t="s">
        <v>129</v>
      </c>
      <c r="H492" s="142" t="s">
        <v>761</v>
      </c>
      <c r="I492" s="130" t="str">
        <f>VLOOKUP(H492,Presupuesto!$B$11:$C$565,2,0)</f>
        <v>VIATICOS NACIONALES</v>
      </c>
      <c r="J492" s="98" t="str">
        <f>$J$481</f>
        <v>Lo Esencial de la Reforma Universitaria</v>
      </c>
      <c r="K492" s="98" t="s">
        <v>412</v>
      </c>
    </row>
    <row r="493" spans="3:11">
      <c r="C493" s="547" t="s">
        <v>430</v>
      </c>
      <c r="D493" s="158">
        <v>5</v>
      </c>
      <c r="E493" s="123">
        <f>1150*2.75</f>
        <v>3162.5</v>
      </c>
      <c r="F493" s="97">
        <f t="shared" si="17"/>
        <v>15812.5</v>
      </c>
      <c r="G493" s="161" t="s">
        <v>129</v>
      </c>
      <c r="H493" s="142" t="s">
        <v>761</v>
      </c>
      <c r="I493" s="130" t="str">
        <f>VLOOKUP(H493,Presupuesto!$B$11:$C$565,2,0)</f>
        <v>VIATICOS NACIONALES</v>
      </c>
      <c r="J493" s="98" t="str">
        <f>$J$481</f>
        <v>Lo Esencial de la Reforma Universitaria</v>
      </c>
      <c r="K493" s="98" t="s">
        <v>412</v>
      </c>
    </row>
    <row r="494" spans="3:11">
      <c r="C494" s="547" t="s">
        <v>436</v>
      </c>
      <c r="D494" s="158">
        <v>4</v>
      </c>
      <c r="E494" s="123">
        <f>1200*2</f>
        <v>2400</v>
      </c>
      <c r="F494" s="97">
        <f t="shared" si="17"/>
        <v>9600</v>
      </c>
      <c r="G494" s="161" t="s">
        <v>129</v>
      </c>
      <c r="H494" s="142" t="s">
        <v>761</v>
      </c>
      <c r="I494" s="130" t="str">
        <f>VLOOKUP(H494,Presupuesto!$B$11:$C$565,2,0)</f>
        <v>VIATICOS NACIONALES</v>
      </c>
      <c r="J494" s="98" t="str">
        <f>$J$481</f>
        <v>Lo Esencial de la Reforma Universitaria</v>
      </c>
      <c r="K494" s="98" t="s">
        <v>412</v>
      </c>
    </row>
    <row r="495" spans="3:11">
      <c r="C495" s="547" t="s">
        <v>438</v>
      </c>
      <c r="D495" s="158">
        <v>4</v>
      </c>
      <c r="E495" s="123">
        <f>650*2.75</f>
        <v>1787.5</v>
      </c>
      <c r="F495" s="97">
        <f t="shared" si="17"/>
        <v>7150</v>
      </c>
      <c r="G495" s="161" t="s">
        <v>129</v>
      </c>
      <c r="H495" s="142" t="s">
        <v>761</v>
      </c>
      <c r="I495" s="130" t="str">
        <f>VLOOKUP(H495,Presupuesto!$B$11:$C$565,2,0)</f>
        <v>VIATICOS NACIONALES</v>
      </c>
      <c r="J495" s="98" t="str">
        <f>$J$481</f>
        <v>Lo Esencial de la Reforma Universitaria</v>
      </c>
      <c r="K495" s="98" t="s">
        <v>412</v>
      </c>
    </row>
    <row r="496" spans="3:11">
      <c r="C496" s="141" t="s">
        <v>1666</v>
      </c>
      <c r="D496" s="158">
        <v>1</v>
      </c>
      <c r="E496" s="123">
        <v>350000</v>
      </c>
      <c r="F496" s="97">
        <f t="shared" ref="F496:F515" si="19">D496*E496</f>
        <v>350000</v>
      </c>
      <c r="G496" s="161" t="s">
        <v>1508</v>
      </c>
      <c r="H496" s="142" t="s">
        <v>761</v>
      </c>
      <c r="I496" s="130" t="str">
        <f>VLOOKUP(H496,Presupuesto!$B$11:$C$565,2,0)</f>
        <v>VIATICOS NACIONALES</v>
      </c>
      <c r="J496" s="98" t="e">
        <f>#REF!</f>
        <v>#REF!</v>
      </c>
      <c r="K496" s="98" t="s">
        <v>412</v>
      </c>
    </row>
    <row r="497" spans="3:11">
      <c r="C497" s="141"/>
      <c r="D497" s="158"/>
      <c r="E497" s="123"/>
      <c r="F497" s="97">
        <f t="shared" si="19"/>
        <v>0</v>
      </c>
      <c r="G497" s="161"/>
      <c r="H497" s="142"/>
      <c r="I497" s="130" t="e">
        <f>VLOOKUP(H497,Presupuesto!$B$11:$C$565,2,0)</f>
        <v>#N/A</v>
      </c>
      <c r="J497" s="98" t="e">
        <f>#REF!</f>
        <v>#REF!</v>
      </c>
      <c r="K497" s="98" t="s">
        <v>412</v>
      </c>
    </row>
    <row r="498" spans="3:11">
      <c r="C498" s="141"/>
      <c r="D498" s="158"/>
      <c r="E498" s="123"/>
      <c r="F498" s="97">
        <f t="shared" si="19"/>
        <v>0</v>
      </c>
      <c r="G498" s="161"/>
      <c r="H498" s="142"/>
      <c r="I498" s="130" t="e">
        <f>VLOOKUP(H498,Presupuesto!$B$11:$C$565,2,0)</f>
        <v>#N/A</v>
      </c>
      <c r="J498" s="98" t="e">
        <f>#REF!</f>
        <v>#REF!</v>
      </c>
      <c r="K498" s="98" t="s">
        <v>412</v>
      </c>
    </row>
    <row r="499" spans="3:11">
      <c r="C499" s="141"/>
      <c r="D499" s="158"/>
      <c r="E499" s="123"/>
      <c r="F499" s="97">
        <f t="shared" si="19"/>
        <v>0</v>
      </c>
      <c r="G499" s="161"/>
      <c r="H499" s="142"/>
      <c r="I499" s="130" t="e">
        <f>VLOOKUP(H499,Presupuesto!$B$11:$C$565,2,0)</f>
        <v>#N/A</v>
      </c>
      <c r="J499" s="98" t="e">
        <f>#REF!</f>
        <v>#REF!</v>
      </c>
      <c r="K499" s="98" t="s">
        <v>412</v>
      </c>
    </row>
    <row r="500" spans="3:11">
      <c r="C500" s="141"/>
      <c r="D500" s="158"/>
      <c r="E500" s="123"/>
      <c r="F500" s="97">
        <f t="shared" si="19"/>
        <v>0</v>
      </c>
      <c r="G500" s="161"/>
      <c r="H500" s="142"/>
      <c r="I500" s="130" t="e">
        <f>VLOOKUP(H500,Presupuesto!$B$11:$C$565,2,0)</f>
        <v>#N/A</v>
      </c>
      <c r="J500" s="98" t="e">
        <f>#REF!</f>
        <v>#REF!</v>
      </c>
      <c r="K500" s="98" t="s">
        <v>412</v>
      </c>
    </row>
    <row r="501" spans="3:11">
      <c r="C501" s="141"/>
      <c r="D501" s="158"/>
      <c r="E501" s="123"/>
      <c r="F501" s="97">
        <f t="shared" si="19"/>
        <v>0</v>
      </c>
      <c r="G501" s="161"/>
      <c r="H501" s="142"/>
      <c r="I501" s="130" t="e">
        <f>VLOOKUP(H501,Presupuesto!$B$11:$C$565,2,0)</f>
        <v>#N/A</v>
      </c>
      <c r="J501" s="98" t="e">
        <f>#REF!</f>
        <v>#REF!</v>
      </c>
      <c r="K501" s="98" t="s">
        <v>412</v>
      </c>
    </row>
    <row r="502" spans="3:11">
      <c r="C502" s="141"/>
      <c r="D502" s="158"/>
      <c r="E502" s="123"/>
      <c r="F502" s="97">
        <f t="shared" si="19"/>
        <v>0</v>
      </c>
      <c r="G502" s="161"/>
      <c r="H502" s="142"/>
      <c r="I502" s="130" t="e">
        <f>VLOOKUP(H502,Presupuesto!$B$11:$C$565,2,0)</f>
        <v>#N/A</v>
      </c>
      <c r="J502" s="98" t="e">
        <f>#REF!</f>
        <v>#REF!</v>
      </c>
      <c r="K502" s="98" t="s">
        <v>412</v>
      </c>
    </row>
    <row r="503" spans="3:11">
      <c r="C503" s="143"/>
      <c r="D503" s="151"/>
      <c r="E503" s="118"/>
      <c r="F503" s="97">
        <f t="shared" si="19"/>
        <v>0</v>
      </c>
      <c r="G503" s="161"/>
      <c r="H503" s="144"/>
      <c r="I503" s="130" t="e">
        <f>VLOOKUP(H503,Presupuesto!$B$11:$C$565,2,0)</f>
        <v>#N/A</v>
      </c>
      <c r="J503" s="98" t="e">
        <f>#REF!</f>
        <v>#REF!</v>
      </c>
      <c r="K503" s="98" t="s">
        <v>412</v>
      </c>
    </row>
    <row r="504" spans="3:11">
      <c r="C504" s="143"/>
      <c r="D504" s="151"/>
      <c r="E504" s="118"/>
      <c r="F504" s="97">
        <f t="shared" si="19"/>
        <v>0</v>
      </c>
      <c r="G504" s="161"/>
      <c r="H504" s="144"/>
      <c r="I504" s="130" t="e">
        <f>VLOOKUP(H504,Presupuesto!$B$11:$C$565,2,0)</f>
        <v>#N/A</v>
      </c>
      <c r="J504" s="98" t="e">
        <f>#REF!</f>
        <v>#REF!</v>
      </c>
      <c r="K504" s="98" t="s">
        <v>412</v>
      </c>
    </row>
    <row r="505" spans="3:11">
      <c r="C505" s="143"/>
      <c r="D505" s="151"/>
      <c r="E505" s="118"/>
      <c r="F505" s="97">
        <f t="shared" si="19"/>
        <v>0</v>
      </c>
      <c r="G505" s="161"/>
      <c r="H505" s="144"/>
      <c r="I505" s="130" t="e">
        <f>VLOOKUP(H505,Presupuesto!$B$11:$C$565,2,0)</f>
        <v>#N/A</v>
      </c>
      <c r="J505" s="98" t="e">
        <f>#REF!</f>
        <v>#REF!</v>
      </c>
      <c r="K505" s="98" t="s">
        <v>412</v>
      </c>
    </row>
    <row r="506" spans="3:11">
      <c r="C506" s="143"/>
      <c r="D506" s="151"/>
      <c r="E506" s="118"/>
      <c r="F506" s="97">
        <f t="shared" si="19"/>
        <v>0</v>
      </c>
      <c r="G506" s="161"/>
      <c r="H506" s="144"/>
      <c r="I506" s="130" t="e">
        <f>VLOOKUP(H506,Presupuesto!$B$11:$C$565,2,0)</f>
        <v>#N/A</v>
      </c>
      <c r="J506" s="98" t="e">
        <f>#REF!</f>
        <v>#REF!</v>
      </c>
      <c r="K506" s="98" t="s">
        <v>412</v>
      </c>
    </row>
    <row r="507" spans="3:11">
      <c r="C507" s="143"/>
      <c r="D507" s="151"/>
      <c r="E507" s="118"/>
      <c r="F507" s="97">
        <f t="shared" si="19"/>
        <v>0</v>
      </c>
      <c r="G507" s="161"/>
      <c r="H507" s="144"/>
      <c r="I507" s="130" t="e">
        <f>VLOOKUP(H507,Presupuesto!$B$11:$C$565,2,0)</f>
        <v>#N/A</v>
      </c>
      <c r="J507" s="98" t="e">
        <f>#REF!</f>
        <v>#REF!</v>
      </c>
      <c r="K507" s="98" t="s">
        <v>412</v>
      </c>
    </row>
    <row r="508" spans="3:11">
      <c r="C508" s="143"/>
      <c r="D508" s="151"/>
      <c r="E508" s="118"/>
      <c r="F508" s="97">
        <f t="shared" si="19"/>
        <v>0</v>
      </c>
      <c r="G508" s="161"/>
      <c r="H508" s="144"/>
      <c r="I508" s="130" t="e">
        <f>VLOOKUP(H508,Presupuesto!$B$11:$C$565,2,0)</f>
        <v>#N/A</v>
      </c>
      <c r="J508" s="98" t="e">
        <f>#REF!</f>
        <v>#REF!</v>
      </c>
      <c r="K508" s="98" t="s">
        <v>412</v>
      </c>
    </row>
    <row r="509" spans="3:11">
      <c r="C509" s="143"/>
      <c r="D509" s="151"/>
      <c r="E509" s="118"/>
      <c r="F509" s="97">
        <f t="shared" si="19"/>
        <v>0</v>
      </c>
      <c r="G509" s="161"/>
      <c r="H509" s="144"/>
      <c r="I509" s="130" t="e">
        <f>VLOOKUP(H509,Presupuesto!$B$11:$C$565,2,0)</f>
        <v>#N/A</v>
      </c>
      <c r="J509" s="98" t="e">
        <f>#REF!</f>
        <v>#REF!</v>
      </c>
      <c r="K509" s="98" t="s">
        <v>412</v>
      </c>
    </row>
    <row r="510" spans="3:11">
      <c r="C510" s="143"/>
      <c r="D510" s="151"/>
      <c r="E510" s="118"/>
      <c r="F510" s="97">
        <f t="shared" si="19"/>
        <v>0</v>
      </c>
      <c r="G510" s="161"/>
      <c r="H510" s="144"/>
      <c r="I510" s="130" t="e">
        <f>VLOOKUP(H510,Presupuesto!$B$11:$C$565,2,0)</f>
        <v>#N/A</v>
      </c>
      <c r="J510" s="98" t="e">
        <f>#REF!</f>
        <v>#REF!</v>
      </c>
      <c r="K510" s="98" t="s">
        <v>412</v>
      </c>
    </row>
    <row r="511" spans="3:11">
      <c r="C511" s="145"/>
      <c r="D511" s="151"/>
      <c r="E511" s="118"/>
      <c r="F511" s="97">
        <f t="shared" si="19"/>
        <v>0</v>
      </c>
      <c r="G511" s="161"/>
      <c r="H511" s="146"/>
      <c r="I511" s="130" t="e">
        <f>VLOOKUP(H511,Presupuesto!$B$11:$C$565,2,0)</f>
        <v>#N/A</v>
      </c>
      <c r="J511" s="98" t="e">
        <f>#REF!</f>
        <v>#REF!</v>
      </c>
      <c r="K511" s="98" t="s">
        <v>403</v>
      </c>
    </row>
    <row r="512" spans="3:11">
      <c r="C512" s="145"/>
      <c r="D512" s="151"/>
      <c r="E512" s="118"/>
      <c r="F512" s="97">
        <f t="shared" si="19"/>
        <v>0</v>
      </c>
      <c r="G512" s="161"/>
      <c r="H512" s="146"/>
      <c r="I512" s="130" t="e">
        <f>VLOOKUP(H512,Presupuesto!$B$11:$C$565,2,0)</f>
        <v>#N/A</v>
      </c>
      <c r="J512" s="98" t="e">
        <f>#REF!</f>
        <v>#REF!</v>
      </c>
      <c r="K512" s="98" t="s">
        <v>412</v>
      </c>
    </row>
    <row r="513" spans="3:11">
      <c r="C513" s="145"/>
      <c r="D513" s="151"/>
      <c r="E513" s="118"/>
      <c r="F513" s="97">
        <f t="shared" si="19"/>
        <v>0</v>
      </c>
      <c r="G513" s="161"/>
      <c r="H513" s="146"/>
      <c r="I513" s="130" t="e">
        <f>VLOOKUP(H513,Presupuesto!$B$11:$C$565,2,0)</f>
        <v>#N/A</v>
      </c>
      <c r="J513" s="98" t="e">
        <f>#REF!</f>
        <v>#REF!</v>
      </c>
      <c r="K513" s="98" t="s">
        <v>412</v>
      </c>
    </row>
    <row r="514" spans="3:11">
      <c r="C514" s="145"/>
      <c r="D514" s="151"/>
      <c r="E514" s="118"/>
      <c r="F514" s="97">
        <f t="shared" si="19"/>
        <v>0</v>
      </c>
      <c r="G514" s="161"/>
      <c r="H514" s="146"/>
      <c r="I514" s="130" t="e">
        <f>VLOOKUP(H514,Presupuesto!$B$11:$C$565,2,0)</f>
        <v>#N/A</v>
      </c>
      <c r="J514" s="98" t="e">
        <f>#REF!</f>
        <v>#REF!</v>
      </c>
      <c r="K514" s="98" t="s">
        <v>412</v>
      </c>
    </row>
    <row r="515" spans="3:11" ht="15.75" thickBot="1">
      <c r="C515" s="147"/>
      <c r="D515" s="159"/>
      <c r="E515" s="103"/>
      <c r="F515" s="105">
        <f t="shared" si="19"/>
        <v>0</v>
      </c>
      <c r="G515" s="162"/>
      <c r="H515" s="148"/>
      <c r="I515" s="132" t="e">
        <f>VLOOKUP(H515,Presupuesto!$B$11:$C$565,2,0)</f>
        <v>#N/A</v>
      </c>
      <c r="J515" s="106" t="e">
        <f>#REF!</f>
        <v>#REF!</v>
      </c>
      <c r="K515" s="124" t="s">
        <v>394</v>
      </c>
    </row>
    <row r="517" spans="3:11" ht="15.75" thickBot="1">
      <c r="F517" s="90"/>
      <c r="G517" s="89"/>
      <c r="H517" s="90"/>
      <c r="I517" s="90"/>
    </row>
    <row r="518" spans="3:11" ht="15.75" thickBot="1">
      <c r="C518" s="157" t="s">
        <v>53</v>
      </c>
      <c r="D518" s="374">
        <f>SUM(F525:F559)</f>
        <v>170000</v>
      </c>
      <c r="F518" s="70"/>
      <c r="G518" s="79"/>
      <c r="H518" s="70"/>
      <c r="I518" s="70"/>
    </row>
    <row r="519" spans="3:11">
      <c r="C519" s="70"/>
      <c r="D519" s="31"/>
      <c r="E519" s="93"/>
      <c r="F519" s="93"/>
      <c r="G519" s="93"/>
      <c r="H519" s="76"/>
      <c r="I519" s="76"/>
      <c r="J519" s="76"/>
      <c r="K519" s="112"/>
    </row>
    <row r="520" spans="3:11">
      <c r="C520" s="70"/>
      <c r="D520" s="31"/>
      <c r="E520" s="93"/>
      <c r="F520" s="93"/>
      <c r="G520" s="93"/>
      <c r="H520" s="76"/>
      <c r="I520" s="76"/>
      <c r="J520" s="76"/>
      <c r="K520" s="112"/>
    </row>
    <row r="521" spans="3:11" ht="15.75">
      <c r="C521" s="202" t="s">
        <v>392</v>
      </c>
      <c r="D521" s="370">
        <v>7.14</v>
      </c>
      <c r="E521" s="93"/>
      <c r="F521" s="93"/>
      <c r="G521" s="93"/>
      <c r="H521" s="76"/>
      <c r="I521" s="76"/>
      <c r="J521" s="76"/>
      <c r="K521" s="112"/>
    </row>
    <row r="522" spans="3:11" ht="18.75">
      <c r="C522" s="211" t="str">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 xml:space="preserve">Gestionar la compra de insumos para el Fortalecimiento del coro universitario y Orquesta de Camara </v>
      </c>
      <c r="D522" s="31"/>
      <c r="E522" s="93"/>
      <c r="F522" s="93"/>
      <c r="G522" s="93"/>
      <c r="H522" s="76"/>
      <c r="I522" s="76"/>
      <c r="J522" s="76"/>
      <c r="K522" s="112"/>
    </row>
    <row r="523" spans="3:11" ht="15.75" thickBot="1">
      <c r="F523" s="93"/>
      <c r="G523" s="76"/>
      <c r="H523" s="76"/>
      <c r="I523" s="76"/>
    </row>
    <row r="524" spans="3:11" ht="30.75" thickBot="1">
      <c r="C524" s="129" t="s">
        <v>44</v>
      </c>
      <c r="D524" s="129" t="s">
        <v>55</v>
      </c>
      <c r="E524" s="136" t="s">
        <v>57</v>
      </c>
      <c r="F524" s="135" t="s">
        <v>27</v>
      </c>
      <c r="G524" s="133" t="s">
        <v>131</v>
      </c>
      <c r="H524" s="136" t="s">
        <v>46</v>
      </c>
      <c r="I524" s="133" t="s">
        <v>132</v>
      </c>
      <c r="J524" s="133" t="s">
        <v>410</v>
      </c>
      <c r="K524" s="133" t="s">
        <v>411</v>
      </c>
    </row>
    <row r="525" spans="3:11">
      <c r="C525" s="221" t="s">
        <v>439</v>
      </c>
      <c r="D525" s="222"/>
      <c r="E525" s="220">
        <f>HLOOKUP(C525,$AH$2:$BU$3,2,0)</f>
        <v>620</v>
      </c>
      <c r="F525" s="97">
        <f t="shared" ref="F525:F559" si="20">D525*E525</f>
        <v>0</v>
      </c>
      <c r="G525" s="161"/>
      <c r="H525" s="142"/>
      <c r="I525" s="130" t="e">
        <f>VLOOKUP(H525,Presupuesto!$B$11:$C$565,2,0)</f>
        <v>#N/A</v>
      </c>
      <c r="J525" s="219" t="s">
        <v>1478</v>
      </c>
      <c r="K525" s="98" t="s">
        <v>394</v>
      </c>
    </row>
    <row r="526" spans="3:11">
      <c r="C526" s="141" t="s">
        <v>1644</v>
      </c>
      <c r="D526" s="158">
        <v>68</v>
      </c>
      <c r="E526" s="123">
        <v>40</v>
      </c>
      <c r="F526" s="97">
        <f t="shared" si="20"/>
        <v>2720</v>
      </c>
      <c r="G526" s="161" t="s">
        <v>1508</v>
      </c>
      <c r="H526" s="142" t="s">
        <v>942</v>
      </c>
      <c r="I526" s="130" t="str">
        <f>VLOOKUP(H526,Presupuesto!$B$11:$C$565,2,0)</f>
        <v>UTILES DE ESCRITORIO, OFICINA Y ENSE¥ANZA</v>
      </c>
      <c r="J526" s="98" t="s">
        <v>1360</v>
      </c>
      <c r="K526" s="98" t="s">
        <v>412</v>
      </c>
    </row>
    <row r="527" spans="3:11">
      <c r="C527" s="141" t="s">
        <v>1642</v>
      </c>
      <c r="D527" s="158">
        <v>79</v>
      </c>
      <c r="E527" s="123">
        <f>300*4</f>
        <v>1200</v>
      </c>
      <c r="F527" s="97">
        <f t="shared" si="20"/>
        <v>94800</v>
      </c>
      <c r="G527" s="161" t="s">
        <v>1508</v>
      </c>
      <c r="H527" s="142" t="s">
        <v>808</v>
      </c>
      <c r="I527" s="130" t="str">
        <f>VLOOKUP(H527,Presupuesto!$B$11:$C$565,2,0)</f>
        <v>PRENDA DE VESTIR</v>
      </c>
      <c r="J527" s="98" t="s">
        <v>1360</v>
      </c>
      <c r="K527" s="98" t="s">
        <v>412</v>
      </c>
    </row>
    <row r="528" spans="3:11" ht="30">
      <c r="C528" s="550" t="s">
        <v>1643</v>
      </c>
      <c r="D528" s="158">
        <v>20</v>
      </c>
      <c r="E528" s="123">
        <v>3624</v>
      </c>
      <c r="F528" s="97">
        <f t="shared" si="20"/>
        <v>72480</v>
      </c>
      <c r="G528" s="161" t="s">
        <v>1508</v>
      </c>
      <c r="H528" s="142" t="s">
        <v>719</v>
      </c>
      <c r="I528" s="130" t="str">
        <f>VLOOKUP(H528,Presupuesto!$B$11:$C$565,2,0)</f>
        <v>IMPRENTA Y PUBLICIDAD Y REPRODUC.</v>
      </c>
      <c r="J528" s="98" t="s">
        <v>1360</v>
      </c>
      <c r="K528" s="98" t="s">
        <v>412</v>
      </c>
    </row>
    <row r="529" spans="3:11">
      <c r="C529" s="141"/>
      <c r="D529" s="158"/>
      <c r="E529" s="123"/>
      <c r="F529" s="97">
        <f t="shared" si="20"/>
        <v>0</v>
      </c>
      <c r="G529" s="161"/>
      <c r="H529" s="142"/>
      <c r="I529" s="130" t="e">
        <f>VLOOKUP(H529,Presupuesto!$B$11:$C$565,2,0)</f>
        <v>#N/A</v>
      </c>
      <c r="J529" s="98" t="str">
        <f t="shared" ref="J529:J559" si="21">$J$525</f>
        <v>Desarrollo del Sistema de Educación Superior</v>
      </c>
      <c r="K529" s="98" t="s">
        <v>412</v>
      </c>
    </row>
    <row r="530" spans="3:11">
      <c r="C530" s="141"/>
      <c r="D530" s="158"/>
      <c r="E530" s="123"/>
      <c r="F530" s="97">
        <f t="shared" si="20"/>
        <v>0</v>
      </c>
      <c r="G530" s="161"/>
      <c r="H530" s="142"/>
      <c r="I530" s="130" t="e">
        <f>VLOOKUP(H530,Presupuesto!$B$11:$C$565,2,0)</f>
        <v>#N/A</v>
      </c>
      <c r="J530" s="98" t="str">
        <f t="shared" si="21"/>
        <v>Desarrollo del Sistema de Educación Superior</v>
      </c>
      <c r="K530" s="98" t="s">
        <v>401</v>
      </c>
    </row>
    <row r="531" spans="3:11">
      <c r="C531" s="141"/>
      <c r="D531" s="158"/>
      <c r="E531" s="123"/>
      <c r="F531" s="97">
        <f t="shared" si="20"/>
        <v>0</v>
      </c>
      <c r="G531" s="161"/>
      <c r="H531" s="142"/>
      <c r="I531" s="130" t="e">
        <f>VLOOKUP(H531,Presupuesto!$B$11:$C$565,2,0)</f>
        <v>#N/A</v>
      </c>
      <c r="J531" s="98" t="str">
        <f t="shared" si="21"/>
        <v>Desarrollo del Sistema de Educación Superior</v>
      </c>
      <c r="K531" s="98" t="s">
        <v>412</v>
      </c>
    </row>
    <row r="532" spans="3:11">
      <c r="C532" s="141"/>
      <c r="D532" s="158"/>
      <c r="E532" s="123"/>
      <c r="F532" s="97">
        <f t="shared" si="20"/>
        <v>0</v>
      </c>
      <c r="G532" s="161"/>
      <c r="H532" s="142"/>
      <c r="I532" s="130" t="e">
        <f>VLOOKUP(H532,Presupuesto!$B$11:$C$565,2,0)</f>
        <v>#N/A</v>
      </c>
      <c r="J532" s="98" t="str">
        <f t="shared" si="21"/>
        <v>Desarrollo del Sistema de Educación Superior</v>
      </c>
      <c r="K532" s="98" t="s">
        <v>412</v>
      </c>
    </row>
    <row r="533" spans="3:11">
      <c r="C533" s="141"/>
      <c r="D533" s="158"/>
      <c r="E533" s="123"/>
      <c r="F533" s="97">
        <f t="shared" si="20"/>
        <v>0</v>
      </c>
      <c r="G533" s="161"/>
      <c r="H533" s="142"/>
      <c r="I533" s="130" t="e">
        <f>VLOOKUP(H533,Presupuesto!$B$11:$C$565,2,0)</f>
        <v>#N/A</v>
      </c>
      <c r="J533" s="98" t="str">
        <f t="shared" si="21"/>
        <v>Desarrollo del Sistema de Educación Superior</v>
      </c>
      <c r="K533" s="98" t="s">
        <v>412</v>
      </c>
    </row>
    <row r="534" spans="3:11">
      <c r="C534" s="141"/>
      <c r="D534" s="158"/>
      <c r="E534" s="123"/>
      <c r="F534" s="97">
        <f t="shared" si="20"/>
        <v>0</v>
      </c>
      <c r="G534" s="161"/>
      <c r="H534" s="142"/>
      <c r="I534" s="130" t="e">
        <f>VLOOKUP(H534,Presupuesto!$B$11:$C$565,2,0)</f>
        <v>#N/A</v>
      </c>
      <c r="J534" s="98" t="str">
        <f t="shared" si="21"/>
        <v>Desarrollo del Sistema de Educación Superior</v>
      </c>
      <c r="K534" s="98" t="s">
        <v>412</v>
      </c>
    </row>
    <row r="535" spans="3:11">
      <c r="C535" s="141"/>
      <c r="D535" s="158"/>
      <c r="E535" s="123"/>
      <c r="F535" s="97">
        <f t="shared" si="20"/>
        <v>0</v>
      </c>
      <c r="G535" s="161"/>
      <c r="H535" s="142"/>
      <c r="I535" s="130" t="e">
        <f>VLOOKUP(H535,Presupuesto!$B$11:$C$565,2,0)</f>
        <v>#N/A</v>
      </c>
      <c r="J535" s="98" t="str">
        <f t="shared" si="21"/>
        <v>Desarrollo del Sistema de Educación Superior</v>
      </c>
      <c r="K535" s="98" t="s">
        <v>412</v>
      </c>
    </row>
    <row r="536" spans="3:11">
      <c r="C536" s="141"/>
      <c r="D536" s="158"/>
      <c r="E536" s="123"/>
      <c r="F536" s="97">
        <f t="shared" si="20"/>
        <v>0</v>
      </c>
      <c r="G536" s="161"/>
      <c r="H536" s="142"/>
      <c r="I536" s="130" t="e">
        <f>VLOOKUP(H536,Presupuesto!$B$11:$C$565,2,0)</f>
        <v>#N/A</v>
      </c>
      <c r="J536" s="98" t="str">
        <f t="shared" si="21"/>
        <v>Desarrollo del Sistema de Educación Superior</v>
      </c>
      <c r="K536" s="98" t="s">
        <v>412</v>
      </c>
    </row>
    <row r="537" spans="3:11">
      <c r="C537" s="141"/>
      <c r="D537" s="158"/>
      <c r="E537" s="123"/>
      <c r="F537" s="97">
        <f t="shared" si="20"/>
        <v>0</v>
      </c>
      <c r="G537" s="161"/>
      <c r="H537" s="142"/>
      <c r="I537" s="130" t="e">
        <f>VLOOKUP(H537,Presupuesto!$B$11:$C$565,2,0)</f>
        <v>#N/A</v>
      </c>
      <c r="J537" s="98" t="str">
        <f t="shared" si="21"/>
        <v>Desarrollo del Sistema de Educación Superior</v>
      </c>
      <c r="K537" s="98" t="s">
        <v>412</v>
      </c>
    </row>
    <row r="538" spans="3:11">
      <c r="C538" s="141"/>
      <c r="D538" s="158"/>
      <c r="E538" s="123"/>
      <c r="F538" s="97">
        <f t="shared" si="20"/>
        <v>0</v>
      </c>
      <c r="G538" s="161"/>
      <c r="H538" s="142"/>
      <c r="I538" s="130" t="e">
        <f>VLOOKUP(H538,Presupuesto!$B$11:$C$565,2,0)</f>
        <v>#N/A</v>
      </c>
      <c r="J538" s="98" t="str">
        <f t="shared" si="21"/>
        <v>Desarrollo del Sistema de Educación Superior</v>
      </c>
      <c r="K538" s="98" t="s">
        <v>412</v>
      </c>
    </row>
    <row r="539" spans="3:11">
      <c r="C539" s="141"/>
      <c r="D539" s="158"/>
      <c r="E539" s="123"/>
      <c r="F539" s="97">
        <f t="shared" si="20"/>
        <v>0</v>
      </c>
      <c r="G539" s="161"/>
      <c r="H539" s="142"/>
      <c r="I539" s="130" t="e">
        <f>VLOOKUP(H539,Presupuesto!$B$11:$C$565,2,0)</f>
        <v>#N/A</v>
      </c>
      <c r="J539" s="98" t="str">
        <f t="shared" si="21"/>
        <v>Desarrollo del Sistema de Educación Superior</v>
      </c>
      <c r="K539" s="98" t="s">
        <v>412</v>
      </c>
    </row>
    <row r="540" spans="3:11">
      <c r="C540" s="141"/>
      <c r="D540" s="158"/>
      <c r="E540" s="123"/>
      <c r="F540" s="97">
        <f t="shared" si="20"/>
        <v>0</v>
      </c>
      <c r="G540" s="161"/>
      <c r="H540" s="142"/>
      <c r="I540" s="130" t="e">
        <f>VLOOKUP(H540,Presupuesto!$B$11:$C$565,2,0)</f>
        <v>#N/A</v>
      </c>
      <c r="J540" s="98" t="str">
        <f t="shared" si="21"/>
        <v>Desarrollo del Sistema de Educación Superior</v>
      </c>
      <c r="K540" s="98" t="s">
        <v>412</v>
      </c>
    </row>
    <row r="541" spans="3:11">
      <c r="C541" s="141"/>
      <c r="D541" s="158"/>
      <c r="E541" s="123"/>
      <c r="F541" s="97">
        <f t="shared" si="20"/>
        <v>0</v>
      </c>
      <c r="G541" s="161"/>
      <c r="H541" s="142"/>
      <c r="I541" s="130" t="e">
        <f>VLOOKUP(H541,Presupuesto!$B$11:$C$565,2,0)</f>
        <v>#N/A</v>
      </c>
      <c r="J541" s="98" t="str">
        <f t="shared" si="21"/>
        <v>Desarrollo del Sistema de Educación Superior</v>
      </c>
      <c r="K541" s="98" t="s">
        <v>412</v>
      </c>
    </row>
    <row r="542" spans="3:11">
      <c r="C542" s="141"/>
      <c r="D542" s="158"/>
      <c r="E542" s="123"/>
      <c r="F542" s="97">
        <f t="shared" si="20"/>
        <v>0</v>
      </c>
      <c r="G542" s="161"/>
      <c r="H542" s="142"/>
      <c r="I542" s="130" t="e">
        <f>VLOOKUP(H542,Presupuesto!$B$11:$C$565,2,0)</f>
        <v>#N/A</v>
      </c>
      <c r="J542" s="98" t="str">
        <f t="shared" si="21"/>
        <v>Desarrollo del Sistema de Educación Superior</v>
      </c>
      <c r="K542" s="98" t="s">
        <v>412</v>
      </c>
    </row>
    <row r="543" spans="3:11">
      <c r="C543" s="141"/>
      <c r="D543" s="158"/>
      <c r="E543" s="123"/>
      <c r="F543" s="97">
        <f t="shared" si="20"/>
        <v>0</v>
      </c>
      <c r="G543" s="161"/>
      <c r="H543" s="142"/>
      <c r="I543" s="130" t="e">
        <f>VLOOKUP(H543,Presupuesto!$B$11:$C$565,2,0)</f>
        <v>#N/A</v>
      </c>
      <c r="J543" s="98" t="str">
        <f t="shared" si="21"/>
        <v>Desarrollo del Sistema de Educación Superior</v>
      </c>
      <c r="K543" s="98" t="s">
        <v>412</v>
      </c>
    </row>
    <row r="544" spans="3:11">
      <c r="C544" s="141"/>
      <c r="D544" s="158"/>
      <c r="E544" s="123"/>
      <c r="F544" s="97">
        <f t="shared" si="20"/>
        <v>0</v>
      </c>
      <c r="G544" s="161"/>
      <c r="H544" s="142"/>
      <c r="I544" s="130" t="e">
        <f>VLOOKUP(H544,Presupuesto!$B$11:$C$565,2,0)</f>
        <v>#N/A</v>
      </c>
      <c r="J544" s="98" t="str">
        <f t="shared" si="21"/>
        <v>Desarrollo del Sistema de Educación Superior</v>
      </c>
      <c r="K544" s="98" t="s">
        <v>412</v>
      </c>
    </row>
    <row r="545" spans="3:11">
      <c r="C545" s="141"/>
      <c r="D545" s="158"/>
      <c r="E545" s="123"/>
      <c r="F545" s="97">
        <f t="shared" si="20"/>
        <v>0</v>
      </c>
      <c r="G545" s="161"/>
      <c r="H545" s="142"/>
      <c r="I545" s="130" t="e">
        <f>VLOOKUP(H545,Presupuesto!$B$11:$C$565,2,0)</f>
        <v>#N/A</v>
      </c>
      <c r="J545" s="98" t="str">
        <f t="shared" si="21"/>
        <v>Desarrollo del Sistema de Educación Superior</v>
      </c>
      <c r="K545" s="98" t="s">
        <v>412</v>
      </c>
    </row>
    <row r="546" spans="3:11">
      <c r="C546" s="141"/>
      <c r="D546" s="158"/>
      <c r="E546" s="123"/>
      <c r="F546" s="97">
        <f t="shared" si="20"/>
        <v>0</v>
      </c>
      <c r="G546" s="161"/>
      <c r="H546" s="142"/>
      <c r="I546" s="130" t="e">
        <f>VLOOKUP(H546,Presupuesto!$B$11:$C$565,2,0)</f>
        <v>#N/A</v>
      </c>
      <c r="J546" s="98" t="str">
        <f t="shared" si="21"/>
        <v>Desarrollo del Sistema de Educación Superior</v>
      </c>
      <c r="K546" s="98" t="s">
        <v>412</v>
      </c>
    </row>
    <row r="547" spans="3:11">
      <c r="C547" s="143"/>
      <c r="D547" s="151"/>
      <c r="E547" s="118"/>
      <c r="F547" s="97">
        <f t="shared" si="20"/>
        <v>0</v>
      </c>
      <c r="G547" s="161"/>
      <c r="H547" s="144"/>
      <c r="I547" s="130" t="e">
        <f>VLOOKUP(H547,Presupuesto!$B$11:$C$565,2,0)</f>
        <v>#N/A</v>
      </c>
      <c r="J547" s="98" t="str">
        <f t="shared" si="21"/>
        <v>Desarrollo del Sistema de Educación Superior</v>
      </c>
      <c r="K547" s="98" t="s">
        <v>412</v>
      </c>
    </row>
    <row r="548" spans="3:11">
      <c r="C548" s="143"/>
      <c r="D548" s="151"/>
      <c r="E548" s="118"/>
      <c r="F548" s="97">
        <f t="shared" si="20"/>
        <v>0</v>
      </c>
      <c r="G548" s="161"/>
      <c r="H548" s="144"/>
      <c r="I548" s="130" t="e">
        <f>VLOOKUP(H548,Presupuesto!$B$11:$C$565,2,0)</f>
        <v>#N/A</v>
      </c>
      <c r="J548" s="98" t="str">
        <f t="shared" si="21"/>
        <v>Desarrollo del Sistema de Educación Superior</v>
      </c>
      <c r="K548" s="98" t="s">
        <v>412</v>
      </c>
    </row>
    <row r="549" spans="3:11">
      <c r="C549" s="143"/>
      <c r="D549" s="151"/>
      <c r="E549" s="118"/>
      <c r="F549" s="97">
        <f t="shared" si="20"/>
        <v>0</v>
      </c>
      <c r="G549" s="161"/>
      <c r="H549" s="144"/>
      <c r="I549" s="130" t="e">
        <f>VLOOKUP(H549,Presupuesto!$B$11:$C$565,2,0)</f>
        <v>#N/A</v>
      </c>
      <c r="J549" s="98" t="str">
        <f t="shared" si="21"/>
        <v>Desarrollo del Sistema de Educación Superior</v>
      </c>
      <c r="K549" s="98" t="s">
        <v>412</v>
      </c>
    </row>
    <row r="550" spans="3:11">
      <c r="C550" s="143"/>
      <c r="D550" s="151"/>
      <c r="E550" s="118"/>
      <c r="F550" s="97">
        <f t="shared" si="20"/>
        <v>0</v>
      </c>
      <c r="G550" s="161"/>
      <c r="H550" s="144"/>
      <c r="I550" s="130" t="e">
        <f>VLOOKUP(H550,Presupuesto!$B$11:$C$565,2,0)</f>
        <v>#N/A</v>
      </c>
      <c r="J550" s="98" t="str">
        <f t="shared" si="21"/>
        <v>Desarrollo del Sistema de Educación Superior</v>
      </c>
      <c r="K550" s="98" t="s">
        <v>412</v>
      </c>
    </row>
    <row r="551" spans="3:11">
      <c r="C551" s="143"/>
      <c r="D551" s="151"/>
      <c r="E551" s="118"/>
      <c r="F551" s="97">
        <f t="shared" si="20"/>
        <v>0</v>
      </c>
      <c r="G551" s="161"/>
      <c r="H551" s="144"/>
      <c r="I551" s="130" t="e">
        <f>VLOOKUP(H551,Presupuesto!$B$11:$C$565,2,0)</f>
        <v>#N/A</v>
      </c>
      <c r="J551" s="98" t="str">
        <f t="shared" si="21"/>
        <v>Desarrollo del Sistema de Educación Superior</v>
      </c>
      <c r="K551" s="98" t="s">
        <v>412</v>
      </c>
    </row>
    <row r="552" spans="3:11">
      <c r="C552" s="143"/>
      <c r="D552" s="151"/>
      <c r="E552" s="118"/>
      <c r="F552" s="97">
        <f t="shared" si="20"/>
        <v>0</v>
      </c>
      <c r="G552" s="161"/>
      <c r="H552" s="144"/>
      <c r="I552" s="130" t="e">
        <f>VLOOKUP(H552,Presupuesto!$B$11:$C$565,2,0)</f>
        <v>#N/A</v>
      </c>
      <c r="J552" s="98" t="str">
        <f t="shared" si="21"/>
        <v>Desarrollo del Sistema de Educación Superior</v>
      </c>
      <c r="K552" s="98" t="s">
        <v>412</v>
      </c>
    </row>
    <row r="553" spans="3:11">
      <c r="C553" s="143"/>
      <c r="D553" s="151"/>
      <c r="E553" s="118"/>
      <c r="F553" s="97">
        <f t="shared" si="20"/>
        <v>0</v>
      </c>
      <c r="G553" s="161"/>
      <c r="H553" s="144"/>
      <c r="I553" s="130" t="e">
        <f>VLOOKUP(H553,Presupuesto!$B$11:$C$565,2,0)</f>
        <v>#N/A</v>
      </c>
      <c r="J553" s="98" t="str">
        <f t="shared" si="21"/>
        <v>Desarrollo del Sistema de Educación Superior</v>
      </c>
      <c r="K553" s="98" t="s">
        <v>412</v>
      </c>
    </row>
    <row r="554" spans="3:11">
      <c r="C554" s="143"/>
      <c r="D554" s="151"/>
      <c r="E554" s="118"/>
      <c r="F554" s="97">
        <f t="shared" si="20"/>
        <v>0</v>
      </c>
      <c r="G554" s="161"/>
      <c r="H554" s="144"/>
      <c r="I554" s="130" t="e">
        <f>VLOOKUP(H554,Presupuesto!$B$11:$C$565,2,0)</f>
        <v>#N/A</v>
      </c>
      <c r="J554" s="98" t="str">
        <f t="shared" si="21"/>
        <v>Desarrollo del Sistema de Educación Superior</v>
      </c>
      <c r="K554" s="98" t="s">
        <v>412</v>
      </c>
    </row>
    <row r="555" spans="3:11">
      <c r="C555" s="145"/>
      <c r="D555" s="151"/>
      <c r="E555" s="118"/>
      <c r="F555" s="97">
        <f t="shared" si="20"/>
        <v>0</v>
      </c>
      <c r="G555" s="161"/>
      <c r="H555" s="146"/>
      <c r="I555" s="130" t="e">
        <f>VLOOKUP(H555,Presupuesto!$B$11:$C$565,2,0)</f>
        <v>#N/A</v>
      </c>
      <c r="J555" s="98" t="str">
        <f t="shared" si="21"/>
        <v>Desarrollo del Sistema de Educación Superior</v>
      </c>
      <c r="K555" s="98" t="s">
        <v>403</v>
      </c>
    </row>
    <row r="556" spans="3:11">
      <c r="C556" s="145"/>
      <c r="D556" s="151"/>
      <c r="E556" s="118"/>
      <c r="F556" s="97">
        <f t="shared" si="20"/>
        <v>0</v>
      </c>
      <c r="G556" s="161"/>
      <c r="H556" s="146"/>
      <c r="I556" s="130" t="e">
        <f>VLOOKUP(H556,Presupuesto!$B$11:$C$565,2,0)</f>
        <v>#N/A</v>
      </c>
      <c r="J556" s="98" t="str">
        <f t="shared" si="21"/>
        <v>Desarrollo del Sistema de Educación Superior</v>
      </c>
      <c r="K556" s="98" t="s">
        <v>412</v>
      </c>
    </row>
    <row r="557" spans="3:11">
      <c r="C557" s="145"/>
      <c r="D557" s="151"/>
      <c r="E557" s="118"/>
      <c r="F557" s="97">
        <f t="shared" si="20"/>
        <v>0</v>
      </c>
      <c r="G557" s="161"/>
      <c r="H557" s="146"/>
      <c r="I557" s="130" t="e">
        <f>VLOOKUP(H557,Presupuesto!$B$11:$C$565,2,0)</f>
        <v>#N/A</v>
      </c>
      <c r="J557" s="98" t="str">
        <f t="shared" si="21"/>
        <v>Desarrollo del Sistema de Educación Superior</v>
      </c>
      <c r="K557" s="98" t="s">
        <v>412</v>
      </c>
    </row>
    <row r="558" spans="3:11">
      <c r="C558" s="145"/>
      <c r="D558" s="151"/>
      <c r="E558" s="118"/>
      <c r="F558" s="97">
        <f t="shared" si="20"/>
        <v>0</v>
      </c>
      <c r="G558" s="161"/>
      <c r="H558" s="146"/>
      <c r="I558" s="130" t="e">
        <f>VLOOKUP(H558,Presupuesto!$B$11:$C$565,2,0)</f>
        <v>#N/A</v>
      </c>
      <c r="J558" s="98" t="str">
        <f t="shared" si="21"/>
        <v>Desarrollo del Sistema de Educación Superior</v>
      </c>
      <c r="K558" s="98" t="s">
        <v>412</v>
      </c>
    </row>
    <row r="559" spans="3:11" ht="15.75" thickBot="1">
      <c r="C559" s="147"/>
      <c r="D559" s="159"/>
      <c r="E559" s="103"/>
      <c r="F559" s="105">
        <f t="shared" si="20"/>
        <v>0</v>
      </c>
      <c r="G559" s="162"/>
      <c r="H559" s="148"/>
      <c r="I559" s="132" t="e">
        <f>VLOOKUP(H559,Presupuesto!$B$11:$C$565,2,0)</f>
        <v>#N/A</v>
      </c>
      <c r="J559" s="106" t="str">
        <f t="shared" si="21"/>
        <v>Desarrollo del Sistema de Educación Superior</v>
      </c>
      <c r="K559" s="124" t="s">
        <v>394</v>
      </c>
    </row>
    <row r="561" spans="3:11" ht="15.75" thickBot="1"/>
    <row r="562" spans="3:11" ht="15.75" thickBot="1">
      <c r="C562" s="157" t="s">
        <v>53</v>
      </c>
      <c r="D562" s="374">
        <f>SUM(F569:F603)</f>
        <v>131395</v>
      </c>
      <c r="F562" s="70"/>
      <c r="G562" s="79"/>
      <c r="H562" s="70"/>
      <c r="I562" s="70"/>
    </row>
    <row r="563" spans="3:11">
      <c r="C563" s="70"/>
      <c r="D563" s="31"/>
      <c r="E563" s="93"/>
      <c r="F563" s="93"/>
      <c r="G563" s="93"/>
      <c r="H563" s="76"/>
      <c r="I563" s="76"/>
      <c r="J563" s="76"/>
      <c r="K563" s="112"/>
    </row>
    <row r="564" spans="3:11">
      <c r="C564" s="70"/>
      <c r="D564" s="31"/>
      <c r="E564" s="93"/>
      <c r="F564" s="93"/>
      <c r="G564" s="93"/>
      <c r="H564" s="76"/>
      <c r="I564" s="76"/>
      <c r="J564" s="76"/>
      <c r="K564" s="112"/>
    </row>
    <row r="565" spans="3:11" ht="15.75">
      <c r="C565" s="202" t="s">
        <v>392</v>
      </c>
      <c r="D565" s="370">
        <v>7.15</v>
      </c>
      <c r="E565" s="93"/>
      <c r="F565" s="93"/>
      <c r="G565" s="93"/>
      <c r="H565" s="76"/>
      <c r="I565" s="76"/>
      <c r="J565" s="76"/>
      <c r="K565" s="112"/>
    </row>
    <row r="566" spans="3:11" ht="18.75">
      <c r="C566" s="211" t="str">
        <f>IFERROR(VLOOKUP(D565,'1. Desarrollo e Innov. Curricu.'!$E:$F,2,FALSE),IFERROR(VLOOKUP(D565,'2. Investigación Científica'!$E:$F,2,FALSE),IFERROR(VLOOKUP(D565,'3. Vinculación Univ. Sociedad'!$E:$F,2,FALSE),IFERROR(VLOOKUP(D565,'4. Docencia y Profesorado Univ.'!$E:$F,2,FALSE),IFERROR(VLOOKUP(D565,'5. Estudiantes y Graduados'!$E:$F,2,FALSE),IFERROR(VLOOKUP(D565,'11. Gestion Administrativa'!$E:$F,2,FALSE),IFERROR(VLOOKUP(D565,'13. Gestión Académica'!$E:$F,2,FALSE),IFERROR(VLOOKUP(D565,'8. Asegura. de la Calid. y M'!$E:$F,2,FALSE),IFERROR(VLOOKUP(D565,'6. Gestión del Conocimiento'!$E:$F,2,FALSE),IFERROR(VLOOKUP(D565,'15. Gobernabilidad y Proceso...'!$E:$F,2,FALSE),IFERROR(VLOOKUP(D565,'12. Gestión del Talento Humano'!$E:$F,2,FALSE),IFERROR(VLOOKUP(D565,'14. Internacional... de la E.S.'!$E:$F,2,FALSE),IFERROR(VLOOKUP(D565,'10. Posgrado'!$E:$F,2,FALSE),IFERROR(VLOOKUP(D565,'17. Gestión TIC'!$E:$F,2,FALSE),IFERROR(VLOOKUP(D565,'16. Desa. del Sistema Educ.Sup.'!$E:$F,2,FALSE),IFERROR(VLOOKUP(D565,'9. Cultura de Inno. Insti...'!$E:$F,2,FALSE),VLOOKUP(D565,'7. Lo Esencial de la Reforma U.'!$E:$F,2,0)))))))))))))))))</f>
        <v>Impartir el Diplomado en Gestión Cultural y Voluntariado para el Desarrollo en Centros Universitarios Regionales</v>
      </c>
      <c r="D566" s="31"/>
      <c r="E566" s="93"/>
      <c r="F566" s="93"/>
      <c r="G566" s="93"/>
      <c r="H566" s="76"/>
      <c r="I566" s="76"/>
      <c r="J566" s="76"/>
      <c r="K566" s="112"/>
    </row>
    <row r="567" spans="3:11" ht="15.75" thickBot="1">
      <c r="F567" s="93"/>
      <c r="G567" s="76"/>
      <c r="H567" s="76"/>
      <c r="I567" s="76"/>
    </row>
    <row r="568" spans="3:11" ht="30.75" thickBot="1">
      <c r="C568" s="129" t="s">
        <v>44</v>
      </c>
      <c r="D568" s="129" t="s">
        <v>55</v>
      </c>
      <c r="E568" s="136" t="s">
        <v>57</v>
      </c>
      <c r="F568" s="135" t="s">
        <v>27</v>
      </c>
      <c r="G568" s="133" t="s">
        <v>131</v>
      </c>
      <c r="H568" s="136" t="s">
        <v>46</v>
      </c>
      <c r="I568" s="133" t="s">
        <v>132</v>
      </c>
      <c r="J568" s="133" t="s">
        <v>410</v>
      </c>
      <c r="K568" s="133" t="s">
        <v>411</v>
      </c>
    </row>
    <row r="569" spans="3:11" ht="15.75" thickBot="1">
      <c r="C569" s="221" t="s">
        <v>424</v>
      </c>
      <c r="D569" s="222">
        <v>27.5</v>
      </c>
      <c r="E569" s="220">
        <f>HLOOKUP(C569,$AH$2:$BU$3,2,0)</f>
        <v>2250</v>
      </c>
      <c r="F569" s="97">
        <f t="shared" ref="F569:F603" si="22">D569*E569</f>
        <v>61875</v>
      </c>
      <c r="G569" s="161" t="s">
        <v>1508</v>
      </c>
      <c r="H569" s="142" t="s">
        <v>761</v>
      </c>
      <c r="I569" s="130" t="str">
        <f>VLOOKUP(H569,Presupuesto!$B$11:$C$565,2,0)</f>
        <v>VIATICOS NACIONALES</v>
      </c>
      <c r="J569" s="219" t="s">
        <v>1360</v>
      </c>
      <c r="K569" s="98" t="s">
        <v>394</v>
      </c>
    </row>
    <row r="570" spans="3:11">
      <c r="C570" s="221" t="s">
        <v>425</v>
      </c>
      <c r="D570" s="158">
        <v>27.5</v>
      </c>
      <c r="E570" s="220">
        <f>HLOOKUP(C570,$AH$2:$BU$3,2,0)</f>
        <v>1400</v>
      </c>
      <c r="F570" s="97">
        <f t="shared" si="22"/>
        <v>38500</v>
      </c>
      <c r="G570" s="161" t="s">
        <v>1508</v>
      </c>
      <c r="H570" s="142" t="s">
        <v>761</v>
      </c>
      <c r="I570" s="130" t="str">
        <f>VLOOKUP(H570,Presupuesto!$B$11:$C$565,2,0)</f>
        <v>VIATICOS NACIONALES</v>
      </c>
      <c r="J570" s="98" t="str">
        <f>$J$569</f>
        <v>Lo Esencial de la Reforma Universitaria</v>
      </c>
      <c r="K570" s="98" t="s">
        <v>412</v>
      </c>
    </row>
    <row r="571" spans="3:11">
      <c r="C571" s="141" t="s">
        <v>1645</v>
      </c>
      <c r="D571" s="158">
        <v>1500</v>
      </c>
      <c r="E571" s="123">
        <v>20</v>
      </c>
      <c r="F571" s="97">
        <f t="shared" si="22"/>
        <v>30000</v>
      </c>
      <c r="G571" s="161" t="s">
        <v>1508</v>
      </c>
      <c r="H571" s="142" t="s">
        <v>871</v>
      </c>
      <c r="I571" s="130" t="str">
        <f>VLOOKUP(H571,Presupuesto!$B$11:$C$565,2,0)</f>
        <v>GASOLINA</v>
      </c>
      <c r="J571" s="98" t="str">
        <f t="shared" ref="J571:J603" si="23">$J$569</f>
        <v>Lo Esencial de la Reforma Universitaria</v>
      </c>
      <c r="K571" s="98" t="s">
        <v>412</v>
      </c>
    </row>
    <row r="572" spans="3:11">
      <c r="C572" s="141" t="s">
        <v>1646</v>
      </c>
      <c r="D572" s="158">
        <v>60</v>
      </c>
      <c r="E572" s="123">
        <v>17</v>
      </c>
      <c r="F572" s="97">
        <f t="shared" si="22"/>
        <v>1020</v>
      </c>
      <c r="G572" s="161" t="s">
        <v>129</v>
      </c>
      <c r="H572" s="142" t="s">
        <v>743</v>
      </c>
      <c r="I572" s="130" t="str">
        <f>VLOOKUP(H572,Presupuesto!$B$11:$C$565,2,0)</f>
        <v>OTROS SERVICIOS COMERCIALES Y FINANCIEROS</v>
      </c>
      <c r="J572" s="98" t="str">
        <f t="shared" si="23"/>
        <v>Lo Esencial de la Reforma Universitaria</v>
      </c>
      <c r="K572" s="98" t="s">
        <v>412</v>
      </c>
    </row>
    <row r="573" spans="3:11">
      <c r="C573" s="141"/>
      <c r="D573" s="158"/>
      <c r="E573" s="123"/>
      <c r="F573" s="97">
        <f t="shared" si="22"/>
        <v>0</v>
      </c>
      <c r="G573" s="161"/>
      <c r="H573" s="142"/>
      <c r="I573" s="130" t="e">
        <f>VLOOKUP(H573,Presupuesto!$B$11:$C$565,2,0)</f>
        <v>#N/A</v>
      </c>
      <c r="J573" s="98" t="str">
        <f t="shared" si="23"/>
        <v>Lo Esencial de la Reforma Universitaria</v>
      </c>
      <c r="K573" s="98" t="s">
        <v>412</v>
      </c>
    </row>
    <row r="574" spans="3:11">
      <c r="C574" s="141"/>
      <c r="D574" s="158"/>
      <c r="E574" s="123"/>
      <c r="F574" s="97">
        <f t="shared" si="22"/>
        <v>0</v>
      </c>
      <c r="G574" s="161"/>
      <c r="H574" s="142"/>
      <c r="I574" s="130" t="e">
        <f>VLOOKUP(H574,Presupuesto!$B$11:$C$565,2,0)</f>
        <v>#N/A</v>
      </c>
      <c r="J574" s="98" t="str">
        <f t="shared" si="23"/>
        <v>Lo Esencial de la Reforma Universitaria</v>
      </c>
      <c r="K574" s="98" t="s">
        <v>401</v>
      </c>
    </row>
    <row r="575" spans="3:11">
      <c r="C575" s="141"/>
      <c r="D575" s="158"/>
      <c r="E575" s="123"/>
      <c r="F575" s="97">
        <f t="shared" si="22"/>
        <v>0</v>
      </c>
      <c r="G575" s="161"/>
      <c r="H575" s="142"/>
      <c r="I575" s="130" t="e">
        <f>VLOOKUP(H575,Presupuesto!$B$11:$C$565,2,0)</f>
        <v>#N/A</v>
      </c>
      <c r="J575" s="98" t="str">
        <f t="shared" si="23"/>
        <v>Lo Esencial de la Reforma Universitaria</v>
      </c>
      <c r="K575" s="98" t="s">
        <v>412</v>
      </c>
    </row>
    <row r="576" spans="3:11">
      <c r="C576" s="141"/>
      <c r="D576" s="158"/>
      <c r="E576" s="123"/>
      <c r="F576" s="97">
        <f>D576*E576</f>
        <v>0</v>
      </c>
      <c r="G576" s="161"/>
      <c r="H576" s="142"/>
      <c r="I576" s="130" t="e">
        <f>VLOOKUP(H576,Presupuesto!$B$11:$C$565,2,0)</f>
        <v>#N/A</v>
      </c>
      <c r="J576" s="98" t="str">
        <f t="shared" si="23"/>
        <v>Lo Esencial de la Reforma Universitaria</v>
      </c>
      <c r="K576" s="98" t="s">
        <v>412</v>
      </c>
    </row>
    <row r="577" spans="3:11">
      <c r="C577" s="141"/>
      <c r="D577" s="158"/>
      <c r="E577" s="123"/>
      <c r="F577" s="97">
        <f t="shared" si="22"/>
        <v>0</v>
      </c>
      <c r="G577" s="161"/>
      <c r="H577" s="142"/>
      <c r="I577" s="130" t="e">
        <f>VLOOKUP(H577,Presupuesto!$B$11:$C$565,2,0)</f>
        <v>#N/A</v>
      </c>
      <c r="J577" s="98" t="str">
        <f t="shared" si="23"/>
        <v>Lo Esencial de la Reforma Universitaria</v>
      </c>
      <c r="K577" s="98" t="s">
        <v>412</v>
      </c>
    </row>
    <row r="578" spans="3:11">
      <c r="C578" s="141"/>
      <c r="D578" s="158"/>
      <c r="E578" s="123"/>
      <c r="F578" s="97">
        <f t="shared" si="22"/>
        <v>0</v>
      </c>
      <c r="G578" s="161"/>
      <c r="H578" s="142"/>
      <c r="I578" s="130" t="e">
        <f>VLOOKUP(H578,Presupuesto!$B$11:$C$565,2,0)</f>
        <v>#N/A</v>
      </c>
      <c r="J578" s="98" t="str">
        <f t="shared" si="23"/>
        <v>Lo Esencial de la Reforma Universitaria</v>
      </c>
      <c r="K578" s="98" t="s">
        <v>412</v>
      </c>
    </row>
    <row r="579" spans="3:11">
      <c r="C579" s="141"/>
      <c r="D579" s="158"/>
      <c r="E579" s="123"/>
      <c r="F579" s="97">
        <f t="shared" si="22"/>
        <v>0</v>
      </c>
      <c r="G579" s="161"/>
      <c r="H579" s="142"/>
      <c r="I579" s="130" t="e">
        <f>VLOOKUP(H579,Presupuesto!$B$11:$C$565,2,0)</f>
        <v>#N/A</v>
      </c>
      <c r="J579" s="98" t="str">
        <f t="shared" si="23"/>
        <v>Lo Esencial de la Reforma Universitaria</v>
      </c>
      <c r="K579" s="98" t="s">
        <v>412</v>
      </c>
    </row>
    <row r="580" spans="3:11">
      <c r="C580" s="141"/>
      <c r="D580" s="158"/>
      <c r="E580" s="123"/>
      <c r="F580" s="97">
        <f t="shared" si="22"/>
        <v>0</v>
      </c>
      <c r="G580" s="161"/>
      <c r="H580" s="142"/>
      <c r="I580" s="130" t="e">
        <f>VLOOKUP(H580,Presupuesto!$B$11:$C$565,2,0)</f>
        <v>#N/A</v>
      </c>
      <c r="J580" s="98" t="str">
        <f t="shared" si="23"/>
        <v>Lo Esencial de la Reforma Universitaria</v>
      </c>
      <c r="K580" s="98" t="s">
        <v>412</v>
      </c>
    </row>
    <row r="581" spans="3:11">
      <c r="C581" s="141"/>
      <c r="D581" s="158"/>
      <c r="E581" s="123"/>
      <c r="F581" s="97">
        <f t="shared" si="22"/>
        <v>0</v>
      </c>
      <c r="G581" s="161"/>
      <c r="H581" s="142"/>
      <c r="I581" s="130" t="e">
        <f>VLOOKUP(H581,Presupuesto!$B$11:$C$565,2,0)</f>
        <v>#N/A</v>
      </c>
      <c r="J581" s="98" t="str">
        <f t="shared" si="23"/>
        <v>Lo Esencial de la Reforma Universitaria</v>
      </c>
      <c r="K581" s="98" t="s">
        <v>412</v>
      </c>
    </row>
    <row r="582" spans="3:11">
      <c r="C582" s="141"/>
      <c r="D582" s="158"/>
      <c r="E582" s="123"/>
      <c r="F582" s="97">
        <f t="shared" si="22"/>
        <v>0</v>
      </c>
      <c r="G582" s="161"/>
      <c r="H582" s="142"/>
      <c r="I582" s="130" t="e">
        <f>VLOOKUP(H582,Presupuesto!$B$11:$C$565,2,0)</f>
        <v>#N/A</v>
      </c>
      <c r="J582" s="98" t="str">
        <f t="shared" si="23"/>
        <v>Lo Esencial de la Reforma Universitaria</v>
      </c>
      <c r="K582" s="98" t="s">
        <v>412</v>
      </c>
    </row>
    <row r="583" spans="3:11">
      <c r="C583" s="141"/>
      <c r="D583" s="158"/>
      <c r="E583" s="123"/>
      <c r="F583" s="97">
        <f t="shared" si="22"/>
        <v>0</v>
      </c>
      <c r="G583" s="161"/>
      <c r="H583" s="142"/>
      <c r="I583" s="130" t="e">
        <f>VLOOKUP(H583,Presupuesto!$B$11:$C$565,2,0)</f>
        <v>#N/A</v>
      </c>
      <c r="J583" s="98" t="str">
        <f t="shared" si="23"/>
        <v>Lo Esencial de la Reforma Universitaria</v>
      </c>
      <c r="K583" s="98" t="s">
        <v>412</v>
      </c>
    </row>
    <row r="584" spans="3:11">
      <c r="C584" s="141"/>
      <c r="D584" s="158"/>
      <c r="E584" s="123"/>
      <c r="F584" s="97">
        <f t="shared" si="22"/>
        <v>0</v>
      </c>
      <c r="G584" s="161"/>
      <c r="H584" s="142"/>
      <c r="I584" s="130" t="e">
        <f>VLOOKUP(H584,Presupuesto!$B$11:$C$565,2,0)</f>
        <v>#N/A</v>
      </c>
      <c r="J584" s="98" t="str">
        <f t="shared" si="23"/>
        <v>Lo Esencial de la Reforma Universitaria</v>
      </c>
      <c r="K584" s="98" t="s">
        <v>412</v>
      </c>
    </row>
    <row r="585" spans="3:11">
      <c r="C585" s="141"/>
      <c r="D585" s="158"/>
      <c r="E585" s="123"/>
      <c r="F585" s="97">
        <f t="shared" si="22"/>
        <v>0</v>
      </c>
      <c r="G585" s="161"/>
      <c r="H585" s="142"/>
      <c r="I585" s="130" t="e">
        <f>VLOOKUP(H585,Presupuesto!$B$11:$C$565,2,0)</f>
        <v>#N/A</v>
      </c>
      <c r="J585" s="98" t="str">
        <f t="shared" si="23"/>
        <v>Lo Esencial de la Reforma Universitaria</v>
      </c>
      <c r="K585" s="98" t="s">
        <v>412</v>
      </c>
    </row>
    <row r="586" spans="3:11">
      <c r="C586" s="141"/>
      <c r="D586" s="158"/>
      <c r="E586" s="123"/>
      <c r="F586" s="97">
        <f t="shared" si="22"/>
        <v>0</v>
      </c>
      <c r="G586" s="161"/>
      <c r="H586" s="142"/>
      <c r="I586" s="130" t="e">
        <f>VLOOKUP(H586,Presupuesto!$B$11:$C$565,2,0)</f>
        <v>#N/A</v>
      </c>
      <c r="J586" s="98" t="str">
        <f t="shared" si="23"/>
        <v>Lo Esencial de la Reforma Universitaria</v>
      </c>
      <c r="K586" s="98" t="s">
        <v>412</v>
      </c>
    </row>
    <row r="587" spans="3:11">
      <c r="C587" s="141"/>
      <c r="D587" s="158"/>
      <c r="E587" s="123"/>
      <c r="F587" s="97">
        <f t="shared" si="22"/>
        <v>0</v>
      </c>
      <c r="G587" s="161"/>
      <c r="H587" s="142"/>
      <c r="I587" s="130" t="e">
        <f>VLOOKUP(H587,Presupuesto!$B$11:$C$565,2,0)</f>
        <v>#N/A</v>
      </c>
      <c r="J587" s="98" t="str">
        <f t="shared" si="23"/>
        <v>Lo Esencial de la Reforma Universitaria</v>
      </c>
      <c r="K587" s="98" t="s">
        <v>412</v>
      </c>
    </row>
    <row r="588" spans="3:11">
      <c r="C588" s="141"/>
      <c r="D588" s="158"/>
      <c r="E588" s="123"/>
      <c r="F588" s="97">
        <f t="shared" si="22"/>
        <v>0</v>
      </c>
      <c r="G588" s="161"/>
      <c r="H588" s="142"/>
      <c r="I588" s="130" t="e">
        <f>VLOOKUP(H588,Presupuesto!$B$11:$C$565,2,0)</f>
        <v>#N/A</v>
      </c>
      <c r="J588" s="98" t="str">
        <f t="shared" si="23"/>
        <v>Lo Esencial de la Reforma Universitaria</v>
      </c>
      <c r="K588" s="98" t="s">
        <v>412</v>
      </c>
    </row>
    <row r="589" spans="3:11">
      <c r="C589" s="141"/>
      <c r="D589" s="158"/>
      <c r="E589" s="123"/>
      <c r="F589" s="97">
        <f t="shared" si="22"/>
        <v>0</v>
      </c>
      <c r="G589" s="161"/>
      <c r="H589" s="142"/>
      <c r="I589" s="130" t="e">
        <f>VLOOKUP(H589,Presupuesto!$B$11:$C$565,2,0)</f>
        <v>#N/A</v>
      </c>
      <c r="J589" s="98" t="str">
        <f t="shared" si="23"/>
        <v>Lo Esencial de la Reforma Universitaria</v>
      </c>
      <c r="K589" s="98" t="s">
        <v>412</v>
      </c>
    </row>
    <row r="590" spans="3:11">
      <c r="C590" s="141"/>
      <c r="D590" s="158"/>
      <c r="E590" s="123"/>
      <c r="F590" s="97">
        <f t="shared" si="22"/>
        <v>0</v>
      </c>
      <c r="G590" s="161"/>
      <c r="H590" s="142"/>
      <c r="I590" s="130" t="e">
        <f>VLOOKUP(H590,Presupuesto!$B$11:$C$565,2,0)</f>
        <v>#N/A</v>
      </c>
      <c r="J590" s="98" t="str">
        <f t="shared" si="23"/>
        <v>Lo Esencial de la Reforma Universitaria</v>
      </c>
      <c r="K590" s="98" t="s">
        <v>412</v>
      </c>
    </row>
    <row r="591" spans="3:11">
      <c r="C591" s="143"/>
      <c r="D591" s="151"/>
      <c r="E591" s="118"/>
      <c r="F591" s="97">
        <f t="shared" si="22"/>
        <v>0</v>
      </c>
      <c r="G591" s="161"/>
      <c r="H591" s="144"/>
      <c r="I591" s="130" t="e">
        <f>VLOOKUP(H591,Presupuesto!$B$11:$C$565,2,0)</f>
        <v>#N/A</v>
      </c>
      <c r="J591" s="98" t="str">
        <f t="shared" si="23"/>
        <v>Lo Esencial de la Reforma Universitaria</v>
      </c>
      <c r="K591" s="98" t="s">
        <v>412</v>
      </c>
    </row>
    <row r="592" spans="3:11">
      <c r="C592" s="143"/>
      <c r="D592" s="151"/>
      <c r="E592" s="118"/>
      <c r="F592" s="97">
        <f t="shared" si="22"/>
        <v>0</v>
      </c>
      <c r="G592" s="161"/>
      <c r="H592" s="144"/>
      <c r="I592" s="130" t="e">
        <f>VLOOKUP(H592,Presupuesto!$B$11:$C$565,2,0)</f>
        <v>#N/A</v>
      </c>
      <c r="J592" s="98" t="str">
        <f t="shared" si="23"/>
        <v>Lo Esencial de la Reforma Universitaria</v>
      </c>
      <c r="K592" s="98" t="s">
        <v>412</v>
      </c>
    </row>
    <row r="593" spans="3:11">
      <c r="C593" s="143"/>
      <c r="D593" s="151"/>
      <c r="E593" s="118"/>
      <c r="F593" s="97">
        <f t="shared" si="22"/>
        <v>0</v>
      </c>
      <c r="G593" s="161"/>
      <c r="H593" s="144"/>
      <c r="I593" s="130" t="e">
        <f>VLOOKUP(H593,Presupuesto!$B$11:$C$565,2,0)</f>
        <v>#N/A</v>
      </c>
      <c r="J593" s="98" t="str">
        <f t="shared" si="23"/>
        <v>Lo Esencial de la Reforma Universitaria</v>
      </c>
      <c r="K593" s="98" t="s">
        <v>412</v>
      </c>
    </row>
    <row r="594" spans="3:11">
      <c r="C594" s="143"/>
      <c r="D594" s="151"/>
      <c r="E594" s="118"/>
      <c r="F594" s="97">
        <f t="shared" si="22"/>
        <v>0</v>
      </c>
      <c r="G594" s="161"/>
      <c r="H594" s="144"/>
      <c r="I594" s="130" t="e">
        <f>VLOOKUP(H594,Presupuesto!$B$11:$C$565,2,0)</f>
        <v>#N/A</v>
      </c>
      <c r="J594" s="98" t="str">
        <f t="shared" si="23"/>
        <v>Lo Esencial de la Reforma Universitaria</v>
      </c>
      <c r="K594" s="98" t="s">
        <v>412</v>
      </c>
    </row>
    <row r="595" spans="3:11">
      <c r="C595" s="143"/>
      <c r="D595" s="151"/>
      <c r="E595" s="118"/>
      <c r="F595" s="97">
        <f t="shared" si="22"/>
        <v>0</v>
      </c>
      <c r="G595" s="161"/>
      <c r="H595" s="144"/>
      <c r="I595" s="130" t="e">
        <f>VLOOKUP(H595,Presupuesto!$B$11:$C$565,2,0)</f>
        <v>#N/A</v>
      </c>
      <c r="J595" s="98" t="str">
        <f t="shared" si="23"/>
        <v>Lo Esencial de la Reforma Universitaria</v>
      </c>
      <c r="K595" s="98" t="s">
        <v>412</v>
      </c>
    </row>
    <row r="596" spans="3:11">
      <c r="C596" s="143"/>
      <c r="D596" s="151"/>
      <c r="E596" s="118"/>
      <c r="F596" s="97">
        <f t="shared" si="22"/>
        <v>0</v>
      </c>
      <c r="G596" s="161"/>
      <c r="H596" s="144"/>
      <c r="I596" s="130" t="e">
        <f>VLOOKUP(H596,Presupuesto!$B$11:$C$565,2,0)</f>
        <v>#N/A</v>
      </c>
      <c r="J596" s="98" t="str">
        <f t="shared" si="23"/>
        <v>Lo Esencial de la Reforma Universitaria</v>
      </c>
      <c r="K596" s="98" t="s">
        <v>412</v>
      </c>
    </row>
    <row r="597" spans="3:11">
      <c r="C597" s="143"/>
      <c r="D597" s="151"/>
      <c r="E597" s="118"/>
      <c r="F597" s="97">
        <f t="shared" si="22"/>
        <v>0</v>
      </c>
      <c r="G597" s="161"/>
      <c r="H597" s="144"/>
      <c r="I597" s="130" t="e">
        <f>VLOOKUP(H597,Presupuesto!$B$11:$C$565,2,0)</f>
        <v>#N/A</v>
      </c>
      <c r="J597" s="98" t="str">
        <f t="shared" si="23"/>
        <v>Lo Esencial de la Reforma Universitaria</v>
      </c>
      <c r="K597" s="98" t="s">
        <v>412</v>
      </c>
    </row>
    <row r="598" spans="3:11">
      <c r="C598" s="143"/>
      <c r="D598" s="151"/>
      <c r="E598" s="118"/>
      <c r="F598" s="97">
        <f t="shared" si="22"/>
        <v>0</v>
      </c>
      <c r="G598" s="161"/>
      <c r="H598" s="144"/>
      <c r="I598" s="130" t="e">
        <f>VLOOKUP(H598,Presupuesto!$B$11:$C$565,2,0)</f>
        <v>#N/A</v>
      </c>
      <c r="J598" s="98" t="str">
        <f t="shared" si="23"/>
        <v>Lo Esencial de la Reforma Universitaria</v>
      </c>
      <c r="K598" s="98" t="s">
        <v>412</v>
      </c>
    </row>
    <row r="599" spans="3:11">
      <c r="C599" s="145"/>
      <c r="D599" s="151"/>
      <c r="E599" s="118"/>
      <c r="F599" s="97">
        <f t="shared" si="22"/>
        <v>0</v>
      </c>
      <c r="G599" s="161"/>
      <c r="H599" s="146"/>
      <c r="I599" s="130" t="e">
        <f>VLOOKUP(H599,Presupuesto!$B$11:$C$565,2,0)</f>
        <v>#N/A</v>
      </c>
      <c r="J599" s="98" t="str">
        <f t="shared" si="23"/>
        <v>Lo Esencial de la Reforma Universitaria</v>
      </c>
      <c r="K599" s="98" t="s">
        <v>403</v>
      </c>
    </row>
    <row r="600" spans="3:11">
      <c r="C600" s="145"/>
      <c r="D600" s="151"/>
      <c r="E600" s="118"/>
      <c r="F600" s="97">
        <f t="shared" si="22"/>
        <v>0</v>
      </c>
      <c r="G600" s="161"/>
      <c r="H600" s="146"/>
      <c r="I600" s="130" t="e">
        <f>VLOOKUP(H600,Presupuesto!$B$11:$C$565,2,0)</f>
        <v>#N/A</v>
      </c>
      <c r="J600" s="98" t="str">
        <f t="shared" si="23"/>
        <v>Lo Esencial de la Reforma Universitaria</v>
      </c>
      <c r="K600" s="98" t="s">
        <v>412</v>
      </c>
    </row>
    <row r="601" spans="3:11">
      <c r="C601" s="145"/>
      <c r="D601" s="151"/>
      <c r="E601" s="118"/>
      <c r="F601" s="97">
        <f t="shared" si="22"/>
        <v>0</v>
      </c>
      <c r="G601" s="161"/>
      <c r="H601" s="146"/>
      <c r="I601" s="130" t="e">
        <f>VLOOKUP(H601,Presupuesto!$B$11:$C$565,2,0)</f>
        <v>#N/A</v>
      </c>
      <c r="J601" s="98" t="str">
        <f t="shared" si="23"/>
        <v>Lo Esencial de la Reforma Universitaria</v>
      </c>
      <c r="K601" s="98" t="s">
        <v>412</v>
      </c>
    </row>
    <row r="602" spans="3:11">
      <c r="C602" s="145"/>
      <c r="D602" s="151"/>
      <c r="E602" s="118"/>
      <c r="F602" s="97">
        <f t="shared" si="22"/>
        <v>0</v>
      </c>
      <c r="G602" s="161"/>
      <c r="H602" s="146"/>
      <c r="I602" s="130" t="e">
        <f>VLOOKUP(H602,Presupuesto!$B$11:$C$565,2,0)</f>
        <v>#N/A</v>
      </c>
      <c r="J602" s="98" t="str">
        <f t="shared" si="23"/>
        <v>Lo Esencial de la Reforma Universitaria</v>
      </c>
      <c r="K602" s="98" t="s">
        <v>412</v>
      </c>
    </row>
    <row r="603" spans="3:11" ht="15.75" thickBot="1">
      <c r="C603" s="147"/>
      <c r="D603" s="159"/>
      <c r="E603" s="103"/>
      <c r="F603" s="105">
        <f t="shared" si="22"/>
        <v>0</v>
      </c>
      <c r="G603" s="162"/>
      <c r="H603" s="148"/>
      <c r="I603" s="132" t="e">
        <f>VLOOKUP(H603,Presupuesto!$B$11:$C$565,2,0)</f>
        <v>#N/A</v>
      </c>
      <c r="J603" s="106" t="str">
        <f t="shared" si="23"/>
        <v>Lo Esencial de la Reforma Universitaria</v>
      </c>
      <c r="K603" s="124" t="s">
        <v>394</v>
      </c>
    </row>
    <row r="605" spans="3:11" ht="15.75" thickBot="1">
      <c r="F605" s="90"/>
      <c r="G605" s="89"/>
      <c r="H605" s="90"/>
      <c r="I605" s="90"/>
    </row>
    <row r="606" spans="3:11" ht="15.75" thickBot="1">
      <c r="C606" s="157" t="s">
        <v>53</v>
      </c>
      <c r="D606" s="374">
        <f>SUM(F613:F647)</f>
        <v>160750</v>
      </c>
      <c r="F606" s="70"/>
      <c r="G606" s="79"/>
      <c r="H606" s="70"/>
      <c r="I606" s="70"/>
    </row>
    <row r="607" spans="3:11">
      <c r="C607" s="70"/>
      <c r="D607" s="31"/>
      <c r="E607" s="93"/>
      <c r="F607" s="93"/>
      <c r="G607" s="93"/>
      <c r="H607" s="76"/>
      <c r="I607" s="76"/>
      <c r="J607" s="76"/>
      <c r="K607" s="112"/>
    </row>
    <row r="608" spans="3:11">
      <c r="C608" s="70"/>
      <c r="D608" s="31"/>
      <c r="E608" s="93"/>
      <c r="F608" s="93"/>
      <c r="G608" s="93"/>
      <c r="H608" s="76"/>
      <c r="I608" s="76"/>
      <c r="J608" s="76"/>
      <c r="K608" s="112"/>
    </row>
    <row r="609" spans="3:11" ht="15.75">
      <c r="C609" s="202" t="s">
        <v>392</v>
      </c>
      <c r="D609" s="370">
        <v>7.16</v>
      </c>
      <c r="E609" s="93"/>
      <c r="F609" s="93"/>
      <c r="G609" s="93"/>
      <c r="H609" s="76"/>
      <c r="I609" s="76"/>
      <c r="J609" s="76"/>
      <c r="K609" s="112"/>
    </row>
    <row r="610" spans="3:11" ht="18.75">
      <c r="C610" s="211" t="str">
        <f>IFERROR(VLOOKUP(D609,'1. Desarrollo e Innov. Curricu.'!$E:$F,2,FALSE),IFERROR(VLOOKUP(D609,'2. Investigación Científica'!$E:$F,2,FALSE),IFERROR(VLOOKUP(D609,'3. Vinculación Univ. Sociedad'!$E:$F,2,FALSE),IFERROR(VLOOKUP(D609,'4. Docencia y Profesorado Univ.'!$E:$F,2,FALSE),IFERROR(VLOOKUP(D609,'5. Estudiantes y Graduados'!$E:$F,2,FALSE),IFERROR(VLOOKUP(D609,'11. Gestion Administrativa'!$E:$F,2,FALSE),IFERROR(VLOOKUP(D609,'13. Gestión Académica'!$E:$F,2,FALSE),IFERROR(VLOOKUP(D609,'8. Asegura. de la Calid. y M'!$E:$F,2,FALSE),IFERROR(VLOOKUP(D609,'6. Gestión del Conocimiento'!$E:$F,2,FALSE),IFERROR(VLOOKUP(D609,'15. Gobernabilidad y Proceso...'!$E:$F,2,FALSE),IFERROR(VLOOKUP(D609,'12. Gestión del Talento Humano'!$E:$F,2,FALSE),IFERROR(VLOOKUP(D609,'14. Internacional... de la E.S.'!$E:$F,2,FALSE),IFERROR(VLOOKUP(D609,'10. Posgrado'!$E:$F,2,FALSE),IFERROR(VLOOKUP(D609,'17. Gestión TIC'!$E:$F,2,FALSE),IFERROR(VLOOKUP(D609,'16. Desa. del Sistema Educ.Sup.'!$E:$F,2,FALSE),IFERROR(VLOOKUP(D609,'9. Cultura de Inno. Insti...'!$E:$F,2,FALSE),VLOOKUP(D609,'7. Lo Esencial de la Reforma U.'!$E:$F,2,0)))))))))))))))))</f>
        <v>Proyecto de interculturalidad mediante convenio con Trinity College</v>
      </c>
      <c r="D610" s="31"/>
      <c r="E610" s="93"/>
      <c r="F610" s="93"/>
      <c r="G610" s="93"/>
      <c r="H610" s="76"/>
      <c r="I610" s="76"/>
      <c r="J610" s="76"/>
      <c r="K610" s="112"/>
    </row>
    <row r="611" spans="3:11" ht="15.75" thickBot="1">
      <c r="F611" s="93"/>
      <c r="G611" s="76"/>
      <c r="H611" s="76"/>
      <c r="I611" s="76"/>
    </row>
    <row r="612" spans="3:11" ht="30.75" thickBot="1">
      <c r="C612" s="129" t="s">
        <v>44</v>
      </c>
      <c r="D612" s="129" t="s">
        <v>55</v>
      </c>
      <c r="E612" s="136" t="s">
        <v>57</v>
      </c>
      <c r="F612" s="135" t="s">
        <v>27</v>
      </c>
      <c r="G612" s="133" t="s">
        <v>131</v>
      </c>
      <c r="H612" s="136" t="s">
        <v>46</v>
      </c>
      <c r="I612" s="133" t="s">
        <v>132</v>
      </c>
      <c r="J612" s="133" t="s">
        <v>410</v>
      </c>
      <c r="K612" s="133" t="s">
        <v>411</v>
      </c>
    </row>
    <row r="613" spans="3:11" ht="15.75" thickBot="1">
      <c r="C613" s="221" t="s">
        <v>424</v>
      </c>
      <c r="D613" s="222">
        <v>16.5</v>
      </c>
      <c r="E613" s="220">
        <f>HLOOKUP(C613,$AH$2:$BU$3,2,0)</f>
        <v>2250</v>
      </c>
      <c r="F613" s="97">
        <f t="shared" ref="F613:F647" si="24">D613*E613</f>
        <v>37125</v>
      </c>
      <c r="G613" s="161" t="s">
        <v>1508</v>
      </c>
      <c r="H613" s="142" t="s">
        <v>761</v>
      </c>
      <c r="I613" s="130" t="str">
        <f>VLOOKUP(H613,Presupuesto!$B$11:$C$565,2,0)</f>
        <v>VIATICOS NACIONALES</v>
      </c>
      <c r="J613" s="219" t="s">
        <v>1360</v>
      </c>
      <c r="K613" s="98" t="s">
        <v>394</v>
      </c>
    </row>
    <row r="614" spans="3:11" ht="15.75" thickBot="1">
      <c r="C614" s="221" t="s">
        <v>425</v>
      </c>
      <c r="D614" s="222">
        <v>16.5</v>
      </c>
      <c r="E614" s="220">
        <f t="shared" ref="E614:E616" si="25">HLOOKUP(C614,$AH$2:$BU$3,2,0)</f>
        <v>1400</v>
      </c>
      <c r="F614" s="97">
        <f t="shared" si="24"/>
        <v>23100</v>
      </c>
      <c r="G614" s="161" t="s">
        <v>1508</v>
      </c>
      <c r="H614" s="142" t="s">
        <v>761</v>
      </c>
      <c r="I614" s="130" t="str">
        <f>VLOOKUP(H614,Presupuesto!$B$11:$C$565,2,0)</f>
        <v>VIATICOS NACIONALES</v>
      </c>
      <c r="J614" s="98" t="str">
        <f>$J$613</f>
        <v>Lo Esencial de la Reforma Universitaria</v>
      </c>
      <c r="K614" s="98" t="s">
        <v>412</v>
      </c>
    </row>
    <row r="615" spans="3:11" ht="15.75" thickBot="1">
      <c r="C615" s="221" t="s">
        <v>436</v>
      </c>
      <c r="D615" s="222">
        <v>16.5</v>
      </c>
      <c r="E615" s="220">
        <f t="shared" si="25"/>
        <v>1200</v>
      </c>
      <c r="F615" s="97">
        <f t="shared" si="24"/>
        <v>19800</v>
      </c>
      <c r="G615" s="161" t="s">
        <v>1508</v>
      </c>
      <c r="H615" s="142" t="s">
        <v>761</v>
      </c>
      <c r="I615" s="130" t="str">
        <f>VLOOKUP(H615,Presupuesto!$B$11:$C$565,2,0)</f>
        <v>VIATICOS NACIONALES</v>
      </c>
      <c r="J615" s="98" t="str">
        <f t="shared" ref="J615:J647" si="26">$J$613</f>
        <v>Lo Esencial de la Reforma Universitaria</v>
      </c>
      <c r="K615" s="98" t="s">
        <v>412</v>
      </c>
    </row>
    <row r="616" spans="3:11">
      <c r="C616" s="221" t="s">
        <v>438</v>
      </c>
      <c r="D616" s="222">
        <v>16.5</v>
      </c>
      <c r="E616" s="220">
        <f t="shared" si="25"/>
        <v>650</v>
      </c>
      <c r="F616" s="97">
        <f t="shared" si="24"/>
        <v>10725</v>
      </c>
      <c r="G616" s="161" t="s">
        <v>1508</v>
      </c>
      <c r="H616" s="142" t="s">
        <v>761</v>
      </c>
      <c r="I616" s="130" t="str">
        <f>VLOOKUP(H616,Presupuesto!$B$11:$C$565,2,0)</f>
        <v>VIATICOS NACIONALES</v>
      </c>
      <c r="J616" s="98" t="str">
        <f t="shared" si="26"/>
        <v>Lo Esencial de la Reforma Universitaria</v>
      </c>
      <c r="K616" s="98" t="s">
        <v>412</v>
      </c>
    </row>
    <row r="617" spans="3:11">
      <c r="C617" s="141" t="s">
        <v>1647</v>
      </c>
      <c r="D617" s="158">
        <v>1000</v>
      </c>
      <c r="E617" s="123">
        <v>70</v>
      </c>
      <c r="F617" s="97">
        <f t="shared" si="24"/>
        <v>70000</v>
      </c>
      <c r="G617" s="161" t="s">
        <v>1508</v>
      </c>
      <c r="H617" s="142" t="s">
        <v>717</v>
      </c>
      <c r="I617" s="130" t="str">
        <f>VLOOKUP(H617,Presupuesto!$B$11:$C$565,2,0)</f>
        <v>SERVICIOS DE IMPRENTA PUBLIC.Y REPRODUCCION</v>
      </c>
      <c r="J617" s="98" t="str">
        <f t="shared" si="26"/>
        <v>Lo Esencial de la Reforma Universitaria</v>
      </c>
      <c r="K617" s="98" t="s">
        <v>412</v>
      </c>
    </row>
    <row r="618" spans="3:11">
      <c r="C618" s="141"/>
      <c r="D618" s="158"/>
      <c r="E618" s="123"/>
      <c r="F618" s="97">
        <f t="shared" si="24"/>
        <v>0</v>
      </c>
      <c r="G618" s="161"/>
      <c r="H618" s="142"/>
      <c r="I618" s="130" t="e">
        <f>VLOOKUP(H618,Presupuesto!$B$11:$C$565,2,0)</f>
        <v>#N/A</v>
      </c>
      <c r="J618" s="98" t="str">
        <f t="shared" si="26"/>
        <v>Lo Esencial de la Reforma Universitaria</v>
      </c>
      <c r="K618" s="98" t="s">
        <v>401</v>
      </c>
    </row>
    <row r="619" spans="3:11">
      <c r="C619" s="141"/>
      <c r="D619" s="158"/>
      <c r="E619" s="123"/>
      <c r="F619" s="97">
        <f t="shared" si="24"/>
        <v>0</v>
      </c>
      <c r="G619" s="161"/>
      <c r="H619" s="142"/>
      <c r="I619" s="130" t="e">
        <f>VLOOKUP(H619,Presupuesto!$B$11:$C$565,2,0)</f>
        <v>#N/A</v>
      </c>
      <c r="J619" s="98" t="str">
        <f t="shared" si="26"/>
        <v>Lo Esencial de la Reforma Universitaria</v>
      </c>
      <c r="K619" s="98" t="s">
        <v>412</v>
      </c>
    </row>
    <row r="620" spans="3:11">
      <c r="C620" s="141"/>
      <c r="D620" s="158"/>
      <c r="E620" s="123"/>
      <c r="F620" s="97">
        <f t="shared" si="24"/>
        <v>0</v>
      </c>
      <c r="G620" s="161"/>
      <c r="H620" s="142"/>
      <c r="I620" s="130" t="e">
        <f>VLOOKUP(H620,Presupuesto!$B$11:$C$565,2,0)</f>
        <v>#N/A</v>
      </c>
      <c r="J620" s="98" t="str">
        <f t="shared" si="26"/>
        <v>Lo Esencial de la Reforma Universitaria</v>
      </c>
      <c r="K620" s="98" t="s">
        <v>412</v>
      </c>
    </row>
    <row r="621" spans="3:11">
      <c r="C621" s="141"/>
      <c r="D621" s="158"/>
      <c r="E621" s="123"/>
      <c r="F621" s="97">
        <f t="shared" si="24"/>
        <v>0</v>
      </c>
      <c r="G621" s="161"/>
      <c r="H621" s="142"/>
      <c r="I621" s="130" t="e">
        <f>VLOOKUP(H621,Presupuesto!$B$11:$C$565,2,0)</f>
        <v>#N/A</v>
      </c>
      <c r="J621" s="98" t="str">
        <f t="shared" si="26"/>
        <v>Lo Esencial de la Reforma Universitaria</v>
      </c>
      <c r="K621" s="98" t="s">
        <v>412</v>
      </c>
    </row>
    <row r="622" spans="3:11">
      <c r="C622" s="141"/>
      <c r="D622" s="158"/>
      <c r="E622" s="123"/>
      <c r="F622" s="97">
        <f t="shared" si="24"/>
        <v>0</v>
      </c>
      <c r="G622" s="161"/>
      <c r="H622" s="142"/>
      <c r="I622" s="130" t="e">
        <f>VLOOKUP(H622,Presupuesto!$B$11:$C$565,2,0)</f>
        <v>#N/A</v>
      </c>
      <c r="J622" s="98" t="str">
        <f t="shared" si="26"/>
        <v>Lo Esencial de la Reforma Universitaria</v>
      </c>
      <c r="K622" s="98" t="s">
        <v>412</v>
      </c>
    </row>
    <row r="623" spans="3:11">
      <c r="C623" s="141"/>
      <c r="D623" s="158"/>
      <c r="E623" s="123"/>
      <c r="F623" s="97">
        <f t="shared" si="24"/>
        <v>0</v>
      </c>
      <c r="G623" s="161"/>
      <c r="H623" s="142"/>
      <c r="I623" s="130" t="e">
        <f>VLOOKUP(H623,Presupuesto!$B$11:$C$565,2,0)</f>
        <v>#N/A</v>
      </c>
      <c r="J623" s="98" t="str">
        <f t="shared" si="26"/>
        <v>Lo Esencial de la Reforma Universitaria</v>
      </c>
      <c r="K623" s="98" t="s">
        <v>412</v>
      </c>
    </row>
    <row r="624" spans="3:11">
      <c r="C624" s="141"/>
      <c r="D624" s="158"/>
      <c r="E624" s="123"/>
      <c r="F624" s="97">
        <f t="shared" si="24"/>
        <v>0</v>
      </c>
      <c r="G624" s="161"/>
      <c r="H624" s="142"/>
      <c r="I624" s="130" t="e">
        <f>VLOOKUP(H624,Presupuesto!$B$11:$C$565,2,0)</f>
        <v>#N/A</v>
      </c>
      <c r="J624" s="98" t="str">
        <f t="shared" si="26"/>
        <v>Lo Esencial de la Reforma Universitaria</v>
      </c>
      <c r="K624" s="98" t="s">
        <v>412</v>
      </c>
    </row>
    <row r="625" spans="3:11">
      <c r="C625" s="141"/>
      <c r="D625" s="158"/>
      <c r="E625" s="123"/>
      <c r="F625" s="97">
        <f t="shared" si="24"/>
        <v>0</v>
      </c>
      <c r="G625" s="161"/>
      <c r="H625" s="142"/>
      <c r="I625" s="130" t="e">
        <f>VLOOKUP(H625,Presupuesto!$B$11:$C$565,2,0)</f>
        <v>#N/A</v>
      </c>
      <c r="J625" s="98" t="str">
        <f t="shared" si="26"/>
        <v>Lo Esencial de la Reforma Universitaria</v>
      </c>
      <c r="K625" s="98" t="s">
        <v>412</v>
      </c>
    </row>
    <row r="626" spans="3:11">
      <c r="C626" s="141"/>
      <c r="D626" s="158"/>
      <c r="E626" s="123"/>
      <c r="F626" s="97">
        <f t="shared" si="24"/>
        <v>0</v>
      </c>
      <c r="G626" s="161"/>
      <c r="H626" s="142"/>
      <c r="I626" s="130" t="e">
        <f>VLOOKUP(H626,Presupuesto!$B$11:$C$565,2,0)</f>
        <v>#N/A</v>
      </c>
      <c r="J626" s="98" t="str">
        <f t="shared" si="26"/>
        <v>Lo Esencial de la Reforma Universitaria</v>
      </c>
      <c r="K626" s="98" t="s">
        <v>412</v>
      </c>
    </row>
    <row r="627" spans="3:11">
      <c r="C627" s="141"/>
      <c r="D627" s="158"/>
      <c r="E627" s="123"/>
      <c r="F627" s="97">
        <f t="shared" si="24"/>
        <v>0</v>
      </c>
      <c r="G627" s="161"/>
      <c r="H627" s="142"/>
      <c r="I627" s="130" t="e">
        <f>VLOOKUP(H627,Presupuesto!$B$11:$C$565,2,0)</f>
        <v>#N/A</v>
      </c>
      <c r="J627" s="98" t="str">
        <f t="shared" si="26"/>
        <v>Lo Esencial de la Reforma Universitaria</v>
      </c>
      <c r="K627" s="98" t="s">
        <v>412</v>
      </c>
    </row>
    <row r="628" spans="3:11">
      <c r="C628" s="141"/>
      <c r="D628" s="158"/>
      <c r="E628" s="123"/>
      <c r="F628" s="97">
        <f t="shared" si="24"/>
        <v>0</v>
      </c>
      <c r="G628" s="161"/>
      <c r="H628" s="142"/>
      <c r="I628" s="130" t="e">
        <f>VLOOKUP(H628,Presupuesto!$B$11:$C$565,2,0)</f>
        <v>#N/A</v>
      </c>
      <c r="J628" s="98" t="str">
        <f t="shared" si="26"/>
        <v>Lo Esencial de la Reforma Universitaria</v>
      </c>
      <c r="K628" s="98" t="s">
        <v>412</v>
      </c>
    </row>
    <row r="629" spans="3:11">
      <c r="C629" s="141"/>
      <c r="D629" s="158"/>
      <c r="E629" s="123"/>
      <c r="F629" s="97">
        <f t="shared" si="24"/>
        <v>0</v>
      </c>
      <c r="G629" s="161"/>
      <c r="H629" s="142"/>
      <c r="I629" s="130" t="e">
        <f>VLOOKUP(H629,Presupuesto!$B$11:$C$565,2,0)</f>
        <v>#N/A</v>
      </c>
      <c r="J629" s="98" t="str">
        <f t="shared" si="26"/>
        <v>Lo Esencial de la Reforma Universitaria</v>
      </c>
      <c r="K629" s="98" t="s">
        <v>412</v>
      </c>
    </row>
    <row r="630" spans="3:11">
      <c r="C630" s="141"/>
      <c r="D630" s="158"/>
      <c r="E630" s="123"/>
      <c r="F630" s="97">
        <f t="shared" si="24"/>
        <v>0</v>
      </c>
      <c r="G630" s="161"/>
      <c r="H630" s="142"/>
      <c r="I630" s="130" t="e">
        <f>VLOOKUP(H630,Presupuesto!$B$11:$C$565,2,0)</f>
        <v>#N/A</v>
      </c>
      <c r="J630" s="98" t="str">
        <f t="shared" si="26"/>
        <v>Lo Esencial de la Reforma Universitaria</v>
      </c>
      <c r="K630" s="98" t="s">
        <v>412</v>
      </c>
    </row>
    <row r="631" spans="3:11">
      <c r="C631" s="141"/>
      <c r="D631" s="158"/>
      <c r="E631" s="123"/>
      <c r="F631" s="97">
        <f t="shared" si="24"/>
        <v>0</v>
      </c>
      <c r="G631" s="161"/>
      <c r="H631" s="142"/>
      <c r="I631" s="130" t="e">
        <f>VLOOKUP(H631,Presupuesto!$B$11:$C$565,2,0)</f>
        <v>#N/A</v>
      </c>
      <c r="J631" s="98" t="str">
        <f t="shared" si="26"/>
        <v>Lo Esencial de la Reforma Universitaria</v>
      </c>
      <c r="K631" s="98" t="s">
        <v>412</v>
      </c>
    </row>
    <row r="632" spans="3:11">
      <c r="C632" s="141"/>
      <c r="D632" s="158"/>
      <c r="E632" s="123"/>
      <c r="F632" s="97">
        <f t="shared" si="24"/>
        <v>0</v>
      </c>
      <c r="G632" s="161"/>
      <c r="H632" s="142"/>
      <c r="I632" s="130" t="e">
        <f>VLOOKUP(H632,Presupuesto!$B$11:$C$565,2,0)</f>
        <v>#N/A</v>
      </c>
      <c r="J632" s="98" t="str">
        <f t="shared" si="26"/>
        <v>Lo Esencial de la Reforma Universitaria</v>
      </c>
      <c r="K632" s="98" t="s">
        <v>412</v>
      </c>
    </row>
    <row r="633" spans="3:11">
      <c r="C633" s="141"/>
      <c r="D633" s="158"/>
      <c r="E633" s="123"/>
      <c r="F633" s="97">
        <f t="shared" si="24"/>
        <v>0</v>
      </c>
      <c r="G633" s="161"/>
      <c r="H633" s="142"/>
      <c r="I633" s="130" t="e">
        <f>VLOOKUP(H633,Presupuesto!$B$11:$C$565,2,0)</f>
        <v>#N/A</v>
      </c>
      <c r="J633" s="98" t="str">
        <f t="shared" si="26"/>
        <v>Lo Esencial de la Reforma Universitaria</v>
      </c>
      <c r="K633" s="98" t="s">
        <v>412</v>
      </c>
    </row>
    <row r="634" spans="3:11">
      <c r="C634" s="141"/>
      <c r="D634" s="158"/>
      <c r="E634" s="123"/>
      <c r="F634" s="97">
        <f t="shared" si="24"/>
        <v>0</v>
      </c>
      <c r="G634" s="161"/>
      <c r="H634" s="142"/>
      <c r="I634" s="130" t="e">
        <f>VLOOKUP(H634,Presupuesto!$B$11:$C$565,2,0)</f>
        <v>#N/A</v>
      </c>
      <c r="J634" s="98" t="str">
        <f t="shared" si="26"/>
        <v>Lo Esencial de la Reforma Universitaria</v>
      </c>
      <c r="K634" s="98" t="s">
        <v>412</v>
      </c>
    </row>
    <row r="635" spans="3:11">
      <c r="C635" s="143"/>
      <c r="D635" s="151"/>
      <c r="E635" s="118"/>
      <c r="F635" s="97">
        <f t="shared" si="24"/>
        <v>0</v>
      </c>
      <c r="G635" s="161"/>
      <c r="H635" s="144"/>
      <c r="I635" s="130" t="e">
        <f>VLOOKUP(H635,Presupuesto!$B$11:$C$565,2,0)</f>
        <v>#N/A</v>
      </c>
      <c r="J635" s="98" t="str">
        <f t="shared" si="26"/>
        <v>Lo Esencial de la Reforma Universitaria</v>
      </c>
      <c r="K635" s="98" t="s">
        <v>412</v>
      </c>
    </row>
    <row r="636" spans="3:11">
      <c r="C636" s="143"/>
      <c r="D636" s="151"/>
      <c r="E636" s="118"/>
      <c r="F636" s="97">
        <f t="shared" si="24"/>
        <v>0</v>
      </c>
      <c r="G636" s="161"/>
      <c r="H636" s="144"/>
      <c r="I636" s="130" t="e">
        <f>VLOOKUP(H636,Presupuesto!$B$11:$C$565,2,0)</f>
        <v>#N/A</v>
      </c>
      <c r="J636" s="98" t="str">
        <f t="shared" si="26"/>
        <v>Lo Esencial de la Reforma Universitaria</v>
      </c>
      <c r="K636" s="98" t="s">
        <v>412</v>
      </c>
    </row>
    <row r="637" spans="3:11">
      <c r="C637" s="143"/>
      <c r="D637" s="151"/>
      <c r="E637" s="118"/>
      <c r="F637" s="97">
        <f t="shared" si="24"/>
        <v>0</v>
      </c>
      <c r="G637" s="161"/>
      <c r="H637" s="144"/>
      <c r="I637" s="130" t="e">
        <f>VLOOKUP(H637,Presupuesto!$B$11:$C$565,2,0)</f>
        <v>#N/A</v>
      </c>
      <c r="J637" s="98" t="str">
        <f t="shared" si="26"/>
        <v>Lo Esencial de la Reforma Universitaria</v>
      </c>
      <c r="K637" s="98" t="s">
        <v>412</v>
      </c>
    </row>
    <row r="638" spans="3:11">
      <c r="C638" s="143"/>
      <c r="D638" s="151"/>
      <c r="E638" s="118"/>
      <c r="F638" s="97">
        <f t="shared" si="24"/>
        <v>0</v>
      </c>
      <c r="G638" s="161"/>
      <c r="H638" s="144"/>
      <c r="I638" s="130" t="e">
        <f>VLOOKUP(H638,Presupuesto!$B$11:$C$565,2,0)</f>
        <v>#N/A</v>
      </c>
      <c r="J638" s="98" t="str">
        <f t="shared" si="26"/>
        <v>Lo Esencial de la Reforma Universitaria</v>
      </c>
      <c r="K638" s="98" t="s">
        <v>412</v>
      </c>
    </row>
    <row r="639" spans="3:11">
      <c r="C639" s="143"/>
      <c r="D639" s="151"/>
      <c r="E639" s="118"/>
      <c r="F639" s="97">
        <f t="shared" si="24"/>
        <v>0</v>
      </c>
      <c r="G639" s="161"/>
      <c r="H639" s="144"/>
      <c r="I639" s="130" t="e">
        <f>VLOOKUP(H639,Presupuesto!$B$11:$C$565,2,0)</f>
        <v>#N/A</v>
      </c>
      <c r="J639" s="98" t="str">
        <f t="shared" si="26"/>
        <v>Lo Esencial de la Reforma Universitaria</v>
      </c>
      <c r="K639" s="98" t="s">
        <v>412</v>
      </c>
    </row>
    <row r="640" spans="3:11">
      <c r="C640" s="143"/>
      <c r="D640" s="151"/>
      <c r="E640" s="118"/>
      <c r="F640" s="97">
        <f t="shared" si="24"/>
        <v>0</v>
      </c>
      <c r="G640" s="161"/>
      <c r="H640" s="144"/>
      <c r="I640" s="130" t="e">
        <f>VLOOKUP(H640,Presupuesto!$B$11:$C$565,2,0)</f>
        <v>#N/A</v>
      </c>
      <c r="J640" s="98" t="str">
        <f t="shared" si="26"/>
        <v>Lo Esencial de la Reforma Universitaria</v>
      </c>
      <c r="K640" s="98" t="s">
        <v>412</v>
      </c>
    </row>
    <row r="641" spans="3:11">
      <c r="C641" s="143"/>
      <c r="D641" s="151"/>
      <c r="E641" s="118"/>
      <c r="F641" s="97">
        <f t="shared" si="24"/>
        <v>0</v>
      </c>
      <c r="G641" s="161"/>
      <c r="H641" s="144"/>
      <c r="I641" s="130" t="e">
        <f>VLOOKUP(H641,Presupuesto!$B$11:$C$565,2,0)</f>
        <v>#N/A</v>
      </c>
      <c r="J641" s="98" t="str">
        <f t="shared" si="26"/>
        <v>Lo Esencial de la Reforma Universitaria</v>
      </c>
      <c r="K641" s="98" t="s">
        <v>412</v>
      </c>
    </row>
    <row r="642" spans="3:11">
      <c r="C642" s="143"/>
      <c r="D642" s="151"/>
      <c r="E642" s="118"/>
      <c r="F642" s="97">
        <f t="shared" si="24"/>
        <v>0</v>
      </c>
      <c r="G642" s="161"/>
      <c r="H642" s="144"/>
      <c r="I642" s="130" t="e">
        <f>VLOOKUP(H642,Presupuesto!$B$11:$C$565,2,0)</f>
        <v>#N/A</v>
      </c>
      <c r="J642" s="98" t="str">
        <f t="shared" si="26"/>
        <v>Lo Esencial de la Reforma Universitaria</v>
      </c>
      <c r="K642" s="98" t="s">
        <v>412</v>
      </c>
    </row>
    <row r="643" spans="3:11">
      <c r="C643" s="145"/>
      <c r="D643" s="151"/>
      <c r="E643" s="118"/>
      <c r="F643" s="97">
        <f t="shared" si="24"/>
        <v>0</v>
      </c>
      <c r="G643" s="161"/>
      <c r="H643" s="146"/>
      <c r="I643" s="130" t="e">
        <f>VLOOKUP(H643,Presupuesto!$B$11:$C$565,2,0)</f>
        <v>#N/A</v>
      </c>
      <c r="J643" s="98" t="str">
        <f t="shared" si="26"/>
        <v>Lo Esencial de la Reforma Universitaria</v>
      </c>
      <c r="K643" s="98" t="s">
        <v>403</v>
      </c>
    </row>
    <row r="644" spans="3:11">
      <c r="C644" s="145"/>
      <c r="D644" s="151"/>
      <c r="E644" s="118"/>
      <c r="F644" s="97">
        <f t="shared" si="24"/>
        <v>0</v>
      </c>
      <c r="G644" s="161"/>
      <c r="H644" s="146"/>
      <c r="I644" s="130" t="e">
        <f>VLOOKUP(H644,Presupuesto!$B$11:$C$565,2,0)</f>
        <v>#N/A</v>
      </c>
      <c r="J644" s="98" t="str">
        <f t="shared" si="26"/>
        <v>Lo Esencial de la Reforma Universitaria</v>
      </c>
      <c r="K644" s="98" t="s">
        <v>412</v>
      </c>
    </row>
    <row r="645" spans="3:11">
      <c r="C645" s="145"/>
      <c r="D645" s="151"/>
      <c r="E645" s="118"/>
      <c r="F645" s="97">
        <f t="shared" si="24"/>
        <v>0</v>
      </c>
      <c r="G645" s="161"/>
      <c r="H645" s="146"/>
      <c r="I645" s="130" t="e">
        <f>VLOOKUP(H645,Presupuesto!$B$11:$C$565,2,0)</f>
        <v>#N/A</v>
      </c>
      <c r="J645" s="98" t="str">
        <f t="shared" si="26"/>
        <v>Lo Esencial de la Reforma Universitaria</v>
      </c>
      <c r="K645" s="98" t="s">
        <v>412</v>
      </c>
    </row>
    <row r="646" spans="3:11">
      <c r="C646" s="145"/>
      <c r="D646" s="151"/>
      <c r="E646" s="118"/>
      <c r="F646" s="97">
        <f t="shared" si="24"/>
        <v>0</v>
      </c>
      <c r="G646" s="161"/>
      <c r="H646" s="146"/>
      <c r="I646" s="130" t="e">
        <f>VLOOKUP(H646,Presupuesto!$B$11:$C$565,2,0)</f>
        <v>#N/A</v>
      </c>
      <c r="J646" s="98" t="str">
        <f t="shared" si="26"/>
        <v>Lo Esencial de la Reforma Universitaria</v>
      </c>
      <c r="K646" s="98" t="s">
        <v>412</v>
      </c>
    </row>
    <row r="647" spans="3:11" ht="15.75" thickBot="1">
      <c r="C647" s="147"/>
      <c r="D647" s="159"/>
      <c r="E647" s="103"/>
      <c r="F647" s="105">
        <f t="shared" si="24"/>
        <v>0</v>
      </c>
      <c r="G647" s="162"/>
      <c r="H647" s="148"/>
      <c r="I647" s="132" t="e">
        <f>VLOOKUP(H647,Presupuesto!$B$11:$C$565,2,0)</f>
        <v>#N/A</v>
      </c>
      <c r="J647" s="106" t="str">
        <f t="shared" si="26"/>
        <v>Lo Esencial de la Reforma Universitaria</v>
      </c>
      <c r="K647" s="124" t="s">
        <v>394</v>
      </c>
    </row>
    <row r="649" spans="3:11" ht="15.75" thickBot="1"/>
    <row r="650" spans="3:11" ht="15.75" thickBot="1">
      <c r="C650" s="157" t="s">
        <v>53</v>
      </c>
      <c r="D650" s="374">
        <f>SUM(F657:F691)</f>
        <v>60000</v>
      </c>
      <c r="F650" s="70"/>
      <c r="G650" s="79"/>
      <c r="H650" s="70"/>
      <c r="I650" s="70"/>
    </row>
    <row r="651" spans="3:11">
      <c r="C651" s="70"/>
      <c r="D651" s="31"/>
      <c r="E651" s="93"/>
      <c r="F651" s="93"/>
      <c r="G651" s="93"/>
      <c r="H651" s="76"/>
      <c r="I651" s="76"/>
      <c r="J651" s="76"/>
      <c r="K651" s="112"/>
    </row>
    <row r="652" spans="3:11">
      <c r="C652" s="70"/>
      <c r="D652" s="31"/>
      <c r="E652" s="93"/>
      <c r="F652" s="93"/>
      <c r="G652" s="93"/>
      <c r="H652" s="76"/>
      <c r="I652" s="76"/>
      <c r="J652" s="76"/>
      <c r="K652" s="112"/>
    </row>
    <row r="653" spans="3:11" ht="15.75">
      <c r="C653" s="202" t="s">
        <v>392</v>
      </c>
      <c r="D653" s="370">
        <v>7.17</v>
      </c>
      <c r="E653" s="93"/>
      <c r="F653" s="93"/>
      <c r="G653" s="93"/>
      <c r="H653" s="76"/>
      <c r="I653" s="76"/>
      <c r="J653" s="76"/>
      <c r="K653" s="112"/>
    </row>
    <row r="654" spans="3:11" ht="18.75">
      <c r="C654" s="211" t="str">
        <f>IFERROR(VLOOKUP(D653,'1. Desarrollo e Innov. Curricu.'!$E:$F,2,FALSE),IFERROR(VLOOKUP(D653,'2. Investigación Científica'!$E:$F,2,FALSE),IFERROR(VLOOKUP(D653,'3. Vinculación Univ. Sociedad'!$E:$F,2,FALSE),IFERROR(VLOOKUP(D653,'4. Docencia y Profesorado Univ.'!$E:$F,2,FALSE),IFERROR(VLOOKUP(D653,'5. Estudiantes y Graduados'!$E:$F,2,FALSE),IFERROR(VLOOKUP(D653,'11. Gestion Administrativa'!$E:$F,2,FALSE),IFERROR(VLOOKUP(D653,'13. Gestión Académica'!$E:$F,2,FALSE),IFERROR(VLOOKUP(D653,'8. Asegura. de la Calid. y M'!$E:$F,2,FALSE),IFERROR(VLOOKUP(D653,'6. Gestión del Conocimiento'!$E:$F,2,FALSE),IFERROR(VLOOKUP(D653,'15. Gobernabilidad y Proceso...'!$E:$F,2,FALSE),IFERROR(VLOOKUP(D653,'12. Gestión del Talento Humano'!$E:$F,2,FALSE),IFERROR(VLOOKUP(D653,'14. Internacional... de la E.S.'!$E:$F,2,FALSE),IFERROR(VLOOKUP(D653,'10. Posgrado'!$E:$F,2,FALSE),IFERROR(VLOOKUP(D653,'17. Gestión TIC'!$E:$F,2,FALSE),IFERROR(VLOOKUP(D653,'16. Desa. del Sistema Educ.Sup.'!$E:$F,2,FALSE),IFERROR(VLOOKUP(D653,'9. Cultura de Inno. Insti...'!$E:$F,2,FALSE),VLOOKUP(D653,'7. Lo Esencial de la Reforma U.'!$E:$F,2,0)))))))))))))))))</f>
        <v>Ferias interculturales en dos centros Regionales Universitarios</v>
      </c>
      <c r="D654" s="31"/>
      <c r="E654" s="93"/>
      <c r="F654" s="93"/>
      <c r="G654" s="93"/>
      <c r="H654" s="76"/>
      <c r="I654" s="76"/>
      <c r="J654" s="76"/>
      <c r="K654" s="112"/>
    </row>
    <row r="655" spans="3:11" ht="15.75" thickBot="1">
      <c r="F655" s="93"/>
      <c r="G655" s="76"/>
      <c r="H655" s="76"/>
      <c r="I655" s="76"/>
    </row>
    <row r="656" spans="3:11" ht="30.75" thickBot="1">
      <c r="C656" s="129" t="s">
        <v>44</v>
      </c>
      <c r="D656" s="129" t="s">
        <v>55</v>
      </c>
      <c r="E656" s="136" t="s">
        <v>57</v>
      </c>
      <c r="F656" s="135" t="s">
        <v>27</v>
      </c>
      <c r="G656" s="133" t="s">
        <v>131</v>
      </c>
      <c r="H656" s="136" t="s">
        <v>46</v>
      </c>
      <c r="I656" s="133" t="s">
        <v>132</v>
      </c>
      <c r="J656" s="133" t="s">
        <v>410</v>
      </c>
      <c r="K656" s="133" t="s">
        <v>411</v>
      </c>
    </row>
    <row r="657" spans="3:11">
      <c r="C657" s="221" t="s">
        <v>439</v>
      </c>
      <c r="D657" s="222"/>
      <c r="E657" s="220">
        <f>HLOOKUP(C657,$AH$2:$BU$3,2,0)</f>
        <v>620</v>
      </c>
      <c r="F657" s="97">
        <f t="shared" ref="F657:F691" si="27">D657*E657</f>
        <v>0</v>
      </c>
      <c r="G657" s="161"/>
      <c r="H657" s="142"/>
      <c r="I657" s="130" t="e">
        <f>VLOOKUP(H657,Presupuesto!$B$11:$C$565,2,0)</f>
        <v>#N/A</v>
      </c>
      <c r="J657" s="219" t="s">
        <v>1360</v>
      </c>
      <c r="K657" s="98" t="s">
        <v>394</v>
      </c>
    </row>
    <row r="658" spans="3:11" ht="30">
      <c r="C658" s="550" t="s">
        <v>1648</v>
      </c>
      <c r="D658" s="158">
        <v>30000</v>
      </c>
      <c r="E658" s="123">
        <v>2</v>
      </c>
      <c r="F658" s="97">
        <f t="shared" si="27"/>
        <v>60000</v>
      </c>
      <c r="G658" s="161" t="s">
        <v>1508</v>
      </c>
      <c r="H658" s="142" t="s">
        <v>705</v>
      </c>
      <c r="I658" s="130" t="str">
        <f>VLOOKUP(H658,Presupuesto!$B$11:$C$565,2,0)</f>
        <v>OTROS SERVICIOS TECNICOS Y PROFESIONALES</v>
      </c>
      <c r="J658" s="98" t="str">
        <f>$J$657</f>
        <v>Lo Esencial de la Reforma Universitaria</v>
      </c>
      <c r="K658" s="98" t="s">
        <v>412</v>
      </c>
    </row>
    <row r="659" spans="3:11">
      <c r="C659" s="141"/>
      <c r="D659" s="158"/>
      <c r="E659" s="123"/>
      <c r="F659" s="97">
        <f t="shared" si="27"/>
        <v>0</v>
      </c>
      <c r="G659" s="161"/>
      <c r="H659" s="142"/>
      <c r="I659" s="130" t="e">
        <f>VLOOKUP(H659,Presupuesto!$B$11:$C$565,2,0)</f>
        <v>#N/A</v>
      </c>
      <c r="J659" s="98" t="str">
        <f t="shared" ref="J659:J691" si="28">$J$657</f>
        <v>Lo Esencial de la Reforma Universitaria</v>
      </c>
      <c r="K659" s="98" t="s">
        <v>412</v>
      </c>
    </row>
    <row r="660" spans="3:11">
      <c r="C660" s="141"/>
      <c r="D660" s="158"/>
      <c r="E660" s="123"/>
      <c r="F660" s="97">
        <f t="shared" si="27"/>
        <v>0</v>
      </c>
      <c r="G660" s="161"/>
      <c r="H660" s="142"/>
      <c r="I660" s="130" t="e">
        <f>VLOOKUP(H660,Presupuesto!$B$11:$C$565,2,0)</f>
        <v>#N/A</v>
      </c>
      <c r="J660" s="98" t="str">
        <f t="shared" si="28"/>
        <v>Lo Esencial de la Reforma Universitaria</v>
      </c>
      <c r="K660" s="98" t="s">
        <v>412</v>
      </c>
    </row>
    <row r="661" spans="3:11">
      <c r="C661" s="141"/>
      <c r="D661" s="158"/>
      <c r="E661" s="123"/>
      <c r="F661" s="97">
        <f t="shared" si="27"/>
        <v>0</v>
      </c>
      <c r="G661" s="161"/>
      <c r="H661" s="142"/>
      <c r="I661" s="130" t="e">
        <f>VLOOKUP(H661,Presupuesto!$B$11:$C$565,2,0)</f>
        <v>#N/A</v>
      </c>
      <c r="J661" s="98" t="str">
        <f t="shared" si="28"/>
        <v>Lo Esencial de la Reforma Universitaria</v>
      </c>
      <c r="K661" s="98" t="s">
        <v>412</v>
      </c>
    </row>
    <row r="662" spans="3:11">
      <c r="C662" s="141"/>
      <c r="D662" s="158"/>
      <c r="E662" s="123"/>
      <c r="F662" s="97">
        <f t="shared" si="27"/>
        <v>0</v>
      </c>
      <c r="G662" s="161"/>
      <c r="H662" s="142"/>
      <c r="I662" s="130" t="e">
        <f>VLOOKUP(H662,Presupuesto!$B$11:$C$565,2,0)</f>
        <v>#N/A</v>
      </c>
      <c r="J662" s="98" t="str">
        <f t="shared" si="28"/>
        <v>Lo Esencial de la Reforma Universitaria</v>
      </c>
      <c r="K662" s="98" t="s">
        <v>401</v>
      </c>
    </row>
    <row r="663" spans="3:11">
      <c r="C663" s="141"/>
      <c r="D663" s="158"/>
      <c r="E663" s="123"/>
      <c r="F663" s="97">
        <f t="shared" si="27"/>
        <v>0</v>
      </c>
      <c r="G663" s="161"/>
      <c r="H663" s="142"/>
      <c r="I663" s="130" t="e">
        <f>VLOOKUP(H663,Presupuesto!$B$11:$C$565,2,0)</f>
        <v>#N/A</v>
      </c>
      <c r="J663" s="98" t="str">
        <f t="shared" si="28"/>
        <v>Lo Esencial de la Reforma Universitaria</v>
      </c>
      <c r="K663" s="98" t="s">
        <v>412</v>
      </c>
    </row>
    <row r="664" spans="3:11">
      <c r="C664" s="141"/>
      <c r="D664" s="158"/>
      <c r="E664" s="123"/>
      <c r="F664" s="97">
        <f t="shared" si="27"/>
        <v>0</v>
      </c>
      <c r="G664" s="161"/>
      <c r="H664" s="142"/>
      <c r="I664" s="130" t="e">
        <f>VLOOKUP(H664,Presupuesto!$B$11:$C$565,2,0)</f>
        <v>#N/A</v>
      </c>
      <c r="J664" s="98" t="str">
        <f t="shared" si="28"/>
        <v>Lo Esencial de la Reforma Universitaria</v>
      </c>
      <c r="K664" s="98" t="s">
        <v>412</v>
      </c>
    </row>
    <row r="665" spans="3:11">
      <c r="C665" s="141"/>
      <c r="D665" s="158"/>
      <c r="E665" s="123"/>
      <c r="F665" s="97">
        <f t="shared" si="27"/>
        <v>0</v>
      </c>
      <c r="G665" s="161"/>
      <c r="H665" s="142"/>
      <c r="I665" s="130" t="e">
        <f>VLOOKUP(H665,Presupuesto!$B$11:$C$565,2,0)</f>
        <v>#N/A</v>
      </c>
      <c r="J665" s="98" t="str">
        <f t="shared" si="28"/>
        <v>Lo Esencial de la Reforma Universitaria</v>
      </c>
      <c r="K665" s="98" t="s">
        <v>412</v>
      </c>
    </row>
    <row r="666" spans="3:11">
      <c r="C666" s="141"/>
      <c r="D666" s="158"/>
      <c r="E666" s="123"/>
      <c r="F666" s="97">
        <f t="shared" si="27"/>
        <v>0</v>
      </c>
      <c r="G666" s="161"/>
      <c r="H666" s="142"/>
      <c r="I666" s="130" t="e">
        <f>VLOOKUP(H666,Presupuesto!$B$11:$C$565,2,0)</f>
        <v>#N/A</v>
      </c>
      <c r="J666" s="98" t="str">
        <f t="shared" si="28"/>
        <v>Lo Esencial de la Reforma Universitaria</v>
      </c>
      <c r="K666" s="98" t="s">
        <v>412</v>
      </c>
    </row>
    <row r="667" spans="3:11">
      <c r="C667" s="141"/>
      <c r="D667" s="158"/>
      <c r="E667" s="123"/>
      <c r="F667" s="97">
        <f t="shared" si="27"/>
        <v>0</v>
      </c>
      <c r="G667" s="161"/>
      <c r="H667" s="142"/>
      <c r="I667" s="130" t="e">
        <f>VLOOKUP(H667,Presupuesto!$B$11:$C$565,2,0)</f>
        <v>#N/A</v>
      </c>
      <c r="J667" s="98" t="str">
        <f t="shared" si="28"/>
        <v>Lo Esencial de la Reforma Universitaria</v>
      </c>
      <c r="K667" s="98" t="s">
        <v>412</v>
      </c>
    </row>
    <row r="668" spans="3:11">
      <c r="C668" s="141"/>
      <c r="D668" s="158"/>
      <c r="E668" s="123"/>
      <c r="F668" s="97">
        <f t="shared" si="27"/>
        <v>0</v>
      </c>
      <c r="G668" s="161"/>
      <c r="H668" s="142"/>
      <c r="I668" s="130" t="e">
        <f>VLOOKUP(H668,Presupuesto!$B$11:$C$565,2,0)</f>
        <v>#N/A</v>
      </c>
      <c r="J668" s="98" t="str">
        <f t="shared" si="28"/>
        <v>Lo Esencial de la Reforma Universitaria</v>
      </c>
      <c r="K668" s="98" t="s">
        <v>412</v>
      </c>
    </row>
    <row r="669" spans="3:11">
      <c r="C669" s="141"/>
      <c r="D669" s="158"/>
      <c r="E669" s="123"/>
      <c r="F669" s="97">
        <f t="shared" si="27"/>
        <v>0</v>
      </c>
      <c r="G669" s="161"/>
      <c r="H669" s="142"/>
      <c r="I669" s="130" t="e">
        <f>VLOOKUP(H669,Presupuesto!$B$11:$C$565,2,0)</f>
        <v>#N/A</v>
      </c>
      <c r="J669" s="98" t="str">
        <f t="shared" si="28"/>
        <v>Lo Esencial de la Reforma Universitaria</v>
      </c>
      <c r="K669" s="98" t="s">
        <v>412</v>
      </c>
    </row>
    <row r="670" spans="3:11">
      <c r="C670" s="141"/>
      <c r="D670" s="158"/>
      <c r="E670" s="123"/>
      <c r="F670" s="97">
        <f t="shared" si="27"/>
        <v>0</v>
      </c>
      <c r="G670" s="161"/>
      <c r="H670" s="142"/>
      <c r="I670" s="130" t="e">
        <f>VLOOKUP(H670,Presupuesto!$B$11:$C$565,2,0)</f>
        <v>#N/A</v>
      </c>
      <c r="J670" s="98" t="str">
        <f t="shared" si="28"/>
        <v>Lo Esencial de la Reforma Universitaria</v>
      </c>
      <c r="K670" s="98" t="s">
        <v>412</v>
      </c>
    </row>
    <row r="671" spans="3:11">
      <c r="C671" s="141"/>
      <c r="D671" s="158"/>
      <c r="E671" s="123"/>
      <c r="F671" s="97">
        <f t="shared" si="27"/>
        <v>0</v>
      </c>
      <c r="G671" s="161"/>
      <c r="H671" s="142"/>
      <c r="I671" s="130" t="e">
        <f>VLOOKUP(H671,Presupuesto!$B$11:$C$565,2,0)</f>
        <v>#N/A</v>
      </c>
      <c r="J671" s="98" t="str">
        <f t="shared" si="28"/>
        <v>Lo Esencial de la Reforma Universitaria</v>
      </c>
      <c r="K671" s="98" t="s">
        <v>412</v>
      </c>
    </row>
    <row r="672" spans="3:11">
      <c r="C672" s="141"/>
      <c r="D672" s="158"/>
      <c r="E672" s="123"/>
      <c r="F672" s="97">
        <f t="shared" si="27"/>
        <v>0</v>
      </c>
      <c r="G672" s="161"/>
      <c r="H672" s="142"/>
      <c r="I672" s="130" t="e">
        <f>VLOOKUP(H672,Presupuesto!$B$11:$C$565,2,0)</f>
        <v>#N/A</v>
      </c>
      <c r="J672" s="98" t="str">
        <f t="shared" si="28"/>
        <v>Lo Esencial de la Reforma Universitaria</v>
      </c>
      <c r="K672" s="98" t="s">
        <v>412</v>
      </c>
    </row>
    <row r="673" spans="3:11">
      <c r="C673" s="141"/>
      <c r="D673" s="158"/>
      <c r="E673" s="123"/>
      <c r="F673" s="97">
        <f t="shared" si="27"/>
        <v>0</v>
      </c>
      <c r="G673" s="161"/>
      <c r="H673" s="142"/>
      <c r="I673" s="130" t="e">
        <f>VLOOKUP(H673,Presupuesto!$B$11:$C$565,2,0)</f>
        <v>#N/A</v>
      </c>
      <c r="J673" s="98" t="str">
        <f t="shared" si="28"/>
        <v>Lo Esencial de la Reforma Universitaria</v>
      </c>
      <c r="K673" s="98" t="s">
        <v>412</v>
      </c>
    </row>
    <row r="674" spans="3:11">
      <c r="C674" s="141"/>
      <c r="D674" s="158"/>
      <c r="E674" s="123"/>
      <c r="F674" s="97">
        <f t="shared" si="27"/>
        <v>0</v>
      </c>
      <c r="G674" s="161"/>
      <c r="H674" s="142"/>
      <c r="I674" s="130" t="e">
        <f>VLOOKUP(H674,Presupuesto!$B$11:$C$565,2,0)</f>
        <v>#N/A</v>
      </c>
      <c r="J674" s="98" t="str">
        <f t="shared" si="28"/>
        <v>Lo Esencial de la Reforma Universitaria</v>
      </c>
      <c r="K674" s="98" t="s">
        <v>412</v>
      </c>
    </row>
    <row r="675" spans="3:11">
      <c r="C675" s="141"/>
      <c r="D675" s="158"/>
      <c r="E675" s="123"/>
      <c r="F675" s="97">
        <f t="shared" si="27"/>
        <v>0</v>
      </c>
      <c r="G675" s="161"/>
      <c r="H675" s="142"/>
      <c r="I675" s="130" t="e">
        <f>VLOOKUP(H675,Presupuesto!$B$11:$C$565,2,0)</f>
        <v>#N/A</v>
      </c>
      <c r="J675" s="98" t="str">
        <f t="shared" si="28"/>
        <v>Lo Esencial de la Reforma Universitaria</v>
      </c>
      <c r="K675" s="98" t="s">
        <v>412</v>
      </c>
    </row>
    <row r="676" spans="3:11">
      <c r="C676" s="141"/>
      <c r="D676" s="158"/>
      <c r="E676" s="123"/>
      <c r="F676" s="97">
        <f t="shared" si="27"/>
        <v>0</v>
      </c>
      <c r="G676" s="161"/>
      <c r="H676" s="142"/>
      <c r="I676" s="130" t="e">
        <f>VLOOKUP(H676,Presupuesto!$B$11:$C$565,2,0)</f>
        <v>#N/A</v>
      </c>
      <c r="J676" s="98" t="str">
        <f t="shared" si="28"/>
        <v>Lo Esencial de la Reforma Universitaria</v>
      </c>
      <c r="K676" s="98" t="s">
        <v>412</v>
      </c>
    </row>
    <row r="677" spans="3:11">
      <c r="C677" s="141"/>
      <c r="D677" s="158"/>
      <c r="E677" s="123"/>
      <c r="F677" s="97">
        <f t="shared" si="27"/>
        <v>0</v>
      </c>
      <c r="G677" s="161"/>
      <c r="H677" s="142"/>
      <c r="I677" s="130" t="e">
        <f>VLOOKUP(H677,Presupuesto!$B$11:$C$565,2,0)</f>
        <v>#N/A</v>
      </c>
      <c r="J677" s="98" t="str">
        <f t="shared" si="28"/>
        <v>Lo Esencial de la Reforma Universitaria</v>
      </c>
      <c r="K677" s="98" t="s">
        <v>412</v>
      </c>
    </row>
    <row r="678" spans="3:11">
      <c r="C678" s="141"/>
      <c r="D678" s="158"/>
      <c r="E678" s="123"/>
      <c r="F678" s="97">
        <f t="shared" si="27"/>
        <v>0</v>
      </c>
      <c r="G678" s="161"/>
      <c r="H678" s="142"/>
      <c r="I678" s="130" t="e">
        <f>VLOOKUP(H678,Presupuesto!$B$11:$C$565,2,0)</f>
        <v>#N/A</v>
      </c>
      <c r="J678" s="98" t="str">
        <f t="shared" si="28"/>
        <v>Lo Esencial de la Reforma Universitaria</v>
      </c>
      <c r="K678" s="98" t="s">
        <v>412</v>
      </c>
    </row>
    <row r="679" spans="3:11">
      <c r="C679" s="143"/>
      <c r="D679" s="151"/>
      <c r="E679" s="118"/>
      <c r="F679" s="97">
        <f t="shared" si="27"/>
        <v>0</v>
      </c>
      <c r="G679" s="161"/>
      <c r="H679" s="144"/>
      <c r="I679" s="130" t="e">
        <f>VLOOKUP(H679,Presupuesto!$B$11:$C$565,2,0)</f>
        <v>#N/A</v>
      </c>
      <c r="J679" s="98" t="str">
        <f t="shared" si="28"/>
        <v>Lo Esencial de la Reforma Universitaria</v>
      </c>
      <c r="K679" s="98" t="s">
        <v>412</v>
      </c>
    </row>
    <row r="680" spans="3:11">
      <c r="C680" s="143"/>
      <c r="D680" s="151"/>
      <c r="E680" s="118"/>
      <c r="F680" s="97">
        <f t="shared" si="27"/>
        <v>0</v>
      </c>
      <c r="G680" s="161"/>
      <c r="H680" s="144"/>
      <c r="I680" s="130" t="e">
        <f>VLOOKUP(H680,Presupuesto!$B$11:$C$565,2,0)</f>
        <v>#N/A</v>
      </c>
      <c r="J680" s="98" t="str">
        <f t="shared" si="28"/>
        <v>Lo Esencial de la Reforma Universitaria</v>
      </c>
      <c r="K680" s="98" t="s">
        <v>412</v>
      </c>
    </row>
    <row r="681" spans="3:11">
      <c r="C681" s="143"/>
      <c r="D681" s="151"/>
      <c r="E681" s="118"/>
      <c r="F681" s="97">
        <f t="shared" si="27"/>
        <v>0</v>
      </c>
      <c r="G681" s="161"/>
      <c r="H681" s="144"/>
      <c r="I681" s="130" t="e">
        <f>VLOOKUP(H681,Presupuesto!$B$11:$C$565,2,0)</f>
        <v>#N/A</v>
      </c>
      <c r="J681" s="98" t="str">
        <f t="shared" si="28"/>
        <v>Lo Esencial de la Reforma Universitaria</v>
      </c>
      <c r="K681" s="98" t="s">
        <v>412</v>
      </c>
    </row>
    <row r="682" spans="3:11">
      <c r="C682" s="143"/>
      <c r="D682" s="151"/>
      <c r="E682" s="118"/>
      <c r="F682" s="97">
        <f t="shared" si="27"/>
        <v>0</v>
      </c>
      <c r="G682" s="161"/>
      <c r="H682" s="144"/>
      <c r="I682" s="130" t="e">
        <f>VLOOKUP(H682,Presupuesto!$B$11:$C$565,2,0)</f>
        <v>#N/A</v>
      </c>
      <c r="J682" s="98" t="str">
        <f t="shared" si="28"/>
        <v>Lo Esencial de la Reforma Universitaria</v>
      </c>
      <c r="K682" s="98" t="s">
        <v>412</v>
      </c>
    </row>
    <row r="683" spans="3:11">
      <c r="C683" s="143"/>
      <c r="D683" s="151"/>
      <c r="E683" s="118"/>
      <c r="F683" s="97">
        <f t="shared" si="27"/>
        <v>0</v>
      </c>
      <c r="G683" s="161"/>
      <c r="H683" s="144"/>
      <c r="I683" s="130" t="e">
        <f>VLOOKUP(H683,Presupuesto!$B$11:$C$565,2,0)</f>
        <v>#N/A</v>
      </c>
      <c r="J683" s="98" t="str">
        <f t="shared" si="28"/>
        <v>Lo Esencial de la Reforma Universitaria</v>
      </c>
      <c r="K683" s="98" t="s">
        <v>412</v>
      </c>
    </row>
    <row r="684" spans="3:11">
      <c r="C684" s="143"/>
      <c r="D684" s="151"/>
      <c r="E684" s="118"/>
      <c r="F684" s="97">
        <f t="shared" si="27"/>
        <v>0</v>
      </c>
      <c r="G684" s="161"/>
      <c r="H684" s="144"/>
      <c r="I684" s="130" t="e">
        <f>VLOOKUP(H684,Presupuesto!$B$11:$C$565,2,0)</f>
        <v>#N/A</v>
      </c>
      <c r="J684" s="98" t="str">
        <f t="shared" si="28"/>
        <v>Lo Esencial de la Reforma Universitaria</v>
      </c>
      <c r="K684" s="98" t="s">
        <v>412</v>
      </c>
    </row>
    <row r="685" spans="3:11">
      <c r="C685" s="143"/>
      <c r="D685" s="151"/>
      <c r="E685" s="118"/>
      <c r="F685" s="97">
        <f t="shared" si="27"/>
        <v>0</v>
      </c>
      <c r="G685" s="161"/>
      <c r="H685" s="144"/>
      <c r="I685" s="130" t="e">
        <f>VLOOKUP(H685,Presupuesto!$B$11:$C$565,2,0)</f>
        <v>#N/A</v>
      </c>
      <c r="J685" s="98" t="str">
        <f t="shared" si="28"/>
        <v>Lo Esencial de la Reforma Universitaria</v>
      </c>
      <c r="K685" s="98" t="s">
        <v>412</v>
      </c>
    </row>
    <row r="686" spans="3:11">
      <c r="C686" s="143"/>
      <c r="D686" s="151"/>
      <c r="E686" s="118"/>
      <c r="F686" s="97">
        <f t="shared" si="27"/>
        <v>0</v>
      </c>
      <c r="G686" s="161"/>
      <c r="H686" s="144"/>
      <c r="I686" s="130" t="e">
        <f>VLOOKUP(H686,Presupuesto!$B$11:$C$565,2,0)</f>
        <v>#N/A</v>
      </c>
      <c r="J686" s="98" t="str">
        <f t="shared" si="28"/>
        <v>Lo Esencial de la Reforma Universitaria</v>
      </c>
      <c r="K686" s="98" t="s">
        <v>412</v>
      </c>
    </row>
    <row r="687" spans="3:11">
      <c r="C687" s="145"/>
      <c r="D687" s="151"/>
      <c r="E687" s="118"/>
      <c r="F687" s="97">
        <f t="shared" si="27"/>
        <v>0</v>
      </c>
      <c r="G687" s="161"/>
      <c r="H687" s="146"/>
      <c r="I687" s="130" t="e">
        <f>VLOOKUP(H687,Presupuesto!$B$11:$C$565,2,0)</f>
        <v>#N/A</v>
      </c>
      <c r="J687" s="98" t="str">
        <f t="shared" si="28"/>
        <v>Lo Esencial de la Reforma Universitaria</v>
      </c>
      <c r="K687" s="98" t="s">
        <v>403</v>
      </c>
    </row>
    <row r="688" spans="3:11">
      <c r="C688" s="145"/>
      <c r="D688" s="151"/>
      <c r="E688" s="118"/>
      <c r="F688" s="97">
        <f t="shared" si="27"/>
        <v>0</v>
      </c>
      <c r="G688" s="161"/>
      <c r="H688" s="146"/>
      <c r="I688" s="130" t="e">
        <f>VLOOKUP(H688,Presupuesto!$B$11:$C$565,2,0)</f>
        <v>#N/A</v>
      </c>
      <c r="J688" s="98" t="str">
        <f t="shared" si="28"/>
        <v>Lo Esencial de la Reforma Universitaria</v>
      </c>
      <c r="K688" s="98" t="s">
        <v>412</v>
      </c>
    </row>
    <row r="689" spans="3:11">
      <c r="C689" s="145"/>
      <c r="D689" s="151"/>
      <c r="E689" s="118"/>
      <c r="F689" s="97">
        <f t="shared" si="27"/>
        <v>0</v>
      </c>
      <c r="G689" s="161"/>
      <c r="H689" s="146"/>
      <c r="I689" s="130" t="e">
        <f>VLOOKUP(H689,Presupuesto!$B$11:$C$565,2,0)</f>
        <v>#N/A</v>
      </c>
      <c r="J689" s="98" t="str">
        <f t="shared" si="28"/>
        <v>Lo Esencial de la Reforma Universitaria</v>
      </c>
      <c r="K689" s="98" t="s">
        <v>412</v>
      </c>
    </row>
    <row r="690" spans="3:11">
      <c r="C690" s="145"/>
      <c r="D690" s="151"/>
      <c r="E690" s="118"/>
      <c r="F690" s="97">
        <f t="shared" si="27"/>
        <v>0</v>
      </c>
      <c r="G690" s="161"/>
      <c r="H690" s="146"/>
      <c r="I690" s="130" t="e">
        <f>VLOOKUP(H690,Presupuesto!$B$11:$C$565,2,0)</f>
        <v>#N/A</v>
      </c>
      <c r="J690" s="98" t="str">
        <f t="shared" si="28"/>
        <v>Lo Esencial de la Reforma Universitaria</v>
      </c>
      <c r="K690" s="98" t="s">
        <v>412</v>
      </c>
    </row>
    <row r="691" spans="3:11" ht="15.75" thickBot="1">
      <c r="C691" s="147"/>
      <c r="D691" s="159"/>
      <c r="E691" s="103"/>
      <c r="F691" s="105">
        <f t="shared" si="27"/>
        <v>0</v>
      </c>
      <c r="G691" s="162"/>
      <c r="H691" s="148"/>
      <c r="I691" s="132" t="e">
        <f>VLOOKUP(H691,Presupuesto!$B$11:$C$565,2,0)</f>
        <v>#N/A</v>
      </c>
      <c r="J691" s="106" t="str">
        <f t="shared" si="28"/>
        <v>Lo Esencial de la Reforma Universitaria</v>
      </c>
      <c r="K691" s="124" t="s">
        <v>394</v>
      </c>
    </row>
    <row r="693" spans="3:11" ht="15.75" thickBot="1">
      <c r="F693" s="90"/>
      <c r="G693" s="89"/>
      <c r="H693" s="90"/>
      <c r="I693" s="90"/>
    </row>
    <row r="694" spans="3:11" ht="15.75" thickBot="1">
      <c r="C694" s="157" t="s">
        <v>53</v>
      </c>
      <c r="D694" s="374">
        <f>SUM(F701:F735)</f>
        <v>5000</v>
      </c>
      <c r="F694" s="70"/>
      <c r="G694" s="79"/>
      <c r="H694" s="70"/>
      <c r="I694" s="70"/>
    </row>
    <row r="695" spans="3:11">
      <c r="C695" s="70"/>
      <c r="D695" s="31"/>
      <c r="E695" s="93"/>
      <c r="F695" s="93"/>
      <c r="G695" s="93"/>
      <c r="H695" s="76"/>
      <c r="I695" s="76"/>
      <c r="J695" s="76"/>
      <c r="K695" s="112"/>
    </row>
    <row r="696" spans="3:11">
      <c r="C696" s="70"/>
      <c r="D696" s="31"/>
      <c r="E696" s="93"/>
      <c r="F696" s="93"/>
      <c r="G696" s="93"/>
      <c r="H696" s="76"/>
      <c r="I696" s="76"/>
      <c r="J696" s="76"/>
      <c r="K696" s="112"/>
    </row>
    <row r="697" spans="3:11" ht="15.75">
      <c r="C697" s="202" t="s">
        <v>392</v>
      </c>
      <c r="D697" s="370">
        <v>7.19</v>
      </c>
      <c r="E697" s="93"/>
      <c r="F697" s="93"/>
      <c r="G697" s="93"/>
      <c r="H697" s="76"/>
      <c r="I697" s="76"/>
      <c r="J697" s="76"/>
      <c r="K697" s="112"/>
    </row>
    <row r="698" spans="3:11" ht="18.75">
      <c r="C698" s="211" t="str">
        <f>IFERROR(VLOOKUP(D697,'1. Desarrollo e Innov. Curricu.'!$E:$F,2,FALSE),IFERROR(VLOOKUP(D697,'2. Investigación Científica'!$E:$F,2,FALSE),IFERROR(VLOOKUP(D697,'3. Vinculación Univ. Sociedad'!$E:$F,2,FALSE),IFERROR(VLOOKUP(D697,'4. Docencia y Profesorado Univ.'!$E:$F,2,FALSE),IFERROR(VLOOKUP(D697,'5. Estudiantes y Graduados'!$E:$F,2,FALSE),IFERROR(VLOOKUP(D697,'11. Gestion Administrativa'!$E:$F,2,FALSE),IFERROR(VLOOKUP(D697,'13. Gestión Académica'!$E:$F,2,FALSE),IFERROR(VLOOKUP(D697,'8. Asegura. de la Calid. y M'!$E:$F,2,FALSE),IFERROR(VLOOKUP(D697,'6. Gestión del Conocimiento'!$E:$F,2,FALSE),IFERROR(VLOOKUP(D697,'15. Gobernabilidad y Proceso...'!$E:$F,2,FALSE),IFERROR(VLOOKUP(D697,'12. Gestión del Talento Humano'!$E:$F,2,FALSE),IFERROR(VLOOKUP(D697,'14. Internacional... de la E.S.'!$E:$F,2,FALSE),IFERROR(VLOOKUP(D697,'10. Posgrado'!$E:$F,2,FALSE),IFERROR(VLOOKUP(D697,'17. Gestión TIC'!$E:$F,2,FALSE),IFERROR(VLOOKUP(D697,'16. Desa. del Sistema Educ.Sup.'!$E:$F,2,FALSE),IFERROR(VLOOKUP(D697,'9. Cultura de Inno. Insti...'!$E:$F,2,FALSE),VLOOKUP(D697,'7. Lo Esencial de la Reforma U.'!$E:$F,2,0)))))))))))))))))</f>
        <v>Gestionar la adquisicion de camisetas para el personal de la Direccion de Cultura para uso en eventos especiales.</v>
      </c>
      <c r="D698" s="31"/>
      <c r="E698" s="93"/>
      <c r="F698" s="93"/>
      <c r="G698" s="93"/>
      <c r="H698" s="76"/>
      <c r="I698" s="76"/>
      <c r="J698" s="76"/>
      <c r="K698" s="112"/>
    </row>
    <row r="699" spans="3:11" ht="15.75" thickBot="1">
      <c r="F699" s="93"/>
      <c r="G699" s="76"/>
      <c r="H699" s="76"/>
      <c r="I699" s="76"/>
    </row>
    <row r="700" spans="3:11" ht="30.75" thickBot="1">
      <c r="C700" s="129" t="s">
        <v>44</v>
      </c>
      <c r="D700" s="129" t="s">
        <v>55</v>
      </c>
      <c r="E700" s="136" t="s">
        <v>57</v>
      </c>
      <c r="F700" s="135" t="s">
        <v>27</v>
      </c>
      <c r="G700" s="133" t="s">
        <v>131</v>
      </c>
      <c r="H700" s="136" t="s">
        <v>46</v>
      </c>
      <c r="I700" s="133" t="s">
        <v>132</v>
      </c>
      <c r="J700" s="133" t="s">
        <v>410</v>
      </c>
      <c r="K700" s="133" t="s">
        <v>411</v>
      </c>
    </row>
    <row r="701" spans="3:11">
      <c r="C701" s="221" t="s">
        <v>439</v>
      </c>
      <c r="D701" s="222"/>
      <c r="E701" s="220">
        <f>HLOOKUP(C701,$AH$2:$BU$3,2,0)</f>
        <v>620</v>
      </c>
      <c r="F701" s="97">
        <f t="shared" ref="F701:F735" si="29">D701*E701</f>
        <v>0</v>
      </c>
      <c r="G701" s="161"/>
      <c r="H701" s="142"/>
      <c r="I701" s="130" t="e">
        <f>VLOOKUP(H701,Presupuesto!$B$11:$C$565,2,0)</f>
        <v>#N/A</v>
      </c>
      <c r="J701" s="219" t="s">
        <v>1360</v>
      </c>
      <c r="K701" s="98" t="s">
        <v>394</v>
      </c>
    </row>
    <row r="702" spans="3:11" ht="30">
      <c r="C702" s="550" t="s">
        <v>1649</v>
      </c>
      <c r="D702" s="158">
        <v>1</v>
      </c>
      <c r="E702" s="123">
        <v>5000</v>
      </c>
      <c r="F702" s="97">
        <f t="shared" si="29"/>
        <v>5000</v>
      </c>
      <c r="G702" s="161" t="s">
        <v>1508</v>
      </c>
      <c r="H702" s="142" t="s">
        <v>808</v>
      </c>
      <c r="I702" s="130" t="str">
        <f>VLOOKUP(H702,Presupuesto!$B$11:$C$565,2,0)</f>
        <v>PRENDA DE VESTIR</v>
      </c>
      <c r="J702" s="98" t="str">
        <f>$J$701</f>
        <v>Lo Esencial de la Reforma Universitaria</v>
      </c>
      <c r="K702" s="98" t="s">
        <v>412</v>
      </c>
    </row>
    <row r="703" spans="3:11">
      <c r="C703" s="141"/>
      <c r="D703" s="158"/>
      <c r="E703" s="123"/>
      <c r="F703" s="97">
        <f t="shared" si="29"/>
        <v>0</v>
      </c>
      <c r="G703" s="161"/>
      <c r="H703" s="142"/>
      <c r="I703" s="130" t="e">
        <f>VLOOKUP(H703,Presupuesto!$B$11:$C$565,2,0)</f>
        <v>#N/A</v>
      </c>
      <c r="J703" s="98" t="str">
        <f t="shared" ref="J703:J735" si="30">$J$701</f>
        <v>Lo Esencial de la Reforma Universitaria</v>
      </c>
      <c r="K703" s="98" t="s">
        <v>412</v>
      </c>
    </row>
    <row r="704" spans="3:11">
      <c r="C704" s="141"/>
      <c r="D704" s="158"/>
      <c r="E704" s="123"/>
      <c r="F704" s="97">
        <f t="shared" si="29"/>
        <v>0</v>
      </c>
      <c r="G704" s="161"/>
      <c r="H704" s="142"/>
      <c r="I704" s="130" t="e">
        <f>VLOOKUP(H704,Presupuesto!$B$11:$C$565,2,0)</f>
        <v>#N/A</v>
      </c>
      <c r="J704" s="98" t="str">
        <f t="shared" si="30"/>
        <v>Lo Esencial de la Reforma Universitaria</v>
      </c>
      <c r="K704" s="98" t="s">
        <v>412</v>
      </c>
    </row>
    <row r="705" spans="3:11">
      <c r="C705" s="141"/>
      <c r="D705" s="158"/>
      <c r="E705" s="123"/>
      <c r="F705" s="97">
        <f t="shared" si="29"/>
        <v>0</v>
      </c>
      <c r="G705" s="161"/>
      <c r="H705" s="142"/>
      <c r="I705" s="130" t="e">
        <f>VLOOKUP(H705,Presupuesto!$B$11:$C$565,2,0)</f>
        <v>#N/A</v>
      </c>
      <c r="J705" s="98" t="str">
        <f t="shared" si="30"/>
        <v>Lo Esencial de la Reforma Universitaria</v>
      </c>
      <c r="K705" s="98" t="s">
        <v>412</v>
      </c>
    </row>
    <row r="706" spans="3:11">
      <c r="C706" s="141"/>
      <c r="D706" s="158"/>
      <c r="E706" s="123"/>
      <c r="F706" s="97">
        <f t="shared" si="29"/>
        <v>0</v>
      </c>
      <c r="G706" s="161"/>
      <c r="H706" s="142"/>
      <c r="I706" s="130" t="e">
        <f>VLOOKUP(H706,Presupuesto!$B$11:$C$565,2,0)</f>
        <v>#N/A</v>
      </c>
      <c r="J706" s="98" t="str">
        <f t="shared" si="30"/>
        <v>Lo Esencial de la Reforma Universitaria</v>
      </c>
      <c r="K706" s="98" t="s">
        <v>401</v>
      </c>
    </row>
    <row r="707" spans="3:11">
      <c r="C707" s="141"/>
      <c r="D707" s="158"/>
      <c r="E707" s="123"/>
      <c r="F707" s="97">
        <f t="shared" si="29"/>
        <v>0</v>
      </c>
      <c r="G707" s="161"/>
      <c r="H707" s="142"/>
      <c r="I707" s="130" t="e">
        <f>VLOOKUP(H707,Presupuesto!$B$11:$C$565,2,0)</f>
        <v>#N/A</v>
      </c>
      <c r="J707" s="98" t="str">
        <f t="shared" si="30"/>
        <v>Lo Esencial de la Reforma Universitaria</v>
      </c>
      <c r="K707" s="98" t="s">
        <v>412</v>
      </c>
    </row>
    <row r="708" spans="3:11">
      <c r="C708" s="141"/>
      <c r="D708" s="158"/>
      <c r="E708" s="123"/>
      <c r="F708" s="97">
        <f t="shared" si="29"/>
        <v>0</v>
      </c>
      <c r="G708" s="161"/>
      <c r="H708" s="142"/>
      <c r="I708" s="130" t="e">
        <f>VLOOKUP(H708,Presupuesto!$B$11:$C$565,2,0)</f>
        <v>#N/A</v>
      </c>
      <c r="J708" s="98" t="str">
        <f t="shared" si="30"/>
        <v>Lo Esencial de la Reforma Universitaria</v>
      </c>
      <c r="K708" s="98" t="s">
        <v>412</v>
      </c>
    </row>
    <row r="709" spans="3:11">
      <c r="C709" s="141"/>
      <c r="D709" s="158"/>
      <c r="E709" s="123"/>
      <c r="F709" s="97">
        <f t="shared" si="29"/>
        <v>0</v>
      </c>
      <c r="G709" s="161"/>
      <c r="H709" s="142"/>
      <c r="I709" s="130" t="e">
        <f>VLOOKUP(H709,Presupuesto!$B$11:$C$565,2,0)</f>
        <v>#N/A</v>
      </c>
      <c r="J709" s="98" t="str">
        <f t="shared" si="30"/>
        <v>Lo Esencial de la Reforma Universitaria</v>
      </c>
      <c r="K709" s="98" t="s">
        <v>412</v>
      </c>
    </row>
    <row r="710" spans="3:11">
      <c r="C710" s="141"/>
      <c r="D710" s="158"/>
      <c r="E710" s="123"/>
      <c r="F710" s="97">
        <f t="shared" si="29"/>
        <v>0</v>
      </c>
      <c r="G710" s="161"/>
      <c r="H710" s="142"/>
      <c r="I710" s="130" t="e">
        <f>VLOOKUP(H710,Presupuesto!$B$11:$C$565,2,0)</f>
        <v>#N/A</v>
      </c>
      <c r="J710" s="98" t="str">
        <f t="shared" si="30"/>
        <v>Lo Esencial de la Reforma Universitaria</v>
      </c>
      <c r="K710" s="98" t="s">
        <v>412</v>
      </c>
    </row>
    <row r="711" spans="3:11">
      <c r="C711" s="141"/>
      <c r="D711" s="158"/>
      <c r="E711" s="123"/>
      <c r="F711" s="97">
        <f t="shared" si="29"/>
        <v>0</v>
      </c>
      <c r="G711" s="161"/>
      <c r="H711" s="142"/>
      <c r="I711" s="130" t="e">
        <f>VLOOKUP(H711,Presupuesto!$B$11:$C$565,2,0)</f>
        <v>#N/A</v>
      </c>
      <c r="J711" s="98" t="str">
        <f t="shared" si="30"/>
        <v>Lo Esencial de la Reforma Universitaria</v>
      </c>
      <c r="K711" s="98" t="s">
        <v>412</v>
      </c>
    </row>
    <row r="712" spans="3:11">
      <c r="C712" s="141"/>
      <c r="D712" s="158"/>
      <c r="E712" s="123"/>
      <c r="F712" s="97">
        <f t="shared" si="29"/>
        <v>0</v>
      </c>
      <c r="G712" s="161"/>
      <c r="H712" s="142"/>
      <c r="I712" s="130" t="e">
        <f>VLOOKUP(H712,Presupuesto!$B$11:$C$565,2,0)</f>
        <v>#N/A</v>
      </c>
      <c r="J712" s="98" t="str">
        <f t="shared" si="30"/>
        <v>Lo Esencial de la Reforma Universitaria</v>
      </c>
      <c r="K712" s="98" t="s">
        <v>412</v>
      </c>
    </row>
    <row r="713" spans="3:11">
      <c r="C713" s="141"/>
      <c r="D713" s="158"/>
      <c r="E713" s="123"/>
      <c r="F713" s="97">
        <f t="shared" si="29"/>
        <v>0</v>
      </c>
      <c r="G713" s="161"/>
      <c r="H713" s="142"/>
      <c r="I713" s="130" t="e">
        <f>VLOOKUP(H713,Presupuesto!$B$11:$C$565,2,0)</f>
        <v>#N/A</v>
      </c>
      <c r="J713" s="98" t="str">
        <f t="shared" si="30"/>
        <v>Lo Esencial de la Reforma Universitaria</v>
      </c>
      <c r="K713" s="98" t="s">
        <v>412</v>
      </c>
    </row>
    <row r="714" spans="3:11">
      <c r="C714" s="141"/>
      <c r="D714" s="158"/>
      <c r="E714" s="123"/>
      <c r="F714" s="97">
        <f t="shared" si="29"/>
        <v>0</v>
      </c>
      <c r="G714" s="161"/>
      <c r="H714" s="142"/>
      <c r="I714" s="130" t="e">
        <f>VLOOKUP(H714,Presupuesto!$B$11:$C$565,2,0)</f>
        <v>#N/A</v>
      </c>
      <c r="J714" s="98" t="str">
        <f t="shared" si="30"/>
        <v>Lo Esencial de la Reforma Universitaria</v>
      </c>
      <c r="K714" s="98" t="s">
        <v>412</v>
      </c>
    </row>
    <row r="715" spans="3:11">
      <c r="C715" s="141"/>
      <c r="D715" s="158"/>
      <c r="E715" s="123"/>
      <c r="F715" s="97">
        <f t="shared" si="29"/>
        <v>0</v>
      </c>
      <c r="G715" s="161"/>
      <c r="H715" s="142"/>
      <c r="I715" s="130" t="e">
        <f>VLOOKUP(H715,Presupuesto!$B$11:$C$565,2,0)</f>
        <v>#N/A</v>
      </c>
      <c r="J715" s="98" t="str">
        <f t="shared" si="30"/>
        <v>Lo Esencial de la Reforma Universitaria</v>
      </c>
      <c r="K715" s="98" t="s">
        <v>412</v>
      </c>
    </row>
    <row r="716" spans="3:11">
      <c r="C716" s="141"/>
      <c r="D716" s="158"/>
      <c r="E716" s="123"/>
      <c r="F716" s="97">
        <f t="shared" si="29"/>
        <v>0</v>
      </c>
      <c r="G716" s="161"/>
      <c r="H716" s="142"/>
      <c r="I716" s="130" t="e">
        <f>VLOOKUP(H716,Presupuesto!$B$11:$C$565,2,0)</f>
        <v>#N/A</v>
      </c>
      <c r="J716" s="98" t="str">
        <f t="shared" si="30"/>
        <v>Lo Esencial de la Reforma Universitaria</v>
      </c>
      <c r="K716" s="98" t="s">
        <v>412</v>
      </c>
    </row>
    <row r="717" spans="3:11">
      <c r="C717" s="141"/>
      <c r="D717" s="158"/>
      <c r="E717" s="123"/>
      <c r="F717" s="97">
        <f t="shared" si="29"/>
        <v>0</v>
      </c>
      <c r="G717" s="161"/>
      <c r="H717" s="142"/>
      <c r="I717" s="130" t="e">
        <f>VLOOKUP(H717,Presupuesto!$B$11:$C$565,2,0)</f>
        <v>#N/A</v>
      </c>
      <c r="J717" s="98" t="str">
        <f t="shared" si="30"/>
        <v>Lo Esencial de la Reforma Universitaria</v>
      </c>
      <c r="K717" s="98" t="s">
        <v>412</v>
      </c>
    </row>
    <row r="718" spans="3:11">
      <c r="C718" s="141"/>
      <c r="D718" s="158"/>
      <c r="E718" s="123"/>
      <c r="F718" s="97">
        <f t="shared" si="29"/>
        <v>0</v>
      </c>
      <c r="G718" s="161"/>
      <c r="H718" s="142"/>
      <c r="I718" s="130" t="e">
        <f>VLOOKUP(H718,Presupuesto!$B$11:$C$565,2,0)</f>
        <v>#N/A</v>
      </c>
      <c r="J718" s="98" t="str">
        <f t="shared" si="30"/>
        <v>Lo Esencial de la Reforma Universitaria</v>
      </c>
      <c r="K718" s="98" t="s">
        <v>412</v>
      </c>
    </row>
    <row r="719" spans="3:11">
      <c r="C719" s="141"/>
      <c r="D719" s="158"/>
      <c r="E719" s="123"/>
      <c r="F719" s="97">
        <f t="shared" si="29"/>
        <v>0</v>
      </c>
      <c r="G719" s="161"/>
      <c r="H719" s="142"/>
      <c r="I719" s="130" t="e">
        <f>VLOOKUP(H719,Presupuesto!$B$11:$C$565,2,0)</f>
        <v>#N/A</v>
      </c>
      <c r="J719" s="98" t="str">
        <f t="shared" si="30"/>
        <v>Lo Esencial de la Reforma Universitaria</v>
      </c>
      <c r="K719" s="98" t="s">
        <v>412</v>
      </c>
    </row>
    <row r="720" spans="3:11">
      <c r="C720" s="141"/>
      <c r="D720" s="158"/>
      <c r="E720" s="123"/>
      <c r="F720" s="97">
        <f t="shared" si="29"/>
        <v>0</v>
      </c>
      <c r="G720" s="161"/>
      <c r="H720" s="142"/>
      <c r="I720" s="130" t="e">
        <f>VLOOKUP(H720,Presupuesto!$B$11:$C$565,2,0)</f>
        <v>#N/A</v>
      </c>
      <c r="J720" s="98" t="str">
        <f t="shared" si="30"/>
        <v>Lo Esencial de la Reforma Universitaria</v>
      </c>
      <c r="K720" s="98" t="s">
        <v>412</v>
      </c>
    </row>
    <row r="721" spans="3:11">
      <c r="C721" s="141"/>
      <c r="D721" s="158"/>
      <c r="E721" s="123"/>
      <c r="F721" s="97">
        <f t="shared" si="29"/>
        <v>0</v>
      </c>
      <c r="G721" s="161"/>
      <c r="H721" s="142"/>
      <c r="I721" s="130" t="e">
        <f>VLOOKUP(H721,Presupuesto!$B$11:$C$565,2,0)</f>
        <v>#N/A</v>
      </c>
      <c r="J721" s="98" t="str">
        <f t="shared" si="30"/>
        <v>Lo Esencial de la Reforma Universitaria</v>
      </c>
      <c r="K721" s="98" t="s">
        <v>412</v>
      </c>
    </row>
    <row r="722" spans="3:11">
      <c r="C722" s="141"/>
      <c r="D722" s="158"/>
      <c r="E722" s="123"/>
      <c r="F722" s="97">
        <f t="shared" si="29"/>
        <v>0</v>
      </c>
      <c r="G722" s="161"/>
      <c r="H722" s="142"/>
      <c r="I722" s="130" t="e">
        <f>VLOOKUP(H722,Presupuesto!$B$11:$C$565,2,0)</f>
        <v>#N/A</v>
      </c>
      <c r="J722" s="98" t="str">
        <f t="shared" si="30"/>
        <v>Lo Esencial de la Reforma Universitaria</v>
      </c>
      <c r="K722" s="98" t="s">
        <v>412</v>
      </c>
    </row>
    <row r="723" spans="3:11">
      <c r="C723" s="143"/>
      <c r="D723" s="151"/>
      <c r="E723" s="118"/>
      <c r="F723" s="97">
        <f t="shared" si="29"/>
        <v>0</v>
      </c>
      <c r="G723" s="161"/>
      <c r="H723" s="144"/>
      <c r="I723" s="130" t="e">
        <f>VLOOKUP(H723,Presupuesto!$B$11:$C$565,2,0)</f>
        <v>#N/A</v>
      </c>
      <c r="J723" s="98" t="str">
        <f t="shared" si="30"/>
        <v>Lo Esencial de la Reforma Universitaria</v>
      </c>
      <c r="K723" s="98" t="s">
        <v>412</v>
      </c>
    </row>
    <row r="724" spans="3:11">
      <c r="C724" s="143"/>
      <c r="D724" s="151"/>
      <c r="E724" s="118"/>
      <c r="F724" s="97">
        <f t="shared" si="29"/>
        <v>0</v>
      </c>
      <c r="G724" s="161"/>
      <c r="H724" s="144"/>
      <c r="I724" s="130" t="e">
        <f>VLOOKUP(H724,Presupuesto!$B$11:$C$565,2,0)</f>
        <v>#N/A</v>
      </c>
      <c r="J724" s="98" t="str">
        <f t="shared" si="30"/>
        <v>Lo Esencial de la Reforma Universitaria</v>
      </c>
      <c r="K724" s="98" t="s">
        <v>412</v>
      </c>
    </row>
    <row r="725" spans="3:11">
      <c r="C725" s="143"/>
      <c r="D725" s="151"/>
      <c r="E725" s="118"/>
      <c r="F725" s="97">
        <f t="shared" si="29"/>
        <v>0</v>
      </c>
      <c r="G725" s="161"/>
      <c r="H725" s="144"/>
      <c r="I725" s="130" t="e">
        <f>VLOOKUP(H725,Presupuesto!$B$11:$C$565,2,0)</f>
        <v>#N/A</v>
      </c>
      <c r="J725" s="98" t="str">
        <f t="shared" si="30"/>
        <v>Lo Esencial de la Reforma Universitaria</v>
      </c>
      <c r="K725" s="98" t="s">
        <v>412</v>
      </c>
    </row>
    <row r="726" spans="3:11">
      <c r="C726" s="143"/>
      <c r="D726" s="151"/>
      <c r="E726" s="118"/>
      <c r="F726" s="97">
        <f t="shared" si="29"/>
        <v>0</v>
      </c>
      <c r="G726" s="161"/>
      <c r="H726" s="144"/>
      <c r="I726" s="130" t="e">
        <f>VLOOKUP(H726,Presupuesto!$B$11:$C$565,2,0)</f>
        <v>#N/A</v>
      </c>
      <c r="J726" s="98" t="str">
        <f t="shared" si="30"/>
        <v>Lo Esencial de la Reforma Universitaria</v>
      </c>
      <c r="K726" s="98" t="s">
        <v>412</v>
      </c>
    </row>
    <row r="727" spans="3:11">
      <c r="C727" s="143"/>
      <c r="D727" s="151"/>
      <c r="E727" s="118"/>
      <c r="F727" s="97">
        <f t="shared" si="29"/>
        <v>0</v>
      </c>
      <c r="G727" s="161"/>
      <c r="H727" s="144"/>
      <c r="I727" s="130" t="e">
        <f>VLOOKUP(H727,Presupuesto!$B$11:$C$565,2,0)</f>
        <v>#N/A</v>
      </c>
      <c r="J727" s="98" t="str">
        <f t="shared" si="30"/>
        <v>Lo Esencial de la Reforma Universitaria</v>
      </c>
      <c r="K727" s="98" t="s">
        <v>412</v>
      </c>
    </row>
    <row r="728" spans="3:11">
      <c r="C728" s="143"/>
      <c r="D728" s="151"/>
      <c r="E728" s="118"/>
      <c r="F728" s="97">
        <f t="shared" si="29"/>
        <v>0</v>
      </c>
      <c r="G728" s="161"/>
      <c r="H728" s="144"/>
      <c r="I728" s="130" t="e">
        <f>VLOOKUP(H728,Presupuesto!$B$11:$C$565,2,0)</f>
        <v>#N/A</v>
      </c>
      <c r="J728" s="98" t="str">
        <f t="shared" si="30"/>
        <v>Lo Esencial de la Reforma Universitaria</v>
      </c>
      <c r="K728" s="98" t="s">
        <v>412</v>
      </c>
    </row>
    <row r="729" spans="3:11">
      <c r="C729" s="143"/>
      <c r="D729" s="151"/>
      <c r="E729" s="118"/>
      <c r="F729" s="97">
        <f t="shared" si="29"/>
        <v>0</v>
      </c>
      <c r="G729" s="161"/>
      <c r="H729" s="144"/>
      <c r="I729" s="130" t="e">
        <f>VLOOKUP(H729,Presupuesto!$B$11:$C$565,2,0)</f>
        <v>#N/A</v>
      </c>
      <c r="J729" s="98" t="str">
        <f t="shared" si="30"/>
        <v>Lo Esencial de la Reforma Universitaria</v>
      </c>
      <c r="K729" s="98" t="s">
        <v>412</v>
      </c>
    </row>
    <row r="730" spans="3:11">
      <c r="C730" s="143"/>
      <c r="D730" s="151"/>
      <c r="E730" s="118"/>
      <c r="F730" s="97">
        <f t="shared" si="29"/>
        <v>0</v>
      </c>
      <c r="G730" s="161"/>
      <c r="H730" s="144"/>
      <c r="I730" s="130" t="e">
        <f>VLOOKUP(H730,Presupuesto!$B$11:$C$565,2,0)</f>
        <v>#N/A</v>
      </c>
      <c r="J730" s="98" t="str">
        <f t="shared" si="30"/>
        <v>Lo Esencial de la Reforma Universitaria</v>
      </c>
      <c r="K730" s="98" t="s">
        <v>412</v>
      </c>
    </row>
    <row r="731" spans="3:11">
      <c r="C731" s="145"/>
      <c r="D731" s="151"/>
      <c r="E731" s="118"/>
      <c r="F731" s="97">
        <f t="shared" si="29"/>
        <v>0</v>
      </c>
      <c r="G731" s="161"/>
      <c r="H731" s="146"/>
      <c r="I731" s="130" t="e">
        <f>VLOOKUP(H731,Presupuesto!$B$11:$C$565,2,0)</f>
        <v>#N/A</v>
      </c>
      <c r="J731" s="98" t="str">
        <f t="shared" si="30"/>
        <v>Lo Esencial de la Reforma Universitaria</v>
      </c>
      <c r="K731" s="98" t="s">
        <v>403</v>
      </c>
    </row>
    <row r="732" spans="3:11">
      <c r="C732" s="145"/>
      <c r="D732" s="151"/>
      <c r="E732" s="118"/>
      <c r="F732" s="97">
        <f t="shared" si="29"/>
        <v>0</v>
      </c>
      <c r="G732" s="161"/>
      <c r="H732" s="146"/>
      <c r="I732" s="130" t="e">
        <f>VLOOKUP(H732,Presupuesto!$B$11:$C$565,2,0)</f>
        <v>#N/A</v>
      </c>
      <c r="J732" s="98" t="str">
        <f t="shared" si="30"/>
        <v>Lo Esencial de la Reforma Universitaria</v>
      </c>
      <c r="K732" s="98" t="s">
        <v>412</v>
      </c>
    </row>
    <row r="733" spans="3:11">
      <c r="C733" s="145"/>
      <c r="D733" s="151"/>
      <c r="E733" s="118"/>
      <c r="F733" s="97">
        <f t="shared" si="29"/>
        <v>0</v>
      </c>
      <c r="G733" s="161"/>
      <c r="H733" s="146"/>
      <c r="I733" s="130" t="e">
        <f>VLOOKUP(H733,Presupuesto!$B$11:$C$565,2,0)</f>
        <v>#N/A</v>
      </c>
      <c r="J733" s="98" t="str">
        <f t="shared" si="30"/>
        <v>Lo Esencial de la Reforma Universitaria</v>
      </c>
      <c r="K733" s="98" t="s">
        <v>412</v>
      </c>
    </row>
    <row r="734" spans="3:11">
      <c r="C734" s="145"/>
      <c r="D734" s="151"/>
      <c r="E734" s="118"/>
      <c r="F734" s="97">
        <f t="shared" si="29"/>
        <v>0</v>
      </c>
      <c r="G734" s="161"/>
      <c r="H734" s="146"/>
      <c r="I734" s="130" t="e">
        <f>VLOOKUP(H734,Presupuesto!$B$11:$C$565,2,0)</f>
        <v>#N/A</v>
      </c>
      <c r="J734" s="98" t="str">
        <f t="shared" si="30"/>
        <v>Lo Esencial de la Reforma Universitaria</v>
      </c>
      <c r="K734" s="98" t="s">
        <v>412</v>
      </c>
    </row>
    <row r="735" spans="3:11" ht="15.75" thickBot="1">
      <c r="C735" s="147"/>
      <c r="D735" s="159"/>
      <c r="E735" s="103"/>
      <c r="F735" s="105">
        <f t="shared" si="29"/>
        <v>0</v>
      </c>
      <c r="G735" s="162"/>
      <c r="H735" s="148"/>
      <c r="I735" s="132" t="e">
        <f>VLOOKUP(H735,Presupuesto!$B$11:$C$565,2,0)</f>
        <v>#N/A</v>
      </c>
      <c r="J735" s="106" t="str">
        <f t="shared" si="30"/>
        <v>Lo Esencial de la Reforma Universitaria</v>
      </c>
      <c r="K735" s="124" t="s">
        <v>394</v>
      </c>
    </row>
    <row r="737" spans="3:11" ht="15.75" thickBot="1"/>
    <row r="738" spans="3:11" ht="15.75" thickBot="1">
      <c r="C738" s="157" t="s">
        <v>53</v>
      </c>
      <c r="D738" s="374">
        <f>SUM(F745:F779)</f>
        <v>50000</v>
      </c>
      <c r="F738" s="70"/>
      <c r="G738" s="79"/>
      <c r="H738" s="70"/>
      <c r="I738" s="70"/>
    </row>
    <row r="739" spans="3:11">
      <c r="C739" s="70"/>
      <c r="D739" s="31"/>
      <c r="E739" s="93"/>
      <c r="F739" s="93"/>
      <c r="G739" s="93"/>
      <c r="H739" s="76"/>
      <c r="I739" s="76"/>
      <c r="J739" s="76"/>
      <c r="K739" s="112"/>
    </row>
    <row r="740" spans="3:11">
      <c r="C740" s="70"/>
      <c r="D740" s="31"/>
      <c r="E740" s="93"/>
      <c r="F740" s="93"/>
      <c r="G740" s="93"/>
      <c r="H740" s="76"/>
      <c r="I740" s="76"/>
      <c r="J740" s="76"/>
      <c r="K740" s="112"/>
    </row>
    <row r="741" spans="3:11" ht="15.75">
      <c r="C741" s="202" t="s">
        <v>392</v>
      </c>
      <c r="D741" s="370" t="s">
        <v>1650</v>
      </c>
      <c r="E741" s="93"/>
      <c r="F741" s="93"/>
      <c r="G741" s="93"/>
      <c r="H741" s="76"/>
      <c r="I741" s="76"/>
      <c r="J741" s="76"/>
      <c r="K741" s="112"/>
    </row>
    <row r="742" spans="3:11" ht="18.75">
      <c r="C742" s="211" t="str">
        <f>IFERROR(VLOOKUP(D741,'1. Desarrollo e Innov. Curricu.'!$E:$F,2,FALSE),IFERROR(VLOOKUP(D741,'2. Investigación Científica'!$E:$F,2,FALSE),IFERROR(VLOOKUP(D741,'3. Vinculación Univ. Sociedad'!$E:$F,2,FALSE),IFERROR(VLOOKUP(D741,'4. Docencia y Profesorado Univ.'!$E:$F,2,FALSE),IFERROR(VLOOKUP(D741,'5. Estudiantes y Graduados'!$E:$F,2,FALSE),IFERROR(VLOOKUP(D741,'11. Gestion Administrativa'!$E:$F,2,FALSE),IFERROR(VLOOKUP(D741,'13. Gestión Académica'!$E:$F,2,FALSE),IFERROR(VLOOKUP(D741,'8. Asegura. de la Calid. y M'!$E:$F,2,FALSE),IFERROR(VLOOKUP(D741,'6. Gestión del Conocimiento'!$E:$F,2,FALSE),IFERROR(VLOOKUP(D741,'15. Gobernabilidad y Proceso...'!$E:$F,2,FALSE),IFERROR(VLOOKUP(D741,'12. Gestión del Talento Humano'!$E:$F,2,FALSE),IFERROR(VLOOKUP(D741,'14. Internacional... de la E.S.'!$E:$F,2,FALSE),IFERROR(VLOOKUP(D741,'10. Posgrado'!$E:$F,2,FALSE),IFERROR(VLOOKUP(D741,'17. Gestión TIC'!$E:$F,2,FALSE),IFERROR(VLOOKUP(D741,'16. Desa. del Sistema Educ.Sup.'!$E:$F,2,FALSE),IFERROR(VLOOKUP(D741,'9. Cultura de Inno. Insti...'!$E:$F,2,FALSE),VLOOKUP(D741,'7. Lo Esencial de la Reforma U.'!$E:$F,2,0)))))))))))))))))</f>
        <v>Gestionar la compra de tonesr y materiales de oficina para el buen funcionamiento de la Direccion</v>
      </c>
      <c r="D742" s="31"/>
      <c r="E742" s="93"/>
      <c r="F742" s="93"/>
      <c r="G742" s="93"/>
      <c r="H742" s="76"/>
      <c r="I742" s="76"/>
      <c r="J742" s="76"/>
      <c r="K742" s="112"/>
    </row>
    <row r="743" spans="3:11" ht="15.75" thickBot="1">
      <c r="F743" s="93"/>
      <c r="G743" s="76"/>
      <c r="H743" s="76"/>
      <c r="I743" s="76"/>
    </row>
    <row r="744" spans="3:11" ht="30.75" thickBot="1">
      <c r="C744" s="129" t="s">
        <v>44</v>
      </c>
      <c r="D744" s="129" t="s">
        <v>55</v>
      </c>
      <c r="E744" s="136" t="s">
        <v>57</v>
      </c>
      <c r="F744" s="135" t="s">
        <v>27</v>
      </c>
      <c r="G744" s="133" t="s">
        <v>131</v>
      </c>
      <c r="H744" s="136" t="s">
        <v>46</v>
      </c>
      <c r="I744" s="133" t="s">
        <v>132</v>
      </c>
      <c r="J744" s="133" t="s">
        <v>410</v>
      </c>
      <c r="K744" s="133" t="s">
        <v>411</v>
      </c>
    </row>
    <row r="745" spans="3:11">
      <c r="C745" s="221" t="s">
        <v>439</v>
      </c>
      <c r="D745" s="222"/>
      <c r="E745" s="220">
        <f>HLOOKUP(C745,$AH$2:$BU$3,2,0)</f>
        <v>620</v>
      </c>
      <c r="F745" s="97">
        <f t="shared" ref="F745:F779" si="31">D745*E745</f>
        <v>0</v>
      </c>
      <c r="G745" s="161"/>
      <c r="H745" s="142"/>
      <c r="I745" s="130" t="e">
        <f>VLOOKUP(H745,Presupuesto!$B$11:$C$565,2,0)</f>
        <v>#N/A</v>
      </c>
      <c r="J745" s="219" t="s">
        <v>1360</v>
      </c>
      <c r="K745" s="98" t="s">
        <v>394</v>
      </c>
    </row>
    <row r="746" spans="3:11">
      <c r="C746" s="141" t="s">
        <v>1653</v>
      </c>
      <c r="D746" s="158">
        <v>1</v>
      </c>
      <c r="E746" s="123">
        <v>6000</v>
      </c>
      <c r="F746" s="97">
        <f t="shared" si="31"/>
        <v>6000</v>
      </c>
      <c r="G746" s="161" t="s">
        <v>129</v>
      </c>
      <c r="H746" s="142" t="s">
        <v>942</v>
      </c>
      <c r="I746" s="130" t="str">
        <f>VLOOKUP(H746,Presupuesto!$B$11:$C$565,2,0)</f>
        <v>UTILES DE ESCRITORIO, OFICINA Y ENSE¥ANZA</v>
      </c>
      <c r="J746" s="98" t="str">
        <f>$J$745</f>
        <v>Lo Esencial de la Reforma Universitaria</v>
      </c>
      <c r="K746" s="98" t="s">
        <v>412</v>
      </c>
    </row>
    <row r="747" spans="3:11">
      <c r="C747" s="141" t="s">
        <v>1651</v>
      </c>
      <c r="D747" s="158">
        <v>8</v>
      </c>
      <c r="E747" s="123">
        <v>4400</v>
      </c>
      <c r="F747" s="97">
        <f t="shared" si="31"/>
        <v>35200</v>
      </c>
      <c r="G747" s="161" t="s">
        <v>1508</v>
      </c>
      <c r="H747" s="142" t="s">
        <v>955</v>
      </c>
      <c r="I747" s="130" t="str">
        <f>VLOOKUP(H747,Presupuesto!$B$11:$C$565,2,0)</f>
        <v>OTROS RESPUESTOS Y ACCESORIOS MENORES</v>
      </c>
      <c r="J747" s="98" t="str">
        <f t="shared" ref="J747:J779" si="32">$J$745</f>
        <v>Lo Esencial de la Reforma Universitaria</v>
      </c>
      <c r="K747" s="98" t="s">
        <v>412</v>
      </c>
    </row>
    <row r="748" spans="3:11">
      <c r="C748" s="141" t="s">
        <v>1652</v>
      </c>
      <c r="D748" s="158">
        <v>2</v>
      </c>
      <c r="E748" s="123">
        <v>4400</v>
      </c>
      <c r="F748" s="97">
        <f t="shared" si="31"/>
        <v>8800</v>
      </c>
      <c r="G748" s="161" t="s">
        <v>1508</v>
      </c>
      <c r="H748" s="142" t="s">
        <v>955</v>
      </c>
      <c r="I748" s="130" t="str">
        <f>VLOOKUP(H748,Presupuesto!$B$11:$C$565,2,0)</f>
        <v>OTROS RESPUESTOS Y ACCESORIOS MENORES</v>
      </c>
      <c r="J748" s="98" t="str">
        <f t="shared" si="32"/>
        <v>Lo Esencial de la Reforma Universitaria</v>
      </c>
      <c r="K748" s="98" t="s">
        <v>412</v>
      </c>
    </row>
    <row r="749" spans="3:11">
      <c r="C749" s="141"/>
      <c r="D749" s="158"/>
      <c r="E749" s="123"/>
      <c r="F749" s="97">
        <f t="shared" si="31"/>
        <v>0</v>
      </c>
      <c r="G749" s="161"/>
      <c r="H749" s="142"/>
      <c r="I749" s="130" t="e">
        <f>VLOOKUP(H749,Presupuesto!$B$11:$C$565,2,0)</f>
        <v>#N/A</v>
      </c>
      <c r="J749" s="98" t="str">
        <f t="shared" si="32"/>
        <v>Lo Esencial de la Reforma Universitaria</v>
      </c>
      <c r="K749" s="98" t="s">
        <v>412</v>
      </c>
    </row>
    <row r="750" spans="3:11">
      <c r="C750" s="141"/>
      <c r="D750" s="158"/>
      <c r="E750" s="123"/>
      <c r="F750" s="97">
        <f t="shared" si="31"/>
        <v>0</v>
      </c>
      <c r="G750" s="161"/>
      <c r="H750" s="142"/>
      <c r="I750" s="130" t="e">
        <f>VLOOKUP(H750,Presupuesto!$B$11:$C$565,2,0)</f>
        <v>#N/A</v>
      </c>
      <c r="J750" s="98" t="str">
        <f t="shared" si="32"/>
        <v>Lo Esencial de la Reforma Universitaria</v>
      </c>
      <c r="K750" s="98" t="s">
        <v>401</v>
      </c>
    </row>
    <row r="751" spans="3:11">
      <c r="C751" s="141"/>
      <c r="D751" s="158"/>
      <c r="E751" s="123"/>
      <c r="F751" s="97">
        <f t="shared" si="31"/>
        <v>0</v>
      </c>
      <c r="G751" s="161"/>
      <c r="H751" s="142"/>
      <c r="I751" s="130" t="e">
        <f>VLOOKUP(H751,Presupuesto!$B$11:$C$565,2,0)</f>
        <v>#N/A</v>
      </c>
      <c r="J751" s="98" t="str">
        <f t="shared" si="32"/>
        <v>Lo Esencial de la Reforma Universitaria</v>
      </c>
      <c r="K751" s="98" t="s">
        <v>412</v>
      </c>
    </row>
    <row r="752" spans="3:11">
      <c r="C752" s="141"/>
      <c r="D752" s="158"/>
      <c r="E752" s="123"/>
      <c r="F752" s="97">
        <f t="shared" si="31"/>
        <v>0</v>
      </c>
      <c r="G752" s="161"/>
      <c r="H752" s="142"/>
      <c r="I752" s="130" t="e">
        <f>VLOOKUP(H752,Presupuesto!$B$11:$C$565,2,0)</f>
        <v>#N/A</v>
      </c>
      <c r="J752" s="98" t="str">
        <f t="shared" si="32"/>
        <v>Lo Esencial de la Reforma Universitaria</v>
      </c>
      <c r="K752" s="98" t="s">
        <v>412</v>
      </c>
    </row>
    <row r="753" spans="3:11">
      <c r="C753" s="141"/>
      <c r="D753" s="158"/>
      <c r="E753" s="123"/>
      <c r="F753" s="97">
        <f t="shared" si="31"/>
        <v>0</v>
      </c>
      <c r="G753" s="161"/>
      <c r="H753" s="142"/>
      <c r="I753" s="130" t="e">
        <f>VLOOKUP(H753,Presupuesto!$B$11:$C$565,2,0)</f>
        <v>#N/A</v>
      </c>
      <c r="J753" s="98" t="str">
        <f t="shared" si="32"/>
        <v>Lo Esencial de la Reforma Universitaria</v>
      </c>
      <c r="K753" s="98" t="s">
        <v>412</v>
      </c>
    </row>
    <row r="754" spans="3:11">
      <c r="C754" s="141"/>
      <c r="D754" s="158"/>
      <c r="E754" s="123"/>
      <c r="F754" s="97">
        <f t="shared" si="31"/>
        <v>0</v>
      </c>
      <c r="G754" s="161"/>
      <c r="H754" s="142"/>
      <c r="I754" s="130" t="e">
        <f>VLOOKUP(H754,Presupuesto!$B$11:$C$565,2,0)</f>
        <v>#N/A</v>
      </c>
      <c r="J754" s="98" t="str">
        <f t="shared" si="32"/>
        <v>Lo Esencial de la Reforma Universitaria</v>
      </c>
      <c r="K754" s="98" t="s">
        <v>412</v>
      </c>
    </row>
    <row r="755" spans="3:11">
      <c r="C755" s="141"/>
      <c r="D755" s="158"/>
      <c r="E755" s="123"/>
      <c r="F755" s="97">
        <f t="shared" si="31"/>
        <v>0</v>
      </c>
      <c r="G755" s="161"/>
      <c r="H755" s="142"/>
      <c r="I755" s="130" t="e">
        <f>VLOOKUP(H755,Presupuesto!$B$11:$C$565,2,0)</f>
        <v>#N/A</v>
      </c>
      <c r="J755" s="98" t="str">
        <f t="shared" si="32"/>
        <v>Lo Esencial de la Reforma Universitaria</v>
      </c>
      <c r="K755" s="98" t="s">
        <v>412</v>
      </c>
    </row>
    <row r="756" spans="3:11">
      <c r="C756" s="141"/>
      <c r="D756" s="158"/>
      <c r="E756" s="123"/>
      <c r="F756" s="97">
        <f t="shared" si="31"/>
        <v>0</v>
      </c>
      <c r="G756" s="161"/>
      <c r="H756" s="142"/>
      <c r="I756" s="130" t="e">
        <f>VLOOKUP(H756,Presupuesto!$B$11:$C$565,2,0)</f>
        <v>#N/A</v>
      </c>
      <c r="J756" s="98" t="str">
        <f t="shared" si="32"/>
        <v>Lo Esencial de la Reforma Universitaria</v>
      </c>
      <c r="K756" s="98" t="s">
        <v>412</v>
      </c>
    </row>
    <row r="757" spans="3:11">
      <c r="C757" s="141"/>
      <c r="D757" s="158"/>
      <c r="E757" s="123"/>
      <c r="F757" s="97">
        <f t="shared" si="31"/>
        <v>0</v>
      </c>
      <c r="G757" s="161"/>
      <c r="H757" s="142"/>
      <c r="I757" s="130" t="e">
        <f>VLOOKUP(H757,Presupuesto!$B$11:$C$565,2,0)</f>
        <v>#N/A</v>
      </c>
      <c r="J757" s="98" t="str">
        <f t="shared" si="32"/>
        <v>Lo Esencial de la Reforma Universitaria</v>
      </c>
      <c r="K757" s="98" t="s">
        <v>412</v>
      </c>
    </row>
    <row r="758" spans="3:11">
      <c r="C758" s="141"/>
      <c r="D758" s="158"/>
      <c r="E758" s="123"/>
      <c r="F758" s="97">
        <f t="shared" si="31"/>
        <v>0</v>
      </c>
      <c r="G758" s="161"/>
      <c r="H758" s="142"/>
      <c r="I758" s="130" t="e">
        <f>VLOOKUP(H758,Presupuesto!$B$11:$C$565,2,0)</f>
        <v>#N/A</v>
      </c>
      <c r="J758" s="98" t="str">
        <f t="shared" si="32"/>
        <v>Lo Esencial de la Reforma Universitaria</v>
      </c>
      <c r="K758" s="98" t="s">
        <v>412</v>
      </c>
    </row>
    <row r="759" spans="3:11">
      <c r="C759" s="141"/>
      <c r="D759" s="158"/>
      <c r="E759" s="123"/>
      <c r="F759" s="97">
        <f t="shared" si="31"/>
        <v>0</v>
      </c>
      <c r="G759" s="161"/>
      <c r="H759" s="142"/>
      <c r="I759" s="130" t="e">
        <f>VLOOKUP(H759,Presupuesto!$B$11:$C$565,2,0)</f>
        <v>#N/A</v>
      </c>
      <c r="J759" s="98" t="str">
        <f t="shared" si="32"/>
        <v>Lo Esencial de la Reforma Universitaria</v>
      </c>
      <c r="K759" s="98" t="s">
        <v>412</v>
      </c>
    </row>
    <row r="760" spans="3:11">
      <c r="C760" s="141"/>
      <c r="D760" s="158"/>
      <c r="E760" s="123"/>
      <c r="F760" s="97">
        <f t="shared" si="31"/>
        <v>0</v>
      </c>
      <c r="G760" s="161"/>
      <c r="H760" s="142"/>
      <c r="I760" s="130" t="e">
        <f>VLOOKUP(H760,Presupuesto!$B$11:$C$565,2,0)</f>
        <v>#N/A</v>
      </c>
      <c r="J760" s="98" t="str">
        <f t="shared" si="32"/>
        <v>Lo Esencial de la Reforma Universitaria</v>
      </c>
      <c r="K760" s="98" t="s">
        <v>412</v>
      </c>
    </row>
    <row r="761" spans="3:11">
      <c r="C761" s="141"/>
      <c r="D761" s="158"/>
      <c r="E761" s="123"/>
      <c r="F761" s="97">
        <f t="shared" si="31"/>
        <v>0</v>
      </c>
      <c r="G761" s="161"/>
      <c r="H761" s="142"/>
      <c r="I761" s="130" t="e">
        <f>VLOOKUP(H761,Presupuesto!$B$11:$C$565,2,0)</f>
        <v>#N/A</v>
      </c>
      <c r="J761" s="98" t="str">
        <f t="shared" si="32"/>
        <v>Lo Esencial de la Reforma Universitaria</v>
      </c>
      <c r="K761" s="98" t="s">
        <v>412</v>
      </c>
    </row>
    <row r="762" spans="3:11">
      <c r="C762" s="141"/>
      <c r="D762" s="158"/>
      <c r="E762" s="123"/>
      <c r="F762" s="97">
        <f t="shared" si="31"/>
        <v>0</v>
      </c>
      <c r="G762" s="161"/>
      <c r="H762" s="142"/>
      <c r="I762" s="130" t="e">
        <f>VLOOKUP(H762,Presupuesto!$B$11:$C$565,2,0)</f>
        <v>#N/A</v>
      </c>
      <c r="J762" s="98" t="str">
        <f t="shared" si="32"/>
        <v>Lo Esencial de la Reforma Universitaria</v>
      </c>
      <c r="K762" s="98" t="s">
        <v>412</v>
      </c>
    </row>
    <row r="763" spans="3:11">
      <c r="C763" s="141"/>
      <c r="D763" s="158"/>
      <c r="E763" s="123"/>
      <c r="F763" s="97">
        <f t="shared" si="31"/>
        <v>0</v>
      </c>
      <c r="G763" s="161"/>
      <c r="H763" s="142"/>
      <c r="I763" s="130" t="e">
        <f>VLOOKUP(H763,Presupuesto!$B$11:$C$565,2,0)</f>
        <v>#N/A</v>
      </c>
      <c r="J763" s="98" t="str">
        <f t="shared" si="32"/>
        <v>Lo Esencial de la Reforma Universitaria</v>
      </c>
      <c r="K763" s="98" t="s">
        <v>412</v>
      </c>
    </row>
    <row r="764" spans="3:11">
      <c r="C764" s="141"/>
      <c r="D764" s="158"/>
      <c r="E764" s="123"/>
      <c r="F764" s="97">
        <f t="shared" si="31"/>
        <v>0</v>
      </c>
      <c r="G764" s="161"/>
      <c r="H764" s="142"/>
      <c r="I764" s="130" t="e">
        <f>VLOOKUP(H764,Presupuesto!$B$11:$C$565,2,0)</f>
        <v>#N/A</v>
      </c>
      <c r="J764" s="98" t="str">
        <f t="shared" si="32"/>
        <v>Lo Esencial de la Reforma Universitaria</v>
      </c>
      <c r="K764" s="98" t="s">
        <v>412</v>
      </c>
    </row>
    <row r="765" spans="3:11">
      <c r="C765" s="141"/>
      <c r="D765" s="158"/>
      <c r="E765" s="123"/>
      <c r="F765" s="97">
        <f t="shared" si="31"/>
        <v>0</v>
      </c>
      <c r="G765" s="161"/>
      <c r="H765" s="142"/>
      <c r="I765" s="130" t="e">
        <f>VLOOKUP(H765,Presupuesto!$B$11:$C$565,2,0)</f>
        <v>#N/A</v>
      </c>
      <c r="J765" s="98" t="str">
        <f t="shared" si="32"/>
        <v>Lo Esencial de la Reforma Universitaria</v>
      </c>
      <c r="K765" s="98" t="s">
        <v>412</v>
      </c>
    </row>
    <row r="766" spans="3:11">
      <c r="C766" s="141"/>
      <c r="D766" s="158"/>
      <c r="E766" s="123"/>
      <c r="F766" s="97">
        <f t="shared" si="31"/>
        <v>0</v>
      </c>
      <c r="G766" s="161"/>
      <c r="H766" s="142"/>
      <c r="I766" s="130" t="e">
        <f>VLOOKUP(H766,Presupuesto!$B$11:$C$565,2,0)</f>
        <v>#N/A</v>
      </c>
      <c r="J766" s="98" t="str">
        <f t="shared" si="32"/>
        <v>Lo Esencial de la Reforma Universitaria</v>
      </c>
      <c r="K766" s="98" t="s">
        <v>412</v>
      </c>
    </row>
    <row r="767" spans="3:11">
      <c r="C767" s="143"/>
      <c r="D767" s="151"/>
      <c r="E767" s="118"/>
      <c r="F767" s="97">
        <f t="shared" si="31"/>
        <v>0</v>
      </c>
      <c r="G767" s="161"/>
      <c r="H767" s="144"/>
      <c r="I767" s="130" t="e">
        <f>VLOOKUP(H767,Presupuesto!$B$11:$C$565,2,0)</f>
        <v>#N/A</v>
      </c>
      <c r="J767" s="98" t="str">
        <f t="shared" si="32"/>
        <v>Lo Esencial de la Reforma Universitaria</v>
      </c>
      <c r="K767" s="98" t="s">
        <v>412</v>
      </c>
    </row>
    <row r="768" spans="3:11">
      <c r="C768" s="143"/>
      <c r="D768" s="151"/>
      <c r="E768" s="118"/>
      <c r="F768" s="97">
        <f t="shared" si="31"/>
        <v>0</v>
      </c>
      <c r="G768" s="161"/>
      <c r="H768" s="144"/>
      <c r="I768" s="130" t="e">
        <f>VLOOKUP(H768,Presupuesto!$B$11:$C$565,2,0)</f>
        <v>#N/A</v>
      </c>
      <c r="J768" s="98" t="str">
        <f t="shared" si="32"/>
        <v>Lo Esencial de la Reforma Universitaria</v>
      </c>
      <c r="K768" s="98" t="s">
        <v>412</v>
      </c>
    </row>
    <row r="769" spans="3:11">
      <c r="C769" s="143"/>
      <c r="D769" s="151"/>
      <c r="E769" s="118"/>
      <c r="F769" s="97">
        <f t="shared" si="31"/>
        <v>0</v>
      </c>
      <c r="G769" s="161"/>
      <c r="H769" s="144"/>
      <c r="I769" s="130" t="e">
        <f>VLOOKUP(H769,Presupuesto!$B$11:$C$565,2,0)</f>
        <v>#N/A</v>
      </c>
      <c r="J769" s="98" t="str">
        <f t="shared" si="32"/>
        <v>Lo Esencial de la Reforma Universitaria</v>
      </c>
      <c r="K769" s="98" t="s">
        <v>412</v>
      </c>
    </row>
    <row r="770" spans="3:11">
      <c r="C770" s="143"/>
      <c r="D770" s="151"/>
      <c r="E770" s="118"/>
      <c r="F770" s="97">
        <f t="shared" si="31"/>
        <v>0</v>
      </c>
      <c r="G770" s="161"/>
      <c r="H770" s="144"/>
      <c r="I770" s="130" t="e">
        <f>VLOOKUP(H770,Presupuesto!$B$11:$C$565,2,0)</f>
        <v>#N/A</v>
      </c>
      <c r="J770" s="98" t="str">
        <f t="shared" si="32"/>
        <v>Lo Esencial de la Reforma Universitaria</v>
      </c>
      <c r="K770" s="98" t="s">
        <v>412</v>
      </c>
    </row>
    <row r="771" spans="3:11">
      <c r="C771" s="143"/>
      <c r="D771" s="151"/>
      <c r="E771" s="118"/>
      <c r="F771" s="97">
        <f t="shared" si="31"/>
        <v>0</v>
      </c>
      <c r="G771" s="161"/>
      <c r="H771" s="144"/>
      <c r="I771" s="130" t="e">
        <f>VLOOKUP(H771,Presupuesto!$B$11:$C$565,2,0)</f>
        <v>#N/A</v>
      </c>
      <c r="J771" s="98" t="str">
        <f t="shared" si="32"/>
        <v>Lo Esencial de la Reforma Universitaria</v>
      </c>
      <c r="K771" s="98" t="s">
        <v>412</v>
      </c>
    </row>
    <row r="772" spans="3:11">
      <c r="C772" s="143"/>
      <c r="D772" s="151"/>
      <c r="E772" s="118"/>
      <c r="F772" s="97">
        <f t="shared" si="31"/>
        <v>0</v>
      </c>
      <c r="G772" s="161"/>
      <c r="H772" s="144"/>
      <c r="I772" s="130" t="e">
        <f>VLOOKUP(H772,Presupuesto!$B$11:$C$565,2,0)</f>
        <v>#N/A</v>
      </c>
      <c r="J772" s="98" t="str">
        <f t="shared" si="32"/>
        <v>Lo Esencial de la Reforma Universitaria</v>
      </c>
      <c r="K772" s="98" t="s">
        <v>412</v>
      </c>
    </row>
    <row r="773" spans="3:11">
      <c r="C773" s="143"/>
      <c r="D773" s="151"/>
      <c r="E773" s="118"/>
      <c r="F773" s="97">
        <f t="shared" si="31"/>
        <v>0</v>
      </c>
      <c r="G773" s="161"/>
      <c r="H773" s="144"/>
      <c r="I773" s="130" t="e">
        <f>VLOOKUP(H773,Presupuesto!$B$11:$C$565,2,0)</f>
        <v>#N/A</v>
      </c>
      <c r="J773" s="98" t="str">
        <f t="shared" si="32"/>
        <v>Lo Esencial de la Reforma Universitaria</v>
      </c>
      <c r="K773" s="98" t="s">
        <v>412</v>
      </c>
    </row>
    <row r="774" spans="3:11">
      <c r="C774" s="143"/>
      <c r="D774" s="151"/>
      <c r="E774" s="118"/>
      <c r="F774" s="97">
        <f t="shared" si="31"/>
        <v>0</v>
      </c>
      <c r="G774" s="161"/>
      <c r="H774" s="144"/>
      <c r="I774" s="130" t="e">
        <f>VLOOKUP(H774,Presupuesto!$B$11:$C$565,2,0)</f>
        <v>#N/A</v>
      </c>
      <c r="J774" s="98" t="str">
        <f t="shared" si="32"/>
        <v>Lo Esencial de la Reforma Universitaria</v>
      </c>
      <c r="K774" s="98" t="s">
        <v>412</v>
      </c>
    </row>
    <row r="775" spans="3:11">
      <c r="C775" s="145"/>
      <c r="D775" s="151"/>
      <c r="E775" s="118"/>
      <c r="F775" s="97">
        <f t="shared" si="31"/>
        <v>0</v>
      </c>
      <c r="G775" s="161"/>
      <c r="H775" s="146"/>
      <c r="I775" s="130" t="e">
        <f>VLOOKUP(H775,Presupuesto!$B$11:$C$565,2,0)</f>
        <v>#N/A</v>
      </c>
      <c r="J775" s="98" t="str">
        <f t="shared" si="32"/>
        <v>Lo Esencial de la Reforma Universitaria</v>
      </c>
      <c r="K775" s="98" t="s">
        <v>403</v>
      </c>
    </row>
    <row r="776" spans="3:11">
      <c r="C776" s="145"/>
      <c r="D776" s="151"/>
      <c r="E776" s="118"/>
      <c r="F776" s="97">
        <f t="shared" si="31"/>
        <v>0</v>
      </c>
      <c r="G776" s="161"/>
      <c r="H776" s="146"/>
      <c r="I776" s="130" t="e">
        <f>VLOOKUP(H776,Presupuesto!$B$11:$C$565,2,0)</f>
        <v>#N/A</v>
      </c>
      <c r="J776" s="98" t="str">
        <f t="shared" si="32"/>
        <v>Lo Esencial de la Reforma Universitaria</v>
      </c>
      <c r="K776" s="98" t="s">
        <v>412</v>
      </c>
    </row>
    <row r="777" spans="3:11">
      <c r="C777" s="145"/>
      <c r="D777" s="151"/>
      <c r="E777" s="118"/>
      <c r="F777" s="97">
        <f t="shared" si="31"/>
        <v>0</v>
      </c>
      <c r="G777" s="161"/>
      <c r="H777" s="146"/>
      <c r="I777" s="130" t="e">
        <f>VLOOKUP(H777,Presupuesto!$B$11:$C$565,2,0)</f>
        <v>#N/A</v>
      </c>
      <c r="J777" s="98" t="str">
        <f t="shared" si="32"/>
        <v>Lo Esencial de la Reforma Universitaria</v>
      </c>
      <c r="K777" s="98" t="s">
        <v>412</v>
      </c>
    </row>
    <row r="778" spans="3:11">
      <c r="C778" s="145"/>
      <c r="D778" s="151"/>
      <c r="E778" s="118"/>
      <c r="F778" s="97">
        <f t="shared" si="31"/>
        <v>0</v>
      </c>
      <c r="G778" s="161"/>
      <c r="H778" s="146"/>
      <c r="I778" s="130" t="e">
        <f>VLOOKUP(H778,Presupuesto!$B$11:$C$565,2,0)</f>
        <v>#N/A</v>
      </c>
      <c r="J778" s="98" t="str">
        <f t="shared" si="32"/>
        <v>Lo Esencial de la Reforma Universitaria</v>
      </c>
      <c r="K778" s="98" t="s">
        <v>412</v>
      </c>
    </row>
    <row r="779" spans="3:11" ht="15.75" thickBot="1">
      <c r="C779" s="147"/>
      <c r="D779" s="159"/>
      <c r="E779" s="103"/>
      <c r="F779" s="105">
        <f t="shared" si="31"/>
        <v>0</v>
      </c>
      <c r="G779" s="162"/>
      <c r="H779" s="148"/>
      <c r="I779" s="132" t="e">
        <f>VLOOKUP(H779,Presupuesto!$B$11:$C$565,2,0)</f>
        <v>#N/A</v>
      </c>
      <c r="J779" s="106" t="str">
        <f t="shared" si="32"/>
        <v>Lo Esencial de la Reforma Universitaria</v>
      </c>
      <c r="K779" s="124" t="s">
        <v>394</v>
      </c>
    </row>
    <row r="781" spans="3:11" ht="15.75" thickBot="1">
      <c r="F781" s="90"/>
      <c r="G781" s="89"/>
      <c r="H781" s="90"/>
      <c r="I781" s="90"/>
    </row>
    <row r="782" spans="3:11" ht="15.75" thickBot="1">
      <c r="C782" s="157" t="s">
        <v>53</v>
      </c>
      <c r="D782" s="374">
        <f>SUM(F789:F823)</f>
        <v>168250</v>
      </c>
      <c r="F782" s="70"/>
      <c r="G782" s="79"/>
      <c r="H782" s="70"/>
      <c r="I782" s="70"/>
    </row>
    <row r="783" spans="3:11">
      <c r="C783" s="70"/>
      <c r="D783" s="31"/>
      <c r="E783" s="93"/>
      <c r="F783" s="93"/>
      <c r="G783" s="93"/>
      <c r="H783" s="76"/>
      <c r="I783" s="76"/>
      <c r="J783" s="76"/>
      <c r="K783" s="112"/>
    </row>
    <row r="784" spans="3:11">
      <c r="C784" s="70"/>
      <c r="D784" s="31"/>
      <c r="E784" s="93"/>
      <c r="F784" s="93"/>
      <c r="G784" s="93"/>
      <c r="H784" s="76"/>
      <c r="I784" s="76"/>
      <c r="J784" s="76"/>
      <c r="K784" s="112"/>
    </row>
    <row r="785" spans="3:11" ht="15.75">
      <c r="C785" s="202" t="s">
        <v>392</v>
      </c>
      <c r="D785" s="370">
        <v>7.21</v>
      </c>
      <c r="E785" s="93"/>
      <c r="F785" s="93"/>
      <c r="G785" s="93"/>
      <c r="H785" s="76"/>
      <c r="I785" s="76"/>
      <c r="J785" s="76"/>
      <c r="K785" s="112"/>
    </row>
    <row r="786" spans="3:11" ht="18.75">
      <c r="C786" s="211" t="str">
        <f>IFERROR(VLOOKUP(D785,'1. Desarrollo e Innov. Curricu.'!$E:$F,2,FALSE),IFERROR(VLOOKUP(D785,'2. Investigación Científica'!$E:$F,2,FALSE),IFERROR(VLOOKUP(D785,'3. Vinculación Univ. Sociedad'!$E:$F,2,FALSE),IFERROR(VLOOKUP(D785,'4. Docencia y Profesorado Univ.'!$E:$F,2,FALSE),IFERROR(VLOOKUP(D785,'5. Estudiantes y Graduados'!$E:$F,2,FALSE),IFERROR(VLOOKUP(D785,'11. Gestion Administrativa'!$E:$F,2,FALSE),IFERROR(VLOOKUP(D785,'13. Gestión Académica'!$E:$F,2,FALSE),IFERROR(VLOOKUP(D785,'8. Asegura. de la Calid. y M'!$E:$F,2,FALSE),IFERROR(VLOOKUP(D785,'6. Gestión del Conocimiento'!$E:$F,2,FALSE),IFERROR(VLOOKUP(D785,'15. Gobernabilidad y Proceso...'!$E:$F,2,FALSE),IFERROR(VLOOKUP(D785,'12. Gestión del Talento Humano'!$E:$F,2,FALSE),IFERROR(VLOOKUP(D785,'14. Internacional... de la E.S.'!$E:$F,2,FALSE),IFERROR(VLOOKUP(D785,'10. Posgrado'!$E:$F,2,FALSE),IFERROR(VLOOKUP(D785,'17. Gestión TIC'!$E:$F,2,FALSE),IFERROR(VLOOKUP(D785,'16. Desa. del Sistema Educ.Sup.'!$E:$F,2,FALSE),IFERROR(VLOOKUP(D785,'9. Cultura de Inno. Insti...'!$E:$F,2,FALSE),VLOOKUP(D785,'7. Lo Esencial de la Reforma U.'!$E:$F,2,0)))))))))))))))))</f>
        <v>Apoyo economico a las Ferias Culturales en regiones</v>
      </c>
      <c r="D786" s="31"/>
      <c r="E786" s="93"/>
      <c r="F786" s="93"/>
      <c r="G786" s="93"/>
      <c r="H786" s="76"/>
      <c r="I786" s="76"/>
      <c r="J786" s="76"/>
      <c r="K786" s="112"/>
    </row>
    <row r="787" spans="3:11" ht="15.75" thickBot="1">
      <c r="F787" s="93"/>
      <c r="G787" s="76"/>
      <c r="H787" s="76"/>
      <c r="I787" s="76"/>
    </row>
    <row r="788" spans="3:11" ht="30.75" thickBot="1">
      <c r="C788" s="129" t="s">
        <v>44</v>
      </c>
      <c r="D788" s="129" t="s">
        <v>55</v>
      </c>
      <c r="E788" s="136" t="s">
        <v>57</v>
      </c>
      <c r="F788" s="135" t="s">
        <v>27</v>
      </c>
      <c r="G788" s="133" t="s">
        <v>131</v>
      </c>
      <c r="H788" s="136" t="s">
        <v>46</v>
      </c>
      <c r="I788" s="133" t="s">
        <v>132</v>
      </c>
      <c r="J788" s="133" t="s">
        <v>410</v>
      </c>
      <c r="K788" s="133" t="s">
        <v>411</v>
      </c>
    </row>
    <row r="789" spans="3:11" ht="15.75" thickBot="1">
      <c r="C789" s="221" t="s">
        <v>424</v>
      </c>
      <c r="D789" s="222">
        <v>5</v>
      </c>
      <c r="E789" s="220">
        <f>HLOOKUP(C789,$AH$2:$BU$3,2,0)</f>
        <v>2250</v>
      </c>
      <c r="F789" s="97">
        <f t="shared" ref="F789:F790" si="33">D789*E789</f>
        <v>11250</v>
      </c>
      <c r="G789" s="161" t="s">
        <v>1508</v>
      </c>
      <c r="H789" s="142" t="s">
        <v>761</v>
      </c>
      <c r="I789" s="130" t="str">
        <f>VLOOKUP(H789,Presupuesto!$B$11:$C$565,2,0)</f>
        <v>VIATICOS NACIONALES</v>
      </c>
      <c r="J789" s="219" t="s">
        <v>1360</v>
      </c>
      <c r="K789" s="98" t="s">
        <v>394</v>
      </c>
    </row>
    <row r="790" spans="3:11">
      <c r="C790" s="221" t="s">
        <v>425</v>
      </c>
      <c r="D790" s="222">
        <v>5</v>
      </c>
      <c r="E790" s="220">
        <f t="shared" ref="E790" si="34">HLOOKUP(C790,$AH$2:$BU$3,2,0)</f>
        <v>1400</v>
      </c>
      <c r="F790" s="97">
        <f t="shared" si="33"/>
        <v>7000</v>
      </c>
      <c r="G790" s="161" t="s">
        <v>1508</v>
      </c>
      <c r="H790" s="142" t="s">
        <v>761</v>
      </c>
      <c r="I790" s="130" t="str">
        <f>VLOOKUP(H790,Presupuesto!$B$11:$C$565,2,0)</f>
        <v>VIATICOS NACIONALES</v>
      </c>
      <c r="J790" s="98" t="str">
        <f>$J$613</f>
        <v>Lo Esencial de la Reforma Universitaria</v>
      </c>
      <c r="K790" s="98" t="s">
        <v>412</v>
      </c>
    </row>
    <row r="791" spans="3:11">
      <c r="C791" s="141" t="s">
        <v>1661</v>
      </c>
      <c r="D791" s="158">
        <v>3</v>
      </c>
      <c r="E791" s="123">
        <v>50000</v>
      </c>
      <c r="F791" s="97">
        <f t="shared" ref="F791:F823" si="35">D791*E791</f>
        <v>150000</v>
      </c>
      <c r="G791" s="161" t="s">
        <v>1508</v>
      </c>
      <c r="H791" s="142" t="s">
        <v>743</v>
      </c>
      <c r="I791" s="130" t="str">
        <f>VLOOKUP(H791,Presupuesto!$B$11:$C$565,2,0)</f>
        <v>OTROS SERVICIOS COMERCIALES Y FINANCIEROS</v>
      </c>
      <c r="J791" s="98" t="str">
        <f t="shared" ref="J791:J823" si="36">$J$789</f>
        <v>Lo Esencial de la Reforma Universitaria</v>
      </c>
      <c r="K791" s="98" t="s">
        <v>412</v>
      </c>
    </row>
    <row r="792" spans="3:11">
      <c r="C792" s="141"/>
      <c r="D792" s="158"/>
      <c r="E792" s="123"/>
      <c r="F792" s="97">
        <f t="shared" si="35"/>
        <v>0</v>
      </c>
      <c r="G792" s="161"/>
      <c r="H792" s="142"/>
      <c r="I792" s="130" t="e">
        <f>VLOOKUP(H792,Presupuesto!$B$11:$C$565,2,0)</f>
        <v>#N/A</v>
      </c>
      <c r="J792" s="98" t="str">
        <f t="shared" si="36"/>
        <v>Lo Esencial de la Reforma Universitaria</v>
      </c>
      <c r="K792" s="98" t="s">
        <v>412</v>
      </c>
    </row>
    <row r="793" spans="3:11">
      <c r="C793" s="141"/>
      <c r="D793" s="158"/>
      <c r="E793" s="123"/>
      <c r="F793" s="97">
        <f t="shared" si="35"/>
        <v>0</v>
      </c>
      <c r="G793" s="161"/>
      <c r="H793" s="142"/>
      <c r="I793" s="130" t="e">
        <f>VLOOKUP(H793,Presupuesto!$B$11:$C$565,2,0)</f>
        <v>#N/A</v>
      </c>
      <c r="J793" s="98" t="str">
        <f t="shared" si="36"/>
        <v>Lo Esencial de la Reforma Universitaria</v>
      </c>
      <c r="K793" s="98" t="s">
        <v>412</v>
      </c>
    </row>
    <row r="794" spans="3:11">
      <c r="C794" s="141"/>
      <c r="D794" s="158"/>
      <c r="E794" s="123"/>
      <c r="F794" s="97">
        <f t="shared" si="35"/>
        <v>0</v>
      </c>
      <c r="G794" s="161"/>
      <c r="H794" s="142"/>
      <c r="I794" s="130" t="e">
        <f>VLOOKUP(H794,Presupuesto!$B$11:$C$565,2,0)</f>
        <v>#N/A</v>
      </c>
      <c r="J794" s="98" t="str">
        <f t="shared" si="36"/>
        <v>Lo Esencial de la Reforma Universitaria</v>
      </c>
      <c r="K794" s="98" t="s">
        <v>401</v>
      </c>
    </row>
    <row r="795" spans="3:11">
      <c r="C795" s="141"/>
      <c r="D795" s="158"/>
      <c r="E795" s="123"/>
      <c r="F795" s="97">
        <f t="shared" si="35"/>
        <v>0</v>
      </c>
      <c r="G795" s="161"/>
      <c r="H795" s="142"/>
      <c r="I795" s="130" t="e">
        <f>VLOOKUP(H795,Presupuesto!$B$11:$C$565,2,0)</f>
        <v>#N/A</v>
      </c>
      <c r="J795" s="98" t="str">
        <f t="shared" si="36"/>
        <v>Lo Esencial de la Reforma Universitaria</v>
      </c>
      <c r="K795" s="98" t="s">
        <v>412</v>
      </c>
    </row>
    <row r="796" spans="3:11">
      <c r="C796" s="141"/>
      <c r="D796" s="158"/>
      <c r="E796" s="123"/>
      <c r="F796" s="97">
        <f t="shared" si="35"/>
        <v>0</v>
      </c>
      <c r="G796" s="161"/>
      <c r="H796" s="142"/>
      <c r="I796" s="130" t="e">
        <f>VLOOKUP(H796,Presupuesto!$B$11:$C$565,2,0)</f>
        <v>#N/A</v>
      </c>
      <c r="J796" s="98" t="str">
        <f t="shared" si="36"/>
        <v>Lo Esencial de la Reforma Universitaria</v>
      </c>
      <c r="K796" s="98" t="s">
        <v>412</v>
      </c>
    </row>
    <row r="797" spans="3:11">
      <c r="C797" s="141"/>
      <c r="D797" s="158"/>
      <c r="E797" s="123"/>
      <c r="F797" s="97">
        <f t="shared" si="35"/>
        <v>0</v>
      </c>
      <c r="G797" s="161"/>
      <c r="H797" s="142"/>
      <c r="I797" s="130" t="e">
        <f>VLOOKUP(H797,Presupuesto!$B$11:$C$565,2,0)</f>
        <v>#N/A</v>
      </c>
      <c r="J797" s="98" t="str">
        <f t="shared" si="36"/>
        <v>Lo Esencial de la Reforma Universitaria</v>
      </c>
      <c r="K797" s="98" t="s">
        <v>412</v>
      </c>
    </row>
    <row r="798" spans="3:11">
      <c r="C798" s="141"/>
      <c r="D798" s="158"/>
      <c r="E798" s="123"/>
      <c r="F798" s="97">
        <f t="shared" si="35"/>
        <v>0</v>
      </c>
      <c r="G798" s="161"/>
      <c r="H798" s="142"/>
      <c r="I798" s="130" t="e">
        <f>VLOOKUP(H798,Presupuesto!$B$11:$C$565,2,0)</f>
        <v>#N/A</v>
      </c>
      <c r="J798" s="98" t="str">
        <f t="shared" si="36"/>
        <v>Lo Esencial de la Reforma Universitaria</v>
      </c>
      <c r="K798" s="98" t="s">
        <v>412</v>
      </c>
    </row>
    <row r="799" spans="3:11">
      <c r="C799" s="141"/>
      <c r="D799" s="158"/>
      <c r="E799" s="123"/>
      <c r="F799" s="97">
        <f t="shared" si="35"/>
        <v>0</v>
      </c>
      <c r="G799" s="161"/>
      <c r="H799" s="142"/>
      <c r="I799" s="130" t="e">
        <f>VLOOKUP(H799,Presupuesto!$B$11:$C$565,2,0)</f>
        <v>#N/A</v>
      </c>
      <c r="J799" s="98" t="str">
        <f t="shared" si="36"/>
        <v>Lo Esencial de la Reforma Universitaria</v>
      </c>
      <c r="K799" s="98" t="s">
        <v>412</v>
      </c>
    </row>
    <row r="800" spans="3:11">
      <c r="C800" s="141"/>
      <c r="D800" s="158"/>
      <c r="E800" s="123"/>
      <c r="F800" s="97">
        <f t="shared" si="35"/>
        <v>0</v>
      </c>
      <c r="G800" s="161"/>
      <c r="H800" s="142"/>
      <c r="I800" s="130" t="e">
        <f>VLOOKUP(H800,Presupuesto!$B$11:$C$565,2,0)</f>
        <v>#N/A</v>
      </c>
      <c r="J800" s="98" t="str">
        <f t="shared" si="36"/>
        <v>Lo Esencial de la Reforma Universitaria</v>
      </c>
      <c r="K800" s="98" t="s">
        <v>412</v>
      </c>
    </row>
    <row r="801" spans="3:11">
      <c r="C801" s="141"/>
      <c r="D801" s="158"/>
      <c r="E801" s="123"/>
      <c r="F801" s="97">
        <f t="shared" si="35"/>
        <v>0</v>
      </c>
      <c r="G801" s="161"/>
      <c r="H801" s="142"/>
      <c r="I801" s="130" t="e">
        <f>VLOOKUP(H801,Presupuesto!$B$11:$C$565,2,0)</f>
        <v>#N/A</v>
      </c>
      <c r="J801" s="98" t="str">
        <f t="shared" si="36"/>
        <v>Lo Esencial de la Reforma Universitaria</v>
      </c>
      <c r="K801" s="98" t="s">
        <v>412</v>
      </c>
    </row>
    <row r="802" spans="3:11">
      <c r="C802" s="141"/>
      <c r="D802" s="158"/>
      <c r="E802" s="123"/>
      <c r="F802" s="97">
        <f t="shared" si="35"/>
        <v>0</v>
      </c>
      <c r="G802" s="161"/>
      <c r="H802" s="142"/>
      <c r="I802" s="130" t="e">
        <f>VLOOKUP(H802,Presupuesto!$B$11:$C$565,2,0)</f>
        <v>#N/A</v>
      </c>
      <c r="J802" s="98" t="str">
        <f t="shared" si="36"/>
        <v>Lo Esencial de la Reforma Universitaria</v>
      </c>
      <c r="K802" s="98" t="s">
        <v>412</v>
      </c>
    </row>
    <row r="803" spans="3:11">
      <c r="C803" s="141"/>
      <c r="D803" s="158"/>
      <c r="E803" s="123"/>
      <c r="F803" s="97">
        <f t="shared" si="35"/>
        <v>0</v>
      </c>
      <c r="G803" s="161"/>
      <c r="H803" s="142"/>
      <c r="I803" s="130" t="e">
        <f>VLOOKUP(H803,Presupuesto!$B$11:$C$565,2,0)</f>
        <v>#N/A</v>
      </c>
      <c r="J803" s="98" t="str">
        <f t="shared" si="36"/>
        <v>Lo Esencial de la Reforma Universitaria</v>
      </c>
      <c r="K803" s="98" t="s">
        <v>412</v>
      </c>
    </row>
    <row r="804" spans="3:11">
      <c r="C804" s="141"/>
      <c r="D804" s="158"/>
      <c r="E804" s="123"/>
      <c r="F804" s="97">
        <f t="shared" si="35"/>
        <v>0</v>
      </c>
      <c r="G804" s="161"/>
      <c r="H804" s="142"/>
      <c r="I804" s="130" t="e">
        <f>VLOOKUP(H804,Presupuesto!$B$11:$C$565,2,0)</f>
        <v>#N/A</v>
      </c>
      <c r="J804" s="98" t="str">
        <f t="shared" si="36"/>
        <v>Lo Esencial de la Reforma Universitaria</v>
      </c>
      <c r="K804" s="98" t="s">
        <v>412</v>
      </c>
    </row>
    <row r="805" spans="3:11">
      <c r="C805" s="141"/>
      <c r="D805" s="158"/>
      <c r="E805" s="123"/>
      <c r="F805" s="97">
        <f t="shared" si="35"/>
        <v>0</v>
      </c>
      <c r="G805" s="161"/>
      <c r="H805" s="142"/>
      <c r="I805" s="130" t="e">
        <f>VLOOKUP(H805,Presupuesto!$B$11:$C$565,2,0)</f>
        <v>#N/A</v>
      </c>
      <c r="J805" s="98" t="str">
        <f t="shared" si="36"/>
        <v>Lo Esencial de la Reforma Universitaria</v>
      </c>
      <c r="K805" s="98" t="s">
        <v>412</v>
      </c>
    </row>
    <row r="806" spans="3:11">
      <c r="C806" s="141"/>
      <c r="D806" s="158"/>
      <c r="E806" s="123"/>
      <c r="F806" s="97">
        <f t="shared" si="35"/>
        <v>0</v>
      </c>
      <c r="G806" s="161"/>
      <c r="H806" s="142"/>
      <c r="I806" s="130" t="e">
        <f>VLOOKUP(H806,Presupuesto!$B$11:$C$565,2,0)</f>
        <v>#N/A</v>
      </c>
      <c r="J806" s="98" t="str">
        <f t="shared" si="36"/>
        <v>Lo Esencial de la Reforma Universitaria</v>
      </c>
      <c r="K806" s="98" t="s">
        <v>412</v>
      </c>
    </row>
    <row r="807" spans="3:11">
      <c r="C807" s="141"/>
      <c r="D807" s="158"/>
      <c r="E807" s="123"/>
      <c r="F807" s="97">
        <f t="shared" si="35"/>
        <v>0</v>
      </c>
      <c r="G807" s="161"/>
      <c r="H807" s="142"/>
      <c r="I807" s="130" t="e">
        <f>VLOOKUP(H807,Presupuesto!$B$11:$C$565,2,0)</f>
        <v>#N/A</v>
      </c>
      <c r="J807" s="98" t="str">
        <f t="shared" si="36"/>
        <v>Lo Esencial de la Reforma Universitaria</v>
      </c>
      <c r="K807" s="98" t="s">
        <v>412</v>
      </c>
    </row>
    <row r="808" spans="3:11">
      <c r="C808" s="141"/>
      <c r="D808" s="158"/>
      <c r="E808" s="123"/>
      <c r="F808" s="97">
        <f t="shared" si="35"/>
        <v>0</v>
      </c>
      <c r="G808" s="161"/>
      <c r="H808" s="142"/>
      <c r="I808" s="130" t="e">
        <f>VLOOKUP(H808,Presupuesto!$B$11:$C$565,2,0)</f>
        <v>#N/A</v>
      </c>
      <c r="J808" s="98" t="str">
        <f t="shared" si="36"/>
        <v>Lo Esencial de la Reforma Universitaria</v>
      </c>
      <c r="K808" s="98" t="s">
        <v>412</v>
      </c>
    </row>
    <row r="809" spans="3:11">
      <c r="C809" s="141"/>
      <c r="D809" s="158"/>
      <c r="E809" s="123"/>
      <c r="F809" s="97">
        <f t="shared" si="35"/>
        <v>0</v>
      </c>
      <c r="G809" s="161"/>
      <c r="H809" s="142"/>
      <c r="I809" s="130" t="e">
        <f>VLOOKUP(H809,Presupuesto!$B$11:$C$565,2,0)</f>
        <v>#N/A</v>
      </c>
      <c r="J809" s="98" t="str">
        <f t="shared" si="36"/>
        <v>Lo Esencial de la Reforma Universitaria</v>
      </c>
      <c r="K809" s="98" t="s">
        <v>412</v>
      </c>
    </row>
    <row r="810" spans="3:11">
      <c r="C810" s="141"/>
      <c r="D810" s="158"/>
      <c r="E810" s="123"/>
      <c r="F810" s="97">
        <f t="shared" si="35"/>
        <v>0</v>
      </c>
      <c r="G810" s="161"/>
      <c r="H810" s="142"/>
      <c r="I810" s="130" t="e">
        <f>VLOOKUP(H810,Presupuesto!$B$11:$C$565,2,0)</f>
        <v>#N/A</v>
      </c>
      <c r="J810" s="98" t="str">
        <f t="shared" si="36"/>
        <v>Lo Esencial de la Reforma Universitaria</v>
      </c>
      <c r="K810" s="98" t="s">
        <v>412</v>
      </c>
    </row>
    <row r="811" spans="3:11">
      <c r="C811" s="143"/>
      <c r="D811" s="151"/>
      <c r="E811" s="118"/>
      <c r="F811" s="97">
        <f t="shared" si="35"/>
        <v>0</v>
      </c>
      <c r="G811" s="161"/>
      <c r="H811" s="144"/>
      <c r="I811" s="130" t="e">
        <f>VLOOKUP(H811,Presupuesto!$B$11:$C$565,2,0)</f>
        <v>#N/A</v>
      </c>
      <c r="J811" s="98" t="str">
        <f t="shared" si="36"/>
        <v>Lo Esencial de la Reforma Universitaria</v>
      </c>
      <c r="K811" s="98" t="s">
        <v>412</v>
      </c>
    </row>
    <row r="812" spans="3:11">
      <c r="C812" s="143"/>
      <c r="D812" s="151"/>
      <c r="E812" s="118"/>
      <c r="F812" s="97">
        <f t="shared" si="35"/>
        <v>0</v>
      </c>
      <c r="G812" s="161"/>
      <c r="H812" s="144"/>
      <c r="I812" s="130" t="e">
        <f>VLOOKUP(H812,Presupuesto!$B$11:$C$565,2,0)</f>
        <v>#N/A</v>
      </c>
      <c r="J812" s="98" t="str">
        <f t="shared" si="36"/>
        <v>Lo Esencial de la Reforma Universitaria</v>
      </c>
      <c r="K812" s="98" t="s">
        <v>412</v>
      </c>
    </row>
    <row r="813" spans="3:11">
      <c r="C813" s="143"/>
      <c r="D813" s="151"/>
      <c r="E813" s="118"/>
      <c r="F813" s="97">
        <f t="shared" si="35"/>
        <v>0</v>
      </c>
      <c r="G813" s="161"/>
      <c r="H813" s="144"/>
      <c r="I813" s="130" t="e">
        <f>VLOOKUP(H813,Presupuesto!$B$11:$C$565,2,0)</f>
        <v>#N/A</v>
      </c>
      <c r="J813" s="98" t="str">
        <f t="shared" si="36"/>
        <v>Lo Esencial de la Reforma Universitaria</v>
      </c>
      <c r="K813" s="98" t="s">
        <v>412</v>
      </c>
    </row>
    <row r="814" spans="3:11">
      <c r="C814" s="143"/>
      <c r="D814" s="151"/>
      <c r="E814" s="118"/>
      <c r="F814" s="97">
        <f t="shared" si="35"/>
        <v>0</v>
      </c>
      <c r="G814" s="161"/>
      <c r="H814" s="144"/>
      <c r="I814" s="130" t="e">
        <f>VLOOKUP(H814,Presupuesto!$B$11:$C$565,2,0)</f>
        <v>#N/A</v>
      </c>
      <c r="J814" s="98" t="str">
        <f t="shared" si="36"/>
        <v>Lo Esencial de la Reforma Universitaria</v>
      </c>
      <c r="K814" s="98" t="s">
        <v>412</v>
      </c>
    </row>
    <row r="815" spans="3:11">
      <c r="C815" s="143"/>
      <c r="D815" s="151"/>
      <c r="E815" s="118"/>
      <c r="F815" s="97">
        <f t="shared" si="35"/>
        <v>0</v>
      </c>
      <c r="G815" s="161"/>
      <c r="H815" s="144"/>
      <c r="I815" s="130" t="e">
        <f>VLOOKUP(H815,Presupuesto!$B$11:$C$565,2,0)</f>
        <v>#N/A</v>
      </c>
      <c r="J815" s="98" t="str">
        <f t="shared" si="36"/>
        <v>Lo Esencial de la Reforma Universitaria</v>
      </c>
      <c r="K815" s="98" t="s">
        <v>412</v>
      </c>
    </row>
    <row r="816" spans="3:11">
      <c r="C816" s="143"/>
      <c r="D816" s="151"/>
      <c r="E816" s="118"/>
      <c r="F816" s="97">
        <f t="shared" si="35"/>
        <v>0</v>
      </c>
      <c r="G816" s="161"/>
      <c r="H816" s="144"/>
      <c r="I816" s="130" t="e">
        <f>VLOOKUP(H816,Presupuesto!$B$11:$C$565,2,0)</f>
        <v>#N/A</v>
      </c>
      <c r="J816" s="98" t="str">
        <f t="shared" si="36"/>
        <v>Lo Esencial de la Reforma Universitaria</v>
      </c>
      <c r="K816" s="98" t="s">
        <v>412</v>
      </c>
    </row>
    <row r="817" spans="3:11">
      <c r="C817" s="143"/>
      <c r="D817" s="151"/>
      <c r="E817" s="118"/>
      <c r="F817" s="97">
        <f t="shared" si="35"/>
        <v>0</v>
      </c>
      <c r="G817" s="161"/>
      <c r="H817" s="144"/>
      <c r="I817" s="130" t="e">
        <f>VLOOKUP(H817,Presupuesto!$B$11:$C$565,2,0)</f>
        <v>#N/A</v>
      </c>
      <c r="J817" s="98" t="str">
        <f t="shared" si="36"/>
        <v>Lo Esencial de la Reforma Universitaria</v>
      </c>
      <c r="K817" s="98" t="s">
        <v>412</v>
      </c>
    </row>
    <row r="818" spans="3:11">
      <c r="C818" s="143"/>
      <c r="D818" s="151"/>
      <c r="E818" s="118"/>
      <c r="F818" s="97">
        <f t="shared" si="35"/>
        <v>0</v>
      </c>
      <c r="G818" s="161"/>
      <c r="H818" s="144"/>
      <c r="I818" s="130" t="e">
        <f>VLOOKUP(H818,Presupuesto!$B$11:$C$565,2,0)</f>
        <v>#N/A</v>
      </c>
      <c r="J818" s="98" t="str">
        <f t="shared" si="36"/>
        <v>Lo Esencial de la Reforma Universitaria</v>
      </c>
      <c r="K818" s="98" t="s">
        <v>412</v>
      </c>
    </row>
    <row r="819" spans="3:11">
      <c r="C819" s="145"/>
      <c r="D819" s="151"/>
      <c r="E819" s="118"/>
      <c r="F819" s="97">
        <f t="shared" si="35"/>
        <v>0</v>
      </c>
      <c r="G819" s="161"/>
      <c r="H819" s="146"/>
      <c r="I819" s="130" t="e">
        <f>VLOOKUP(H819,Presupuesto!$B$11:$C$565,2,0)</f>
        <v>#N/A</v>
      </c>
      <c r="J819" s="98" t="str">
        <f t="shared" si="36"/>
        <v>Lo Esencial de la Reforma Universitaria</v>
      </c>
      <c r="K819" s="98" t="s">
        <v>403</v>
      </c>
    </row>
    <row r="820" spans="3:11">
      <c r="C820" s="145"/>
      <c r="D820" s="151"/>
      <c r="E820" s="118"/>
      <c r="F820" s="97">
        <f t="shared" si="35"/>
        <v>0</v>
      </c>
      <c r="G820" s="161"/>
      <c r="H820" s="146"/>
      <c r="I820" s="130" t="e">
        <f>VLOOKUP(H820,Presupuesto!$B$11:$C$565,2,0)</f>
        <v>#N/A</v>
      </c>
      <c r="J820" s="98" t="str">
        <f t="shared" si="36"/>
        <v>Lo Esencial de la Reforma Universitaria</v>
      </c>
      <c r="K820" s="98" t="s">
        <v>412</v>
      </c>
    </row>
    <row r="821" spans="3:11">
      <c r="C821" s="145"/>
      <c r="D821" s="151"/>
      <c r="E821" s="118"/>
      <c r="F821" s="97">
        <f t="shared" si="35"/>
        <v>0</v>
      </c>
      <c r="G821" s="161"/>
      <c r="H821" s="146"/>
      <c r="I821" s="130" t="e">
        <f>VLOOKUP(H821,Presupuesto!$B$11:$C$565,2,0)</f>
        <v>#N/A</v>
      </c>
      <c r="J821" s="98" t="str">
        <f t="shared" si="36"/>
        <v>Lo Esencial de la Reforma Universitaria</v>
      </c>
      <c r="K821" s="98" t="s">
        <v>412</v>
      </c>
    </row>
    <row r="822" spans="3:11">
      <c r="C822" s="145"/>
      <c r="D822" s="151"/>
      <c r="E822" s="118"/>
      <c r="F822" s="97">
        <f t="shared" si="35"/>
        <v>0</v>
      </c>
      <c r="G822" s="161"/>
      <c r="H822" s="146"/>
      <c r="I822" s="130" t="e">
        <f>VLOOKUP(H822,Presupuesto!$B$11:$C$565,2,0)</f>
        <v>#N/A</v>
      </c>
      <c r="J822" s="98" t="str">
        <f t="shared" si="36"/>
        <v>Lo Esencial de la Reforma Universitaria</v>
      </c>
      <c r="K822" s="98" t="s">
        <v>412</v>
      </c>
    </row>
    <row r="823" spans="3:11" ht="15.75" thickBot="1">
      <c r="C823" s="147"/>
      <c r="D823" s="159"/>
      <c r="E823" s="103"/>
      <c r="F823" s="105">
        <f t="shared" si="35"/>
        <v>0</v>
      </c>
      <c r="G823" s="162"/>
      <c r="H823" s="148"/>
      <c r="I823" s="132" t="e">
        <f>VLOOKUP(H823,Presupuesto!$B$11:$C$565,2,0)</f>
        <v>#N/A</v>
      </c>
      <c r="J823" s="106" t="str">
        <f t="shared" si="36"/>
        <v>Lo Esencial de la Reforma Universitaria</v>
      </c>
      <c r="K823" s="124" t="s">
        <v>394</v>
      </c>
    </row>
    <row r="825" spans="3:11" ht="15.75" thickBot="1"/>
    <row r="826" spans="3:11" ht="15.75" thickBot="1">
      <c r="C826" s="157" t="s">
        <v>53</v>
      </c>
      <c r="D826" s="374">
        <f>SUM(F833:F867)</f>
        <v>80000</v>
      </c>
      <c r="F826" s="70"/>
      <c r="G826" s="79"/>
      <c r="H826" s="70"/>
      <c r="I826" s="70"/>
    </row>
    <row r="827" spans="3:11">
      <c r="C827" s="70"/>
      <c r="D827" s="31"/>
      <c r="E827" s="93"/>
      <c r="F827" s="93"/>
      <c r="G827" s="93"/>
      <c r="H827" s="76"/>
      <c r="I827" s="76"/>
      <c r="J827" s="76"/>
      <c r="K827" s="112"/>
    </row>
    <row r="828" spans="3:11">
      <c r="C828" s="70"/>
      <c r="D828" s="31"/>
      <c r="E828" s="93"/>
      <c r="F828" s="93"/>
      <c r="G828" s="93"/>
      <c r="H828" s="76"/>
      <c r="I828" s="76"/>
      <c r="J828" s="76"/>
      <c r="K828" s="112"/>
    </row>
    <row r="829" spans="3:11" ht="15.75">
      <c r="C829" s="202" t="s">
        <v>392</v>
      </c>
      <c r="D829" s="549">
        <v>7.22</v>
      </c>
      <c r="E829" s="93"/>
      <c r="F829" s="93"/>
      <c r="G829" s="93"/>
      <c r="H829" s="76"/>
      <c r="I829" s="76"/>
      <c r="J829" s="76"/>
      <c r="K829" s="112"/>
    </row>
    <row r="830" spans="3:11" ht="18.75">
      <c r="C830" s="211" t="str">
        <f>IFERROR(VLOOKUP(D829,'1. Desarrollo e Innov. Curricu.'!$E:$F,2,FALSE),IFERROR(VLOOKUP(D829,'2. Investigación Científica'!$E:$F,2,FALSE),IFERROR(VLOOKUP(D829,'3. Vinculación Univ. Sociedad'!$E:$F,2,FALSE),IFERROR(VLOOKUP(D829,'4. Docencia y Profesorado Univ.'!$E:$F,2,FALSE),IFERROR(VLOOKUP(D829,'5. Estudiantes y Graduados'!$E:$F,2,FALSE),IFERROR(VLOOKUP(D829,'11. Gestion Administrativa'!$E:$F,2,FALSE),IFERROR(VLOOKUP(D829,'13. Gestión Académica'!$E:$F,2,FALSE),IFERROR(VLOOKUP(D829,'8. Asegura. de la Calid. y M'!$E:$F,2,FALSE),IFERROR(VLOOKUP(D829,'6. Gestión del Conocimiento'!$E:$F,2,FALSE),IFERROR(VLOOKUP(D829,'15. Gobernabilidad y Proceso...'!$E:$F,2,FALSE),IFERROR(VLOOKUP(D829,'12. Gestión del Talento Humano'!$E:$F,2,FALSE),IFERROR(VLOOKUP(D829,'14. Internacional... de la E.S.'!$E:$F,2,FALSE),IFERROR(VLOOKUP(D829,'10. Posgrado'!$E:$F,2,FALSE),IFERROR(VLOOKUP(D829,'17. Gestión TIC'!$E:$F,2,FALSE),IFERROR(VLOOKUP(D829,'16. Desa. del Sistema Educ.Sup.'!$E:$F,2,FALSE),IFERROR(VLOOKUP(D829,'9. Cultura de Inno. Insti...'!$E:$F,2,FALSE),VLOOKUP(D829,'7. Lo Esencial de la Reforma U.'!$E:$F,2,0)))))))))))))))))</f>
        <v>Seguimiento a convenios nacionales para el apoyo de la cultura.</v>
      </c>
      <c r="D830" s="31"/>
      <c r="E830" s="93"/>
      <c r="F830" s="93"/>
      <c r="G830" s="93"/>
      <c r="H830" s="76"/>
      <c r="I830" s="76"/>
      <c r="J830" s="76"/>
      <c r="K830" s="112"/>
    </row>
    <row r="831" spans="3:11" ht="15.75" thickBot="1">
      <c r="F831" s="93"/>
      <c r="G831" s="76"/>
      <c r="H831" s="76"/>
      <c r="I831" s="76"/>
    </row>
    <row r="832" spans="3:11" ht="30.75" thickBot="1">
      <c r="C832" s="129" t="s">
        <v>44</v>
      </c>
      <c r="D832" s="129" t="s">
        <v>55</v>
      </c>
      <c r="E832" s="136" t="s">
        <v>57</v>
      </c>
      <c r="F832" s="135" t="s">
        <v>27</v>
      </c>
      <c r="G832" s="133" t="s">
        <v>131</v>
      </c>
      <c r="H832" s="136" t="s">
        <v>46</v>
      </c>
      <c r="I832" s="133" t="s">
        <v>132</v>
      </c>
      <c r="J832" s="133" t="s">
        <v>410</v>
      </c>
      <c r="K832" s="133" t="s">
        <v>411</v>
      </c>
    </row>
    <row r="833" spans="3:11">
      <c r="C833" s="221" t="s">
        <v>439</v>
      </c>
      <c r="D833" s="222"/>
      <c r="E833" s="220">
        <f>HLOOKUP(C833,$AH$2:$BU$3,2,0)</f>
        <v>620</v>
      </c>
      <c r="F833" s="97">
        <f t="shared" ref="F833:F867" si="37">D833*E833</f>
        <v>0</v>
      </c>
      <c r="G833" s="161"/>
      <c r="H833" s="142"/>
      <c r="I833" s="130" t="e">
        <f>VLOOKUP(H833,Presupuesto!$B$11:$C$565,2,0)</f>
        <v>#N/A</v>
      </c>
      <c r="J833" s="219" t="s">
        <v>1360</v>
      </c>
      <c r="K833" s="98" t="s">
        <v>394</v>
      </c>
    </row>
    <row r="834" spans="3:11">
      <c r="C834" s="141" t="s">
        <v>1664</v>
      </c>
      <c r="D834" s="158">
        <v>5</v>
      </c>
      <c r="E834" s="123">
        <v>16000</v>
      </c>
      <c r="F834" s="97">
        <f t="shared" si="37"/>
        <v>80000</v>
      </c>
      <c r="G834" s="161" t="s">
        <v>1508</v>
      </c>
      <c r="H834" s="142" t="s">
        <v>743</v>
      </c>
      <c r="I834" s="130" t="str">
        <f>VLOOKUP(H834,Presupuesto!$B$11:$C$565,2,0)</f>
        <v>OTROS SERVICIOS COMERCIALES Y FINANCIEROS</v>
      </c>
      <c r="J834" s="98" t="str">
        <f>$J$833</f>
        <v>Lo Esencial de la Reforma Universitaria</v>
      </c>
      <c r="K834" s="98" t="s">
        <v>412</v>
      </c>
    </row>
    <row r="835" spans="3:11">
      <c r="C835" s="141"/>
      <c r="D835" s="158"/>
      <c r="E835" s="123"/>
      <c r="F835" s="97">
        <f t="shared" si="37"/>
        <v>0</v>
      </c>
      <c r="G835" s="161"/>
      <c r="H835" s="142"/>
      <c r="I835" s="130" t="e">
        <f>VLOOKUP(H835,Presupuesto!$B$11:$C$565,2,0)</f>
        <v>#N/A</v>
      </c>
      <c r="J835" s="98" t="str">
        <f t="shared" ref="J835:J867" si="38">$J$833</f>
        <v>Lo Esencial de la Reforma Universitaria</v>
      </c>
      <c r="K835" s="98" t="s">
        <v>412</v>
      </c>
    </row>
    <row r="836" spans="3:11">
      <c r="C836" s="141"/>
      <c r="D836" s="158"/>
      <c r="E836" s="123"/>
      <c r="F836" s="97">
        <f t="shared" si="37"/>
        <v>0</v>
      </c>
      <c r="G836" s="161"/>
      <c r="H836" s="142"/>
      <c r="I836" s="130" t="e">
        <f>VLOOKUP(H836,Presupuesto!$B$11:$C$565,2,0)</f>
        <v>#N/A</v>
      </c>
      <c r="J836" s="98" t="str">
        <f t="shared" si="38"/>
        <v>Lo Esencial de la Reforma Universitaria</v>
      </c>
      <c r="K836" s="98" t="s">
        <v>412</v>
      </c>
    </row>
    <row r="837" spans="3:11">
      <c r="C837" s="141"/>
      <c r="D837" s="158"/>
      <c r="E837" s="123"/>
      <c r="F837" s="97">
        <f t="shared" si="37"/>
        <v>0</v>
      </c>
      <c r="G837" s="161"/>
      <c r="H837" s="142"/>
      <c r="I837" s="130" t="e">
        <f>VLOOKUP(H837,Presupuesto!$B$11:$C$565,2,0)</f>
        <v>#N/A</v>
      </c>
      <c r="J837" s="98" t="str">
        <f t="shared" si="38"/>
        <v>Lo Esencial de la Reforma Universitaria</v>
      </c>
      <c r="K837" s="98" t="s">
        <v>412</v>
      </c>
    </row>
    <row r="838" spans="3:11">
      <c r="C838" s="141"/>
      <c r="D838" s="158"/>
      <c r="E838" s="123"/>
      <c r="F838" s="97">
        <f t="shared" si="37"/>
        <v>0</v>
      </c>
      <c r="G838" s="161"/>
      <c r="H838" s="142"/>
      <c r="I838" s="130" t="e">
        <f>VLOOKUP(H838,Presupuesto!$B$11:$C$565,2,0)</f>
        <v>#N/A</v>
      </c>
      <c r="J838" s="98" t="str">
        <f t="shared" si="38"/>
        <v>Lo Esencial de la Reforma Universitaria</v>
      </c>
      <c r="K838" s="98" t="s">
        <v>401</v>
      </c>
    </row>
    <row r="839" spans="3:11">
      <c r="C839" s="141"/>
      <c r="D839" s="158"/>
      <c r="E839" s="123"/>
      <c r="F839" s="97">
        <f t="shared" si="37"/>
        <v>0</v>
      </c>
      <c r="G839" s="161"/>
      <c r="H839" s="142"/>
      <c r="I839" s="130" t="e">
        <f>VLOOKUP(H839,Presupuesto!$B$11:$C$565,2,0)</f>
        <v>#N/A</v>
      </c>
      <c r="J839" s="98" t="str">
        <f t="shared" si="38"/>
        <v>Lo Esencial de la Reforma Universitaria</v>
      </c>
      <c r="K839" s="98" t="s">
        <v>412</v>
      </c>
    </row>
    <row r="840" spans="3:11">
      <c r="C840" s="141"/>
      <c r="D840" s="158"/>
      <c r="E840" s="123"/>
      <c r="F840" s="97">
        <f t="shared" si="37"/>
        <v>0</v>
      </c>
      <c r="G840" s="161"/>
      <c r="H840" s="142"/>
      <c r="I840" s="130" t="e">
        <f>VLOOKUP(H840,Presupuesto!$B$11:$C$565,2,0)</f>
        <v>#N/A</v>
      </c>
      <c r="J840" s="98" t="str">
        <f t="shared" si="38"/>
        <v>Lo Esencial de la Reforma Universitaria</v>
      </c>
      <c r="K840" s="98" t="s">
        <v>412</v>
      </c>
    </row>
    <row r="841" spans="3:11">
      <c r="C841" s="141"/>
      <c r="D841" s="158"/>
      <c r="E841" s="123"/>
      <c r="F841" s="97">
        <f t="shared" si="37"/>
        <v>0</v>
      </c>
      <c r="G841" s="161"/>
      <c r="H841" s="142"/>
      <c r="I841" s="130" t="e">
        <f>VLOOKUP(H841,Presupuesto!$B$11:$C$565,2,0)</f>
        <v>#N/A</v>
      </c>
      <c r="J841" s="98" t="str">
        <f t="shared" si="38"/>
        <v>Lo Esencial de la Reforma Universitaria</v>
      </c>
      <c r="K841" s="98" t="s">
        <v>412</v>
      </c>
    </row>
    <row r="842" spans="3:11">
      <c r="C842" s="141"/>
      <c r="D842" s="158"/>
      <c r="E842" s="123"/>
      <c r="F842" s="97">
        <f t="shared" si="37"/>
        <v>0</v>
      </c>
      <c r="G842" s="161"/>
      <c r="H842" s="142"/>
      <c r="I842" s="130" t="e">
        <f>VLOOKUP(H842,Presupuesto!$B$11:$C$565,2,0)</f>
        <v>#N/A</v>
      </c>
      <c r="J842" s="98" t="str">
        <f t="shared" si="38"/>
        <v>Lo Esencial de la Reforma Universitaria</v>
      </c>
      <c r="K842" s="98" t="s">
        <v>412</v>
      </c>
    </row>
    <row r="843" spans="3:11">
      <c r="C843" s="141"/>
      <c r="D843" s="158"/>
      <c r="E843" s="123"/>
      <c r="F843" s="97">
        <f t="shared" si="37"/>
        <v>0</v>
      </c>
      <c r="G843" s="161"/>
      <c r="H843" s="142"/>
      <c r="I843" s="130" t="e">
        <f>VLOOKUP(H843,Presupuesto!$B$11:$C$565,2,0)</f>
        <v>#N/A</v>
      </c>
      <c r="J843" s="98" t="str">
        <f t="shared" si="38"/>
        <v>Lo Esencial de la Reforma Universitaria</v>
      </c>
      <c r="K843" s="98" t="s">
        <v>412</v>
      </c>
    </row>
    <row r="844" spans="3:11">
      <c r="C844" s="141"/>
      <c r="D844" s="158"/>
      <c r="E844" s="123"/>
      <c r="F844" s="97">
        <f t="shared" si="37"/>
        <v>0</v>
      </c>
      <c r="G844" s="161"/>
      <c r="H844" s="142"/>
      <c r="I844" s="130" t="e">
        <f>VLOOKUP(H844,Presupuesto!$B$11:$C$565,2,0)</f>
        <v>#N/A</v>
      </c>
      <c r="J844" s="98" t="str">
        <f t="shared" si="38"/>
        <v>Lo Esencial de la Reforma Universitaria</v>
      </c>
      <c r="K844" s="98" t="s">
        <v>412</v>
      </c>
    </row>
    <row r="845" spans="3:11">
      <c r="C845" s="141"/>
      <c r="D845" s="158"/>
      <c r="E845" s="123"/>
      <c r="F845" s="97">
        <f t="shared" si="37"/>
        <v>0</v>
      </c>
      <c r="G845" s="161"/>
      <c r="H845" s="142"/>
      <c r="I845" s="130" t="e">
        <f>VLOOKUP(H845,Presupuesto!$B$11:$C$565,2,0)</f>
        <v>#N/A</v>
      </c>
      <c r="J845" s="98" t="str">
        <f t="shared" si="38"/>
        <v>Lo Esencial de la Reforma Universitaria</v>
      </c>
      <c r="K845" s="98" t="s">
        <v>412</v>
      </c>
    </row>
    <row r="846" spans="3:11">
      <c r="C846" s="141"/>
      <c r="D846" s="158"/>
      <c r="E846" s="123"/>
      <c r="F846" s="97">
        <f t="shared" si="37"/>
        <v>0</v>
      </c>
      <c r="G846" s="161"/>
      <c r="H846" s="142"/>
      <c r="I846" s="130" t="e">
        <f>VLOOKUP(H846,Presupuesto!$B$11:$C$565,2,0)</f>
        <v>#N/A</v>
      </c>
      <c r="J846" s="98" t="str">
        <f t="shared" si="38"/>
        <v>Lo Esencial de la Reforma Universitaria</v>
      </c>
      <c r="K846" s="98" t="s">
        <v>412</v>
      </c>
    </row>
    <row r="847" spans="3:11">
      <c r="C847" s="141"/>
      <c r="D847" s="158"/>
      <c r="E847" s="123"/>
      <c r="F847" s="97">
        <f t="shared" si="37"/>
        <v>0</v>
      </c>
      <c r="G847" s="161"/>
      <c r="H847" s="142"/>
      <c r="I847" s="130" t="e">
        <f>VLOOKUP(H847,Presupuesto!$B$11:$C$565,2,0)</f>
        <v>#N/A</v>
      </c>
      <c r="J847" s="98" t="str">
        <f t="shared" si="38"/>
        <v>Lo Esencial de la Reforma Universitaria</v>
      </c>
      <c r="K847" s="98" t="s">
        <v>412</v>
      </c>
    </row>
    <row r="848" spans="3:11">
      <c r="C848" s="141"/>
      <c r="D848" s="158"/>
      <c r="E848" s="123"/>
      <c r="F848" s="97">
        <f t="shared" si="37"/>
        <v>0</v>
      </c>
      <c r="G848" s="161"/>
      <c r="H848" s="142"/>
      <c r="I848" s="130" t="e">
        <f>VLOOKUP(H848,Presupuesto!$B$11:$C$565,2,0)</f>
        <v>#N/A</v>
      </c>
      <c r="J848" s="98" t="str">
        <f t="shared" si="38"/>
        <v>Lo Esencial de la Reforma Universitaria</v>
      </c>
      <c r="K848" s="98" t="s">
        <v>412</v>
      </c>
    </row>
    <row r="849" spans="3:11">
      <c r="C849" s="141"/>
      <c r="D849" s="158"/>
      <c r="E849" s="123"/>
      <c r="F849" s="97">
        <f t="shared" si="37"/>
        <v>0</v>
      </c>
      <c r="G849" s="161"/>
      <c r="H849" s="142"/>
      <c r="I849" s="130" t="e">
        <f>VLOOKUP(H849,Presupuesto!$B$11:$C$565,2,0)</f>
        <v>#N/A</v>
      </c>
      <c r="J849" s="98" t="str">
        <f t="shared" si="38"/>
        <v>Lo Esencial de la Reforma Universitaria</v>
      </c>
      <c r="K849" s="98" t="s">
        <v>412</v>
      </c>
    </row>
    <row r="850" spans="3:11">
      <c r="C850" s="141"/>
      <c r="D850" s="158"/>
      <c r="E850" s="123"/>
      <c r="F850" s="97">
        <f t="shared" si="37"/>
        <v>0</v>
      </c>
      <c r="G850" s="161"/>
      <c r="H850" s="142"/>
      <c r="I850" s="130" t="e">
        <f>VLOOKUP(H850,Presupuesto!$B$11:$C$565,2,0)</f>
        <v>#N/A</v>
      </c>
      <c r="J850" s="98" t="str">
        <f t="shared" si="38"/>
        <v>Lo Esencial de la Reforma Universitaria</v>
      </c>
      <c r="K850" s="98" t="s">
        <v>412</v>
      </c>
    </row>
    <row r="851" spans="3:11">
      <c r="C851" s="141"/>
      <c r="D851" s="158"/>
      <c r="E851" s="123"/>
      <c r="F851" s="97">
        <f t="shared" si="37"/>
        <v>0</v>
      </c>
      <c r="G851" s="161"/>
      <c r="H851" s="142"/>
      <c r="I851" s="130" t="e">
        <f>VLOOKUP(H851,Presupuesto!$B$11:$C$565,2,0)</f>
        <v>#N/A</v>
      </c>
      <c r="J851" s="98" t="str">
        <f t="shared" si="38"/>
        <v>Lo Esencial de la Reforma Universitaria</v>
      </c>
      <c r="K851" s="98" t="s">
        <v>412</v>
      </c>
    </row>
    <row r="852" spans="3:11">
      <c r="C852" s="141"/>
      <c r="D852" s="158"/>
      <c r="E852" s="123"/>
      <c r="F852" s="97">
        <f t="shared" si="37"/>
        <v>0</v>
      </c>
      <c r="G852" s="161"/>
      <c r="H852" s="142"/>
      <c r="I852" s="130" t="e">
        <f>VLOOKUP(H852,Presupuesto!$B$11:$C$565,2,0)</f>
        <v>#N/A</v>
      </c>
      <c r="J852" s="98" t="str">
        <f t="shared" si="38"/>
        <v>Lo Esencial de la Reforma Universitaria</v>
      </c>
      <c r="K852" s="98" t="s">
        <v>412</v>
      </c>
    </row>
    <row r="853" spans="3:11">
      <c r="C853" s="141"/>
      <c r="D853" s="158"/>
      <c r="E853" s="123"/>
      <c r="F853" s="97">
        <f t="shared" si="37"/>
        <v>0</v>
      </c>
      <c r="G853" s="161"/>
      <c r="H853" s="142"/>
      <c r="I853" s="130" t="e">
        <f>VLOOKUP(H853,Presupuesto!$B$11:$C$565,2,0)</f>
        <v>#N/A</v>
      </c>
      <c r="J853" s="98" t="str">
        <f t="shared" si="38"/>
        <v>Lo Esencial de la Reforma Universitaria</v>
      </c>
      <c r="K853" s="98" t="s">
        <v>412</v>
      </c>
    </row>
    <row r="854" spans="3:11">
      <c r="C854" s="141"/>
      <c r="D854" s="158"/>
      <c r="E854" s="123"/>
      <c r="F854" s="97">
        <f t="shared" si="37"/>
        <v>0</v>
      </c>
      <c r="G854" s="161"/>
      <c r="H854" s="142"/>
      <c r="I854" s="130" t="e">
        <f>VLOOKUP(H854,Presupuesto!$B$11:$C$565,2,0)</f>
        <v>#N/A</v>
      </c>
      <c r="J854" s="98" t="str">
        <f t="shared" si="38"/>
        <v>Lo Esencial de la Reforma Universitaria</v>
      </c>
      <c r="K854" s="98" t="s">
        <v>412</v>
      </c>
    </row>
    <row r="855" spans="3:11">
      <c r="C855" s="143"/>
      <c r="D855" s="151"/>
      <c r="E855" s="118"/>
      <c r="F855" s="97">
        <f t="shared" si="37"/>
        <v>0</v>
      </c>
      <c r="G855" s="161"/>
      <c r="H855" s="144"/>
      <c r="I855" s="130" t="e">
        <f>VLOOKUP(H855,Presupuesto!$B$11:$C$565,2,0)</f>
        <v>#N/A</v>
      </c>
      <c r="J855" s="98" t="str">
        <f t="shared" si="38"/>
        <v>Lo Esencial de la Reforma Universitaria</v>
      </c>
      <c r="K855" s="98" t="s">
        <v>412</v>
      </c>
    </row>
    <row r="856" spans="3:11">
      <c r="C856" s="143"/>
      <c r="D856" s="151"/>
      <c r="E856" s="118"/>
      <c r="F856" s="97">
        <f t="shared" si="37"/>
        <v>0</v>
      </c>
      <c r="G856" s="161"/>
      <c r="H856" s="144"/>
      <c r="I856" s="130" t="e">
        <f>VLOOKUP(H856,Presupuesto!$B$11:$C$565,2,0)</f>
        <v>#N/A</v>
      </c>
      <c r="J856" s="98" t="str">
        <f t="shared" si="38"/>
        <v>Lo Esencial de la Reforma Universitaria</v>
      </c>
      <c r="K856" s="98" t="s">
        <v>412</v>
      </c>
    </row>
    <row r="857" spans="3:11">
      <c r="C857" s="143"/>
      <c r="D857" s="151"/>
      <c r="E857" s="118"/>
      <c r="F857" s="97">
        <f t="shared" si="37"/>
        <v>0</v>
      </c>
      <c r="G857" s="161"/>
      <c r="H857" s="144"/>
      <c r="I857" s="130" t="e">
        <f>VLOOKUP(H857,Presupuesto!$B$11:$C$565,2,0)</f>
        <v>#N/A</v>
      </c>
      <c r="J857" s="98" t="str">
        <f t="shared" si="38"/>
        <v>Lo Esencial de la Reforma Universitaria</v>
      </c>
      <c r="K857" s="98" t="s">
        <v>412</v>
      </c>
    </row>
    <row r="858" spans="3:11">
      <c r="C858" s="143"/>
      <c r="D858" s="151"/>
      <c r="E858" s="118"/>
      <c r="F858" s="97">
        <f t="shared" si="37"/>
        <v>0</v>
      </c>
      <c r="G858" s="161"/>
      <c r="H858" s="144"/>
      <c r="I858" s="130" t="e">
        <f>VLOOKUP(H858,Presupuesto!$B$11:$C$565,2,0)</f>
        <v>#N/A</v>
      </c>
      <c r="J858" s="98" t="str">
        <f t="shared" si="38"/>
        <v>Lo Esencial de la Reforma Universitaria</v>
      </c>
      <c r="K858" s="98" t="s">
        <v>412</v>
      </c>
    </row>
    <row r="859" spans="3:11">
      <c r="C859" s="143"/>
      <c r="D859" s="151"/>
      <c r="E859" s="118"/>
      <c r="F859" s="97">
        <f t="shared" si="37"/>
        <v>0</v>
      </c>
      <c r="G859" s="161"/>
      <c r="H859" s="144"/>
      <c r="I859" s="130" t="e">
        <f>VLOOKUP(H859,Presupuesto!$B$11:$C$565,2,0)</f>
        <v>#N/A</v>
      </c>
      <c r="J859" s="98" t="str">
        <f t="shared" si="38"/>
        <v>Lo Esencial de la Reforma Universitaria</v>
      </c>
      <c r="K859" s="98" t="s">
        <v>412</v>
      </c>
    </row>
    <row r="860" spans="3:11">
      <c r="C860" s="143"/>
      <c r="D860" s="151"/>
      <c r="E860" s="118"/>
      <c r="F860" s="97">
        <f t="shared" si="37"/>
        <v>0</v>
      </c>
      <c r="G860" s="161"/>
      <c r="H860" s="144"/>
      <c r="I860" s="130" t="e">
        <f>VLOOKUP(H860,Presupuesto!$B$11:$C$565,2,0)</f>
        <v>#N/A</v>
      </c>
      <c r="J860" s="98" t="str">
        <f t="shared" si="38"/>
        <v>Lo Esencial de la Reforma Universitaria</v>
      </c>
      <c r="K860" s="98" t="s">
        <v>412</v>
      </c>
    </row>
    <row r="861" spans="3:11">
      <c r="C861" s="143"/>
      <c r="D861" s="151"/>
      <c r="E861" s="118"/>
      <c r="F861" s="97">
        <f t="shared" si="37"/>
        <v>0</v>
      </c>
      <c r="G861" s="161"/>
      <c r="H861" s="144"/>
      <c r="I861" s="130" t="e">
        <f>VLOOKUP(H861,Presupuesto!$B$11:$C$565,2,0)</f>
        <v>#N/A</v>
      </c>
      <c r="J861" s="98" t="str">
        <f t="shared" si="38"/>
        <v>Lo Esencial de la Reforma Universitaria</v>
      </c>
      <c r="K861" s="98" t="s">
        <v>412</v>
      </c>
    </row>
    <row r="862" spans="3:11">
      <c r="C862" s="143"/>
      <c r="D862" s="151"/>
      <c r="E862" s="118"/>
      <c r="F862" s="97">
        <f t="shared" si="37"/>
        <v>0</v>
      </c>
      <c r="G862" s="161"/>
      <c r="H862" s="144"/>
      <c r="I862" s="130" t="e">
        <f>VLOOKUP(H862,Presupuesto!$B$11:$C$565,2,0)</f>
        <v>#N/A</v>
      </c>
      <c r="J862" s="98" t="str">
        <f t="shared" si="38"/>
        <v>Lo Esencial de la Reforma Universitaria</v>
      </c>
      <c r="K862" s="98" t="s">
        <v>412</v>
      </c>
    </row>
    <row r="863" spans="3:11">
      <c r="C863" s="145"/>
      <c r="D863" s="151"/>
      <c r="E863" s="118"/>
      <c r="F863" s="97">
        <f t="shared" si="37"/>
        <v>0</v>
      </c>
      <c r="G863" s="161"/>
      <c r="H863" s="146"/>
      <c r="I863" s="130" t="e">
        <f>VLOOKUP(H863,Presupuesto!$B$11:$C$565,2,0)</f>
        <v>#N/A</v>
      </c>
      <c r="J863" s="98" t="str">
        <f t="shared" si="38"/>
        <v>Lo Esencial de la Reforma Universitaria</v>
      </c>
      <c r="K863" s="98" t="s">
        <v>403</v>
      </c>
    </row>
    <row r="864" spans="3:11">
      <c r="C864" s="145"/>
      <c r="D864" s="151"/>
      <c r="E864" s="118"/>
      <c r="F864" s="97">
        <f t="shared" si="37"/>
        <v>0</v>
      </c>
      <c r="G864" s="161"/>
      <c r="H864" s="146"/>
      <c r="I864" s="130" t="e">
        <f>VLOOKUP(H864,Presupuesto!$B$11:$C$565,2,0)</f>
        <v>#N/A</v>
      </c>
      <c r="J864" s="98" t="str">
        <f t="shared" si="38"/>
        <v>Lo Esencial de la Reforma Universitaria</v>
      </c>
      <c r="K864" s="98" t="s">
        <v>412</v>
      </c>
    </row>
    <row r="865" spans="3:11">
      <c r="C865" s="145"/>
      <c r="D865" s="151"/>
      <c r="E865" s="118"/>
      <c r="F865" s="97">
        <f t="shared" si="37"/>
        <v>0</v>
      </c>
      <c r="G865" s="161"/>
      <c r="H865" s="146"/>
      <c r="I865" s="130" t="e">
        <f>VLOOKUP(H865,Presupuesto!$B$11:$C$565,2,0)</f>
        <v>#N/A</v>
      </c>
      <c r="J865" s="98" t="str">
        <f t="shared" si="38"/>
        <v>Lo Esencial de la Reforma Universitaria</v>
      </c>
      <c r="K865" s="98" t="s">
        <v>412</v>
      </c>
    </row>
    <row r="866" spans="3:11">
      <c r="C866" s="145"/>
      <c r="D866" s="151"/>
      <c r="E866" s="118"/>
      <c r="F866" s="97">
        <f t="shared" si="37"/>
        <v>0</v>
      </c>
      <c r="G866" s="161"/>
      <c r="H866" s="146"/>
      <c r="I866" s="130" t="e">
        <f>VLOOKUP(H866,Presupuesto!$B$11:$C$565,2,0)</f>
        <v>#N/A</v>
      </c>
      <c r="J866" s="98" t="str">
        <f t="shared" si="38"/>
        <v>Lo Esencial de la Reforma Universitaria</v>
      </c>
      <c r="K866" s="98" t="s">
        <v>412</v>
      </c>
    </row>
    <row r="867" spans="3:11" ht="15.75" thickBot="1">
      <c r="C867" s="147"/>
      <c r="D867" s="159"/>
      <c r="E867" s="103"/>
      <c r="F867" s="105">
        <f t="shared" si="37"/>
        <v>0</v>
      </c>
      <c r="G867" s="162"/>
      <c r="H867" s="148"/>
      <c r="I867" s="132" t="e">
        <f>VLOOKUP(H867,Presupuesto!$B$11:$C$565,2,0)</f>
        <v>#N/A</v>
      </c>
      <c r="J867" s="106" t="str">
        <f t="shared" si="38"/>
        <v>Lo Esencial de la Reforma Universitaria</v>
      </c>
      <c r="K867" s="124" t="s">
        <v>394</v>
      </c>
    </row>
    <row r="869" spans="3:11">
      <c r="F869" s="90"/>
      <c r="G869" s="89"/>
      <c r="H869" s="90"/>
      <c r="I869" s="90"/>
    </row>
    <row r="870" spans="3:11">
      <c r="G870" s="86"/>
    </row>
    <row r="871" spans="3:11">
      <c r="G871" s="86"/>
    </row>
    <row r="872" spans="3:11">
      <c r="G872" s="86"/>
    </row>
    <row r="873" spans="3:11">
      <c r="G873" s="86"/>
    </row>
    <row r="874" spans="3:11">
      <c r="G874" s="86"/>
    </row>
    <row r="875" spans="3:11">
      <c r="G875" s="86"/>
    </row>
    <row r="876" spans="3:11">
      <c r="G876" s="86"/>
    </row>
    <row r="877" spans="3:11">
      <c r="G877" s="86"/>
    </row>
    <row r="878" spans="3:11">
      <c r="G878" s="86"/>
    </row>
    <row r="879" spans="3:11">
      <c r="G879" s="86"/>
    </row>
    <row r="880" spans="3:11">
      <c r="G880" s="86"/>
    </row>
    <row r="881" spans="7:7">
      <c r="G881" s="86"/>
    </row>
    <row r="882" spans="7:7">
      <c r="G882" s="86"/>
    </row>
    <row r="883" spans="7:7">
      <c r="G883" s="86"/>
    </row>
    <row r="884" spans="7:7">
      <c r="G884" s="86"/>
    </row>
    <row r="885" spans="7:7">
      <c r="G885" s="86"/>
    </row>
    <row r="886" spans="7:7">
      <c r="G886" s="86"/>
    </row>
    <row r="887" spans="7:7">
      <c r="G887" s="86"/>
    </row>
    <row r="888" spans="7:7">
      <c r="G888" s="86"/>
    </row>
    <row r="889" spans="7:7">
      <c r="G889" s="86"/>
    </row>
    <row r="890" spans="7:7">
      <c r="G890" s="86"/>
    </row>
    <row r="891" spans="7:7">
      <c r="G891" s="86"/>
    </row>
    <row r="892" spans="7:7">
      <c r="G892" s="86"/>
    </row>
    <row r="893" spans="7:7">
      <c r="G893" s="86"/>
    </row>
    <row r="894" spans="7:7">
      <c r="G894" s="86"/>
    </row>
    <row r="895" spans="7:7">
      <c r="G895" s="86"/>
    </row>
    <row r="896" spans="7:7">
      <c r="G896" s="86"/>
    </row>
    <row r="897" spans="7:7">
      <c r="G897" s="86"/>
    </row>
    <row r="898" spans="7:7">
      <c r="G898" s="86"/>
    </row>
    <row r="899" spans="7:7">
      <c r="G899" s="86"/>
    </row>
    <row r="900" spans="7:7">
      <c r="G900" s="86"/>
    </row>
    <row r="901" spans="7:7">
      <c r="G901" s="86"/>
    </row>
    <row r="902" spans="7:7">
      <c r="G902" s="86"/>
    </row>
    <row r="903" spans="7:7">
      <c r="G903" s="86"/>
    </row>
    <row r="904" spans="7:7">
      <c r="G904" s="86"/>
    </row>
    <row r="905" spans="7:7">
      <c r="G905" s="86"/>
    </row>
    <row r="906" spans="7:7">
      <c r="G906" s="86"/>
    </row>
    <row r="907" spans="7:7">
      <c r="G907" s="86"/>
    </row>
    <row r="908" spans="7:7">
      <c r="G908" s="86"/>
    </row>
    <row r="909" spans="7:7">
      <c r="G909" s="86"/>
    </row>
    <row r="910" spans="7:7">
      <c r="G910" s="86"/>
    </row>
    <row r="911" spans="7:7">
      <c r="G911" s="86"/>
    </row>
  </sheetData>
  <dataConsolidate/>
  <dataValidations count="6">
    <dataValidation type="list" allowBlank="1" showInputMessage="1" showErrorMessage="1" errorTitle="¡Ingreso Inválido!" error="Seleccione una opción de la lista." promptTitle="Tipo de Presupuesto" prompt="Seleccione una opción de la lista." sqref="G437:G471 G46:G80 G349:G383 G393:G427 G525:G559 G569:G603 G613:G647 G657:G691 G701:G735 G745:G779 G789:G823 G833:G867 G481:G515 G17:G36 G90:G123 G133:G166 G176:G209 G219:G252 G262:G295 G305:G338">
      <formula1>$R$2:$S$2</formula1>
    </dataValidation>
    <dataValidation type="list" allowBlank="1" showInputMessage="1" showErrorMessage="1" errorTitle="¡Ingreso Inválido!" error="Seleccione una opción de la lista" promptTitle="Mes Requerido" prompt="Seleccione el mes en el que requiere el recurso." sqref="K437:K471 K46:K80 K349:K383 K393:K427 K525:K559 K569:K603 K613:K647 K657:K691 K701:K735 K745:K779 K789:K823 K833:K867 K481:K515 K17:K36 K90:K123 K133:K166 K176:K209 K219:K252 K262:K295 K305:K338">
      <formula1>$U$2:$AF$2</formula1>
    </dataValidation>
    <dataValidation type="list" allowBlank="1" showInputMessage="1" showErrorMessage="1" errorTitle="¡Ingreso Invalido!" error="Seleccione una opción de la lista." promptTitle="Categoria/Zona de Viáticos" prompt="Seleccione una opción de la lista" sqref="C46:C47 C349:C350 C393 C481:C495 C525 C569:C570 C613:C616 C657 C701 C745 C789:C790 C833 C437">
      <formula1>$AH$2:$BU$2</formula1>
    </dataValidation>
    <dataValidation type="list" allowBlank="1" showInputMessage="1" showErrorMessage="1" errorTitle="¡Ingreso Inválido!" error="Verifique el valor ingresado." promptTitle="Ingrese el Objeto de Gasto" prompt="Ingrese el Objeto de Gasto" sqref="H437:H471 H17:H36 H305:H338 H393:H427 H349:H383 H745:H779 H525:H559 H657:H691 H701:H735 H613:H647 H789:H823 H833:H867 H481:H515 H46:H80 H90:H123 H133:H166 H176:H209 H219:H252 H262:H295 H569:H603">
      <formula1>$A$1:$UI$1</formula1>
    </dataValidation>
    <dataValidation type="list" allowBlank="1" showInputMessage="1" showErrorMessage="1" errorTitle="¡Ingreso Inválido!" error="Seleccione una opción de la lista." promptTitle="Dimensión Estratégica" prompt="Seleccione una opción de la lista." sqref="J47:J80 J17:J36 J90:J123 J133:J166 J176:J209 J219:J252 J262:J295 J350:J383 J394:J427 J526:J559 J570:J603 J614:J647 J658:J691 J702:J735 J746:J779 J790:J823 J834:J867 J438:J471 J482:J515 J305:J338">
      <formula1>$A$2:$P$2</formula1>
    </dataValidation>
    <dataValidation type="list" allowBlank="1" showInputMessage="1" showErrorMessage="1" errorTitle="¡Ingreso Inválido!" error="Seleccione una opción de la lista." promptTitle="Dimensión Estratégica" prompt="Seleccione una opción de la lista." sqref="J481 J46 J349 J393 J437 J525 J569 J613 J657 J701 J745 J789 J83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10" zoomScale="86" zoomScaleNormal="86" workbookViewId="0">
      <selection activeCell="E21" sqref="E21"/>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9" t="s">
        <v>1453</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4">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70"/>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9" t="s">
        <v>1453</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4">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70"/>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9" t="s">
        <v>1453</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4">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70"/>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9" t="s">
        <v>1453</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4</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'17. Gestión TIC'!Gestión_de_Tecnologías_de_Información_y_Comunicación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2015-10-08T21:57:36Z</dcterms:modified>
</cp:coreProperties>
</file>