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973" firstSheet="6" activeTab="14"/>
  </bookViews>
  <sheets>
    <sheet name="CME VACIO" sheetId="4" state="hidden" r:id="rId1"/>
    <sheet name="Presupuesto" sheetId="38" r:id="rId2"/>
    <sheet name="Cuadro resumen" sheetId="27" r:id="rId3"/>
    <sheet name="2. CONTRATACION DE PERSONAL" sheetId="8" r:id="rId4"/>
    <sheet name="1. TALLERES SEMINARIOS" sheetId="7" r:id="rId5"/>
    <sheet name="4. EQUIPO TECNOLÓGICOS" sheetId="10" r:id="rId6"/>
    <sheet name="3. EQUIPO DE OFICINA" sheetId="9" r:id="rId7"/>
    <sheet name="5. ACTIVIDADES ESPECIALES" sheetId="12" r:id="rId8"/>
    <sheet name="6. Becas" sheetId="40" r:id="rId9"/>
    <sheet name="7. Infraestructura" sheetId="42" r:id="rId10"/>
    <sheet name="8. Venta de Servicios" sheetId="43" r:id="rId11"/>
    <sheet name="Desarrollo Curricular" sheetId="47" r:id="rId12"/>
    <sheet name="Investigación" sheetId="46" r:id="rId13"/>
    <sheet name="Vinculación Univ. Sociedad" sheetId="53" r:id="rId14"/>
    <sheet name="Hoja1" sheetId="54" r:id="rId15"/>
    <sheet name="Docencia y Recursos Humanos " sheetId="29" r:id="rId16"/>
    <sheet name="Estudiantes" sheetId="30" r:id="rId17"/>
    <sheet name="Gestion Administrativa" sheetId="24" r:id="rId18"/>
    <sheet name="Gestion Academica" sheetId="52" r:id="rId19"/>
    <sheet name="Graduados" sheetId="50" r:id="rId20"/>
    <sheet name="Gestión del Conocimiento" sheetId="51" r:id="rId21"/>
    <sheet name="Gobernabilidad" sheetId="49" r:id="rId22"/>
    <sheet name="Lo Esencial" sheetId="48" r:id="rId23"/>
    <sheet name="Hoja2" sheetId="55"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xlnm._FilterDatabase" localSheetId="4" hidden="1">'1. TALLERES SEMINARIOS'!$K$17:$K$26</definedName>
    <definedName name="_xlnm._FilterDatabase" localSheetId="0" hidden="1">'CME VACIO'!$B$7:$AJ$18</definedName>
    <definedName name="_xlnm._FilterDatabase" localSheetId="1" hidden="1">Presupuesto!$B$8:$D$584</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A5" i="54" l="1"/>
  <c r="P7" i="48" l="1"/>
  <c r="O16" i="47"/>
  <c r="J82" i="8" l="1"/>
  <c r="J81" i="8"/>
  <c r="J80" i="8"/>
  <c r="G80" i="8"/>
  <c r="F81" i="8" s="1"/>
  <c r="G81" i="8" s="1"/>
  <c r="H10" i="24"/>
  <c r="H11" i="24"/>
  <c r="I324" i="10"/>
  <c r="F324" i="10"/>
  <c r="I73" i="12"/>
  <c r="F73" i="12"/>
  <c r="I72" i="12"/>
  <c r="F72" i="12"/>
  <c r="J10" i="24"/>
  <c r="I55" i="42"/>
  <c r="F55" i="42"/>
  <c r="F71" i="12"/>
  <c r="I71" i="12"/>
  <c r="H7" i="30"/>
  <c r="J332" i="10"/>
  <c r="I332" i="10"/>
  <c r="F332" i="10"/>
  <c r="J331" i="10"/>
  <c r="I331" i="10"/>
  <c r="F331" i="10"/>
  <c r="J330" i="10"/>
  <c r="I330" i="10"/>
  <c r="F330" i="10"/>
  <c r="I329" i="10"/>
  <c r="F329" i="10"/>
  <c r="J328" i="10"/>
  <c r="I328" i="10"/>
  <c r="F328" i="10"/>
  <c r="I327" i="10"/>
  <c r="F327" i="10"/>
  <c r="I326" i="10"/>
  <c r="F326" i="10"/>
  <c r="I325" i="10"/>
  <c r="F325" i="10"/>
  <c r="I323" i="10"/>
  <c r="F323" i="10"/>
  <c r="I322" i="10"/>
  <c r="F322" i="10"/>
  <c r="I321" i="10"/>
  <c r="F321" i="10"/>
  <c r="I320" i="10"/>
  <c r="F320" i="10"/>
  <c r="I319" i="10"/>
  <c r="F319" i="10"/>
  <c r="C316" i="10"/>
  <c r="J79" i="8"/>
  <c r="J78" i="8"/>
  <c r="J77" i="8"/>
  <c r="G77" i="8"/>
  <c r="F78" i="8" s="1"/>
  <c r="G78" i="8" s="1"/>
  <c r="H12" i="47"/>
  <c r="P12" i="47" s="1"/>
  <c r="J13" i="53"/>
  <c r="M17" i="29"/>
  <c r="G610" i="7"/>
  <c r="G609" i="7"/>
  <c r="G608" i="7"/>
  <c r="J607" i="7"/>
  <c r="G607" i="7"/>
  <c r="J606" i="7"/>
  <c r="G606" i="7"/>
  <c r="J605" i="7"/>
  <c r="G605" i="7"/>
  <c r="J604" i="7"/>
  <c r="G604" i="7"/>
  <c r="J603" i="7"/>
  <c r="G603" i="7"/>
  <c r="J602" i="7"/>
  <c r="G602" i="7"/>
  <c r="J601" i="7"/>
  <c r="G601" i="7"/>
  <c r="C598" i="7"/>
  <c r="G592" i="7"/>
  <c r="G591" i="7"/>
  <c r="G590" i="7"/>
  <c r="J589" i="7"/>
  <c r="G589" i="7"/>
  <c r="J588" i="7"/>
  <c r="G588" i="7"/>
  <c r="J587" i="7"/>
  <c r="G587" i="7"/>
  <c r="J586" i="7"/>
  <c r="G586" i="7"/>
  <c r="J585" i="7"/>
  <c r="G585" i="7"/>
  <c r="J584" i="7"/>
  <c r="G584" i="7"/>
  <c r="J583" i="7"/>
  <c r="G583" i="7"/>
  <c r="C580" i="7"/>
  <c r="K573" i="7"/>
  <c r="J573" i="7"/>
  <c r="F573" i="7"/>
  <c r="G573" i="7" s="1"/>
  <c r="K572" i="7"/>
  <c r="J572" i="7"/>
  <c r="G572" i="7"/>
  <c r="K571" i="7"/>
  <c r="J571" i="7"/>
  <c r="G571" i="7"/>
  <c r="K570" i="7"/>
  <c r="J570" i="7"/>
  <c r="G570" i="7"/>
  <c r="K569" i="7"/>
  <c r="J569" i="7"/>
  <c r="G569" i="7"/>
  <c r="K568" i="7"/>
  <c r="J568" i="7"/>
  <c r="G568" i="7"/>
  <c r="K567" i="7"/>
  <c r="J567" i="7"/>
  <c r="G567" i="7"/>
  <c r="K566" i="7"/>
  <c r="J566" i="7"/>
  <c r="G566" i="7"/>
  <c r="K565" i="7"/>
  <c r="J565" i="7"/>
  <c r="G565" i="7"/>
  <c r="J564" i="7"/>
  <c r="G564" i="7"/>
  <c r="C561" i="7"/>
  <c r="D576" i="7" l="1"/>
  <c r="D594" i="7"/>
  <c r="D557" i="7"/>
  <c r="F82" i="8"/>
  <c r="G82" i="8" s="1"/>
  <c r="D312" i="10"/>
  <c r="F79" i="8"/>
  <c r="G79" i="8" s="1"/>
  <c r="P29" i="46" l="1"/>
  <c r="H8" i="30"/>
  <c r="N30" i="46"/>
  <c r="L30" i="46"/>
  <c r="H30" i="46"/>
  <c r="P6" i="46"/>
  <c r="I70" i="12"/>
  <c r="I68" i="12"/>
  <c r="F68" i="12"/>
  <c r="I310" i="10"/>
  <c r="F310" i="10"/>
  <c r="I309" i="10"/>
  <c r="F309" i="10"/>
  <c r="I308" i="10"/>
  <c r="F308" i="10"/>
  <c r="I307" i="10"/>
  <c r="F307" i="10"/>
  <c r="I306" i="10"/>
  <c r="F306" i="10"/>
  <c r="I305" i="10"/>
  <c r="F305" i="10"/>
  <c r="D301" i="10"/>
  <c r="J296" i="10"/>
  <c r="I296" i="10"/>
  <c r="F296" i="10"/>
  <c r="J295" i="10"/>
  <c r="I295" i="10"/>
  <c r="F295" i="10"/>
  <c r="J294" i="10"/>
  <c r="I294" i="10"/>
  <c r="F294" i="10"/>
  <c r="D288" i="10" s="1"/>
  <c r="D290" i="10"/>
  <c r="J286" i="10"/>
  <c r="I286" i="10"/>
  <c r="F286" i="10"/>
  <c r="J285" i="10"/>
  <c r="I285" i="10"/>
  <c r="F285" i="10"/>
  <c r="J284" i="10"/>
  <c r="I284" i="10"/>
  <c r="F284" i="10"/>
  <c r="J283" i="10"/>
  <c r="I283" i="10"/>
  <c r="F283" i="10"/>
  <c r="J282" i="10"/>
  <c r="I282" i="10"/>
  <c r="F282" i="10"/>
  <c r="J281" i="10"/>
  <c r="I281" i="10"/>
  <c r="F281" i="10"/>
  <c r="J280" i="10"/>
  <c r="I280" i="10"/>
  <c r="F280" i="10"/>
  <c r="J279" i="10"/>
  <c r="I279" i="10"/>
  <c r="F279" i="10"/>
  <c r="J278" i="10"/>
  <c r="I278" i="10"/>
  <c r="F278" i="10"/>
  <c r="J277" i="10"/>
  <c r="I277" i="10"/>
  <c r="F277" i="10"/>
  <c r="J276" i="10"/>
  <c r="I276" i="10"/>
  <c r="F276" i="10"/>
  <c r="J275" i="10"/>
  <c r="I275" i="10"/>
  <c r="F275" i="10"/>
  <c r="J274" i="10"/>
  <c r="I274" i="10"/>
  <c r="F274" i="10"/>
  <c r="I273" i="10"/>
  <c r="F273" i="10"/>
  <c r="D269" i="10"/>
  <c r="D266" i="10"/>
  <c r="Q14" i="29"/>
  <c r="D299" i="10" l="1"/>
  <c r="I15" i="29"/>
  <c r="Q15" i="29" s="1"/>
  <c r="I32" i="40"/>
  <c r="F32" i="40"/>
  <c r="I31" i="40"/>
  <c r="F31" i="40"/>
  <c r="E31" i="40"/>
  <c r="I30" i="40"/>
  <c r="E30" i="40"/>
  <c r="F30" i="40" s="1"/>
  <c r="I29" i="40"/>
  <c r="F29" i="40"/>
  <c r="E29" i="40"/>
  <c r="I28" i="40"/>
  <c r="E28" i="40"/>
  <c r="F28" i="40" s="1"/>
  <c r="I27" i="40"/>
  <c r="E27" i="40"/>
  <c r="F27" i="40" s="1"/>
  <c r="I134" i="9"/>
  <c r="F134" i="9"/>
  <c r="I133" i="9"/>
  <c r="F133" i="9"/>
  <c r="I132" i="9"/>
  <c r="F132" i="9"/>
  <c r="D125" i="9" s="1"/>
  <c r="D128" i="9"/>
  <c r="J552" i="7"/>
  <c r="G552" i="7"/>
  <c r="J551" i="7"/>
  <c r="G551" i="7"/>
  <c r="J550" i="7"/>
  <c r="G550" i="7"/>
  <c r="J549" i="7"/>
  <c r="G549" i="7"/>
  <c r="J548" i="7"/>
  <c r="G548" i="7"/>
  <c r="J547" i="7"/>
  <c r="G547" i="7"/>
  <c r="J546" i="7"/>
  <c r="G546" i="7"/>
  <c r="J545" i="7"/>
  <c r="G545" i="7"/>
  <c r="J544" i="7"/>
  <c r="G544" i="7"/>
  <c r="D537" i="7" s="1"/>
  <c r="D540" i="7"/>
  <c r="J534" i="7"/>
  <c r="G534" i="7"/>
  <c r="J533" i="7"/>
  <c r="G533" i="7"/>
  <c r="J532" i="7"/>
  <c r="G532" i="7"/>
  <c r="J531" i="7"/>
  <c r="G531" i="7"/>
  <c r="J530" i="7"/>
  <c r="G530" i="7"/>
  <c r="J529" i="7"/>
  <c r="G529" i="7"/>
  <c r="J528" i="7"/>
  <c r="G528" i="7"/>
  <c r="D523" i="7" s="1"/>
  <c r="D525" i="7"/>
  <c r="J520" i="7"/>
  <c r="G520" i="7"/>
  <c r="J519" i="7"/>
  <c r="G519" i="7"/>
  <c r="J518" i="7"/>
  <c r="G518" i="7"/>
  <c r="J517" i="7"/>
  <c r="G517" i="7"/>
  <c r="J516" i="7"/>
  <c r="G516" i="7"/>
  <c r="J515" i="7"/>
  <c r="G515" i="7"/>
  <c r="J514" i="7"/>
  <c r="G514" i="7"/>
  <c r="J513" i="7"/>
  <c r="G513" i="7"/>
  <c r="D509" i="7"/>
  <c r="J502" i="7"/>
  <c r="G502" i="7"/>
  <c r="J501" i="7"/>
  <c r="G501" i="7"/>
  <c r="J500" i="7"/>
  <c r="G500" i="7"/>
  <c r="J499" i="7"/>
  <c r="G499" i="7"/>
  <c r="J498" i="7"/>
  <c r="G498" i="7"/>
  <c r="J497" i="7"/>
  <c r="G497" i="7"/>
  <c r="J496" i="7"/>
  <c r="G496" i="7"/>
  <c r="D492" i="7"/>
  <c r="J487" i="7"/>
  <c r="G487" i="7"/>
  <c r="J486" i="7"/>
  <c r="G486" i="7"/>
  <c r="J485" i="7"/>
  <c r="G485" i="7"/>
  <c r="J484" i="7"/>
  <c r="G484" i="7"/>
  <c r="D480" i="7"/>
  <c r="D477" i="7"/>
  <c r="I54" i="42"/>
  <c r="F54" i="42"/>
  <c r="I17" i="29"/>
  <c r="O17" i="29"/>
  <c r="J26" i="40"/>
  <c r="I26" i="40"/>
  <c r="F26" i="40"/>
  <c r="J25" i="40"/>
  <c r="I25" i="40"/>
  <c r="F25" i="40"/>
  <c r="I24" i="40"/>
  <c r="F24" i="40"/>
  <c r="N13" i="53"/>
  <c r="L13" i="53"/>
  <c r="H13" i="53"/>
  <c r="P11" i="53"/>
  <c r="P10" i="53"/>
  <c r="P9" i="53"/>
  <c r="P8" i="53"/>
  <c r="P7" i="53"/>
  <c r="P12" i="53"/>
  <c r="I66" i="12"/>
  <c r="F66" i="12"/>
  <c r="I65" i="12"/>
  <c r="F65" i="12"/>
  <c r="I64" i="12"/>
  <c r="F64" i="12"/>
  <c r="J19" i="24"/>
  <c r="J263" i="10"/>
  <c r="I263" i="10"/>
  <c r="F263" i="10"/>
  <c r="J262" i="10"/>
  <c r="I262" i="10"/>
  <c r="F262" i="10"/>
  <c r="J261" i="10"/>
  <c r="I261" i="10"/>
  <c r="F261" i="10"/>
  <c r="J260" i="10"/>
  <c r="I260" i="10"/>
  <c r="F260" i="10"/>
  <c r="J259" i="10"/>
  <c r="I259" i="10"/>
  <c r="F259" i="10"/>
  <c r="J258" i="10"/>
  <c r="I258" i="10"/>
  <c r="F258" i="10"/>
  <c r="J257" i="10"/>
  <c r="I257" i="10"/>
  <c r="F257" i="10"/>
  <c r="J255" i="10"/>
  <c r="I255" i="10"/>
  <c r="F255" i="10"/>
  <c r="J254" i="10"/>
  <c r="I254" i="10"/>
  <c r="F254" i="10"/>
  <c r="J253" i="10"/>
  <c r="I253" i="10"/>
  <c r="F253" i="10"/>
  <c r="J252" i="10"/>
  <c r="I252" i="10"/>
  <c r="F252" i="10"/>
  <c r="J251" i="10"/>
  <c r="I251" i="10"/>
  <c r="E251" i="10"/>
  <c r="F251" i="10" s="1"/>
  <c r="I250" i="10"/>
  <c r="E250" i="10"/>
  <c r="F250" i="10" s="1"/>
  <c r="C247" i="10"/>
  <c r="J122" i="9"/>
  <c r="I122" i="9"/>
  <c r="F122" i="9"/>
  <c r="J121" i="9"/>
  <c r="I121" i="9"/>
  <c r="F121" i="9"/>
  <c r="J120" i="9"/>
  <c r="I120" i="9"/>
  <c r="F120" i="9"/>
  <c r="J119" i="9"/>
  <c r="I119" i="9"/>
  <c r="F119" i="9"/>
  <c r="J118" i="9"/>
  <c r="I118" i="9"/>
  <c r="F118" i="9"/>
  <c r="J117" i="9"/>
  <c r="I117" i="9"/>
  <c r="F117" i="9"/>
  <c r="J116" i="9"/>
  <c r="I116" i="9"/>
  <c r="F116" i="9"/>
  <c r="J115" i="9"/>
  <c r="I115" i="9"/>
  <c r="F115" i="9"/>
  <c r="J114" i="9"/>
  <c r="I114" i="9"/>
  <c r="F114" i="9"/>
  <c r="I113" i="9"/>
  <c r="F113" i="9"/>
  <c r="D109" i="9"/>
  <c r="C110" i="9" s="1"/>
  <c r="H19" i="24"/>
  <c r="D106" i="9" l="1"/>
  <c r="D243" i="10"/>
  <c r="D506" i="7"/>
  <c r="D489" i="7"/>
  <c r="P13" i="53"/>
  <c r="K471" i="7"/>
  <c r="J471" i="7"/>
  <c r="F471" i="7"/>
  <c r="D471" i="7"/>
  <c r="K470" i="7"/>
  <c r="J470" i="7"/>
  <c r="G470" i="7"/>
  <c r="K469" i="7"/>
  <c r="J469" i="7"/>
  <c r="K468" i="7"/>
  <c r="J468" i="7"/>
  <c r="K467" i="7"/>
  <c r="J467" i="7"/>
  <c r="K466" i="7"/>
  <c r="J466" i="7"/>
  <c r="K465" i="7"/>
  <c r="J465" i="7"/>
  <c r="G465" i="7"/>
  <c r="K464" i="7"/>
  <c r="J464" i="7"/>
  <c r="K463" i="7"/>
  <c r="J463" i="7"/>
  <c r="G463" i="7"/>
  <c r="J462" i="7"/>
  <c r="G462" i="7"/>
  <c r="D462" i="7"/>
  <c r="E464" i="7" s="1"/>
  <c r="G464" i="7" s="1"/>
  <c r="C459" i="7"/>
  <c r="K446" i="7"/>
  <c r="J446" i="7"/>
  <c r="F446" i="7"/>
  <c r="E446" i="7"/>
  <c r="K444" i="7"/>
  <c r="J444" i="7"/>
  <c r="E444" i="7"/>
  <c r="G444" i="7" s="1"/>
  <c r="K443" i="7"/>
  <c r="J443" i="7"/>
  <c r="E443" i="7"/>
  <c r="G443" i="7" s="1"/>
  <c r="K442" i="7"/>
  <c r="J442" i="7"/>
  <c r="E442" i="7"/>
  <c r="G442" i="7" s="1"/>
  <c r="K441" i="7"/>
  <c r="J441" i="7"/>
  <c r="E441" i="7"/>
  <c r="G441" i="7" s="1"/>
  <c r="K440" i="7"/>
  <c r="J440" i="7"/>
  <c r="E440" i="7"/>
  <c r="G440" i="7" s="1"/>
  <c r="K439" i="7"/>
  <c r="J439" i="7"/>
  <c r="F439" i="7"/>
  <c r="E439" i="7"/>
  <c r="K438" i="7"/>
  <c r="J438" i="7"/>
  <c r="G438" i="7"/>
  <c r="K437" i="7"/>
  <c r="J437" i="7"/>
  <c r="E437" i="7"/>
  <c r="G437" i="7" s="1"/>
  <c r="K436" i="7"/>
  <c r="J436" i="7"/>
  <c r="E436" i="7"/>
  <c r="G436" i="7" s="1"/>
  <c r="K435" i="7"/>
  <c r="J435" i="7"/>
  <c r="E435" i="7"/>
  <c r="G435" i="7" s="1"/>
  <c r="K434" i="7"/>
  <c r="J434" i="7"/>
  <c r="G434" i="7"/>
  <c r="K433" i="7"/>
  <c r="J433" i="7"/>
  <c r="G433" i="7"/>
  <c r="K432" i="7"/>
  <c r="J432" i="7"/>
  <c r="E432" i="7"/>
  <c r="G432" i="7" s="1"/>
  <c r="K431" i="7"/>
  <c r="J431" i="7"/>
  <c r="E431" i="7"/>
  <c r="G431" i="7" s="1"/>
  <c r="J430" i="7"/>
  <c r="G430" i="7"/>
  <c r="C427" i="7"/>
  <c r="G439" i="7" l="1"/>
  <c r="G447" i="7" s="1"/>
  <c r="G446" i="7"/>
  <c r="G448" i="7" s="1"/>
  <c r="E466" i="7"/>
  <c r="G466" i="7" s="1"/>
  <c r="E467" i="7"/>
  <c r="G467" i="7" s="1"/>
  <c r="E468" i="7"/>
  <c r="G468" i="7" s="1"/>
  <c r="E469" i="7"/>
  <c r="G469" i="7" s="1"/>
  <c r="E471" i="7"/>
  <c r="G471" i="7" s="1"/>
  <c r="G449" i="7" l="1"/>
  <c r="D423" i="7"/>
  <c r="D455" i="7"/>
  <c r="J18" i="24"/>
  <c r="F52" i="42"/>
  <c r="F51" i="42"/>
  <c r="I52" i="42"/>
  <c r="I51" i="42"/>
  <c r="P15" i="48" l="1"/>
  <c r="I69" i="12"/>
  <c r="I67" i="12"/>
  <c r="F69" i="12"/>
  <c r="F67" i="12"/>
  <c r="J417" i="7"/>
  <c r="F417" i="7"/>
  <c r="G417" i="7" s="1"/>
  <c r="J416" i="7"/>
  <c r="G416" i="7"/>
  <c r="J415" i="7"/>
  <c r="G415" i="7"/>
  <c r="J414" i="7"/>
  <c r="G414" i="7"/>
  <c r="J413" i="7"/>
  <c r="G413" i="7"/>
  <c r="J412" i="7"/>
  <c r="G412" i="7"/>
  <c r="J411" i="7"/>
  <c r="G411" i="7"/>
  <c r="J410" i="7"/>
  <c r="G410" i="7"/>
  <c r="J409" i="7"/>
  <c r="G409" i="7"/>
  <c r="J408" i="7"/>
  <c r="G408" i="7"/>
  <c r="C405" i="7"/>
  <c r="P27" i="47"/>
  <c r="P23" i="47"/>
  <c r="P22" i="47"/>
  <c r="F70" i="12"/>
  <c r="J7" i="46"/>
  <c r="J30" i="46" s="1"/>
  <c r="P25" i="47"/>
  <c r="P24" i="47"/>
  <c r="J398" i="7"/>
  <c r="F398" i="7"/>
  <c r="G398" i="7" s="1"/>
  <c r="J397" i="7"/>
  <c r="G397" i="7"/>
  <c r="J396" i="7"/>
  <c r="G396" i="7"/>
  <c r="J395" i="7"/>
  <c r="G395" i="7"/>
  <c r="J394" i="7"/>
  <c r="G394" i="7"/>
  <c r="J393" i="7"/>
  <c r="G393" i="7"/>
  <c r="J392" i="7"/>
  <c r="G392" i="7"/>
  <c r="J391" i="7"/>
  <c r="G391" i="7"/>
  <c r="J390" i="7"/>
  <c r="G390" i="7"/>
  <c r="J389" i="7"/>
  <c r="G389" i="7"/>
  <c r="C386" i="7"/>
  <c r="N38" i="51"/>
  <c r="L38" i="51"/>
  <c r="P33" i="51"/>
  <c r="P32" i="51"/>
  <c r="D401" i="7" l="1"/>
  <c r="D382" i="7"/>
  <c r="H18" i="24"/>
  <c r="I55" i="12"/>
  <c r="I58" i="12"/>
  <c r="I57" i="12"/>
  <c r="I56" i="12"/>
  <c r="I54" i="12"/>
  <c r="F40" i="42"/>
  <c r="I80" i="12"/>
  <c r="F80" i="12"/>
  <c r="I79" i="12"/>
  <c r="F79" i="12"/>
  <c r="I76" i="12"/>
  <c r="F76" i="12"/>
  <c r="J63" i="12"/>
  <c r="I63" i="12"/>
  <c r="F63" i="12"/>
  <c r="I62" i="12"/>
  <c r="F62" i="12"/>
  <c r="I61" i="12"/>
  <c r="F61" i="12"/>
  <c r="I60" i="12"/>
  <c r="F60" i="12"/>
  <c r="I59" i="12"/>
  <c r="F59" i="12"/>
  <c r="F58" i="12"/>
  <c r="F57" i="12"/>
  <c r="F56" i="12"/>
  <c r="F55" i="12"/>
  <c r="H15" i="51"/>
  <c r="H38" i="51" s="1"/>
  <c r="I53" i="12"/>
  <c r="F53" i="12"/>
  <c r="F52" i="12"/>
  <c r="J15" i="51"/>
  <c r="J38" i="51" s="1"/>
  <c r="F51" i="12"/>
  <c r="F50" i="12"/>
  <c r="I49" i="12"/>
  <c r="L18" i="24"/>
  <c r="I50" i="12"/>
  <c r="F49" i="12"/>
  <c r="K10" i="29"/>
  <c r="K17" i="29" s="1"/>
  <c r="L19" i="24"/>
  <c r="H21" i="24" l="1"/>
  <c r="P18" i="24"/>
  <c r="I235" i="10"/>
  <c r="N19" i="24"/>
  <c r="I240" i="10"/>
  <c r="F240" i="10"/>
  <c r="I239" i="10"/>
  <c r="F239" i="10"/>
  <c r="I238" i="10"/>
  <c r="F238" i="10"/>
  <c r="I237" i="10"/>
  <c r="F237" i="10"/>
  <c r="I236" i="10"/>
  <c r="F236" i="10"/>
  <c r="F235" i="10"/>
  <c r="I234" i="10"/>
  <c r="F234" i="10"/>
  <c r="I233" i="10"/>
  <c r="F233" i="10"/>
  <c r="I232" i="10"/>
  <c r="F232" i="10"/>
  <c r="I231" i="10"/>
  <c r="F231" i="10"/>
  <c r="I230" i="10"/>
  <c r="F230" i="10"/>
  <c r="I229" i="10"/>
  <c r="F229" i="10"/>
  <c r="I228" i="10"/>
  <c r="E228" i="10"/>
  <c r="F228" i="10" s="1"/>
  <c r="I227" i="10"/>
  <c r="E227" i="10"/>
  <c r="F227" i="10" s="1"/>
  <c r="C224" i="10"/>
  <c r="I103" i="9"/>
  <c r="F103" i="9"/>
  <c r="I102" i="9"/>
  <c r="F102" i="9"/>
  <c r="I101" i="9"/>
  <c r="F101" i="9"/>
  <c r="I100" i="9"/>
  <c r="F100" i="9"/>
  <c r="I99" i="9"/>
  <c r="F99" i="9"/>
  <c r="I98" i="9"/>
  <c r="F98" i="9"/>
  <c r="I97" i="9"/>
  <c r="F97" i="9"/>
  <c r="I96" i="9"/>
  <c r="F96" i="9"/>
  <c r="I95" i="9"/>
  <c r="F95" i="9"/>
  <c r="I94" i="9"/>
  <c r="F94" i="9"/>
  <c r="C91" i="9"/>
  <c r="D87" i="9" l="1"/>
  <c r="D220" i="10"/>
  <c r="F29" i="42" l="1"/>
  <c r="Q13" i="29"/>
  <c r="I23" i="40"/>
  <c r="I22" i="40"/>
  <c r="J23" i="40"/>
  <c r="F23" i="40"/>
  <c r="F22" i="40"/>
  <c r="I52" i="12"/>
  <c r="I51" i="12"/>
  <c r="I48" i="12"/>
  <c r="I47" i="12"/>
  <c r="I46" i="12"/>
  <c r="I45" i="12"/>
  <c r="F21" i="40"/>
  <c r="F20" i="40"/>
  <c r="F19" i="40"/>
  <c r="L10" i="24"/>
  <c r="L21" i="24" s="1"/>
  <c r="I218" i="10"/>
  <c r="F218" i="10"/>
  <c r="I217" i="10"/>
  <c r="F217" i="10"/>
  <c r="I216" i="10"/>
  <c r="F216" i="10"/>
  <c r="I215" i="10"/>
  <c r="F215" i="10"/>
  <c r="I214" i="10"/>
  <c r="F214" i="10"/>
  <c r="I213" i="10"/>
  <c r="F213" i="10"/>
  <c r="I212" i="10"/>
  <c r="F212" i="10"/>
  <c r="I211" i="10"/>
  <c r="F211" i="10"/>
  <c r="I210" i="10"/>
  <c r="F210" i="10"/>
  <c r="I209" i="10"/>
  <c r="F209" i="10"/>
  <c r="I208" i="10"/>
  <c r="F208" i="10"/>
  <c r="I207" i="10"/>
  <c r="F207" i="10"/>
  <c r="I206" i="10"/>
  <c r="E206" i="10"/>
  <c r="F206" i="10" s="1"/>
  <c r="I205" i="10"/>
  <c r="E205" i="10"/>
  <c r="F205" i="10" s="1"/>
  <c r="C202" i="10"/>
  <c r="P19" i="24"/>
  <c r="I84" i="9"/>
  <c r="F84" i="9"/>
  <c r="I83" i="9"/>
  <c r="F83" i="9"/>
  <c r="I82" i="9"/>
  <c r="F82" i="9"/>
  <c r="I81" i="9"/>
  <c r="F81" i="9"/>
  <c r="I80" i="9"/>
  <c r="F80" i="9"/>
  <c r="I79" i="9"/>
  <c r="F79" i="9"/>
  <c r="I78" i="9"/>
  <c r="F78" i="9"/>
  <c r="I77" i="9"/>
  <c r="F77" i="9"/>
  <c r="I76" i="9"/>
  <c r="F76" i="9"/>
  <c r="I75" i="9"/>
  <c r="F75" i="9"/>
  <c r="C72" i="9"/>
  <c r="D68" i="9" l="1"/>
  <c r="D198" i="10"/>
  <c r="J195" i="10" l="1"/>
  <c r="I195" i="10"/>
  <c r="F195" i="10"/>
  <c r="J194" i="10"/>
  <c r="I194" i="10"/>
  <c r="F194" i="10"/>
  <c r="J193" i="10"/>
  <c r="I193" i="10"/>
  <c r="F193" i="10"/>
  <c r="J192" i="10"/>
  <c r="I192" i="10"/>
  <c r="F192" i="10"/>
  <c r="J191" i="10"/>
  <c r="I191" i="10"/>
  <c r="F191" i="10"/>
  <c r="J190" i="10"/>
  <c r="I190" i="10"/>
  <c r="F190" i="10"/>
  <c r="J189" i="10"/>
  <c r="I189" i="10"/>
  <c r="F189" i="10"/>
  <c r="J188" i="10"/>
  <c r="I188" i="10"/>
  <c r="F188" i="10"/>
  <c r="J187" i="10"/>
  <c r="I187" i="10"/>
  <c r="F187" i="10"/>
  <c r="J186" i="10"/>
  <c r="I186" i="10"/>
  <c r="F186" i="10"/>
  <c r="J185" i="10"/>
  <c r="I185" i="10"/>
  <c r="F185" i="10"/>
  <c r="J184" i="10"/>
  <c r="I184" i="10"/>
  <c r="F184" i="10"/>
  <c r="J183" i="10"/>
  <c r="F183" i="10"/>
  <c r="I182" i="10"/>
  <c r="E182" i="10"/>
  <c r="F182" i="10" s="1"/>
  <c r="C179" i="10"/>
  <c r="P16" i="48"/>
  <c r="G379" i="7"/>
  <c r="G378" i="7"/>
  <c r="J374" i="7"/>
  <c r="G374" i="7"/>
  <c r="G373" i="7"/>
  <c r="J372" i="7"/>
  <c r="G372" i="7"/>
  <c r="G371" i="7"/>
  <c r="J370" i="7"/>
  <c r="G370" i="7"/>
  <c r="C367" i="7"/>
  <c r="D175" i="10" l="1"/>
  <c r="D363" i="7"/>
  <c r="I171" i="10"/>
  <c r="F171" i="10"/>
  <c r="I170" i="10"/>
  <c r="F170" i="10"/>
  <c r="I169" i="10"/>
  <c r="F169" i="10"/>
  <c r="I168" i="10"/>
  <c r="F168" i="10"/>
  <c r="I167" i="10"/>
  <c r="F167" i="10"/>
  <c r="I166" i="10"/>
  <c r="F166" i="10"/>
  <c r="I165" i="10"/>
  <c r="F165" i="10"/>
  <c r="I164" i="10"/>
  <c r="F164" i="10"/>
  <c r="I163" i="10"/>
  <c r="F163" i="10"/>
  <c r="I162" i="10"/>
  <c r="F162" i="10"/>
  <c r="I161" i="10"/>
  <c r="F161" i="10"/>
  <c r="I160" i="10"/>
  <c r="F160" i="10"/>
  <c r="I159" i="10"/>
  <c r="E159" i="10"/>
  <c r="F159" i="10" s="1"/>
  <c r="I158" i="10"/>
  <c r="E158" i="10"/>
  <c r="F158" i="10" s="1"/>
  <c r="C155" i="10"/>
  <c r="M13" i="53"/>
  <c r="K13" i="53"/>
  <c r="I13" i="53"/>
  <c r="I5" i="27"/>
  <c r="G13" i="53"/>
  <c r="D151" i="10" l="1"/>
  <c r="N15" i="52"/>
  <c r="N16" i="52" s="1"/>
  <c r="M15" i="52"/>
  <c r="M16" i="52" s="1"/>
  <c r="L15" i="52"/>
  <c r="L16" i="52" s="1"/>
  <c r="K15" i="52"/>
  <c r="K16" i="52" s="1"/>
  <c r="J15" i="52"/>
  <c r="J16" i="52" s="1"/>
  <c r="I15" i="52"/>
  <c r="I16" i="52" s="1"/>
  <c r="H15" i="52"/>
  <c r="G15" i="52"/>
  <c r="G16" i="52" s="1"/>
  <c r="P9" i="52"/>
  <c r="P8" i="52"/>
  <c r="M38" i="51"/>
  <c r="K38" i="51"/>
  <c r="I38" i="51"/>
  <c r="G38" i="51"/>
  <c r="I148" i="10"/>
  <c r="F148" i="10"/>
  <c r="I147" i="10"/>
  <c r="F147" i="10"/>
  <c r="I146" i="10"/>
  <c r="F146" i="10"/>
  <c r="I145" i="10"/>
  <c r="F145" i="10"/>
  <c r="I144" i="10"/>
  <c r="F144" i="10"/>
  <c r="I143" i="10"/>
  <c r="F143" i="10"/>
  <c r="I142" i="10"/>
  <c r="F142" i="10"/>
  <c r="I141" i="10"/>
  <c r="F141" i="10"/>
  <c r="I140" i="10"/>
  <c r="F140" i="10"/>
  <c r="I139" i="10"/>
  <c r="F139" i="10"/>
  <c r="I138" i="10"/>
  <c r="F138" i="10"/>
  <c r="I137" i="10"/>
  <c r="F137" i="10"/>
  <c r="I136" i="10"/>
  <c r="E136" i="10"/>
  <c r="F136" i="10" s="1"/>
  <c r="I135" i="10"/>
  <c r="E135" i="10"/>
  <c r="F135" i="10" s="1"/>
  <c r="D128" i="10" s="1"/>
  <c r="J356" i="7"/>
  <c r="J355" i="7"/>
  <c r="J360" i="7"/>
  <c r="F360" i="7"/>
  <c r="G360" i="7" s="1"/>
  <c r="J359" i="7"/>
  <c r="G359" i="7"/>
  <c r="J358" i="7"/>
  <c r="G358" i="7"/>
  <c r="J357" i="7"/>
  <c r="G357" i="7"/>
  <c r="E356" i="7"/>
  <c r="G356" i="7" s="1"/>
  <c r="G355" i="7"/>
  <c r="J354" i="7"/>
  <c r="G354" i="7"/>
  <c r="J353" i="7"/>
  <c r="G353" i="7"/>
  <c r="J352" i="7"/>
  <c r="G352" i="7"/>
  <c r="J351" i="7"/>
  <c r="G351" i="7"/>
  <c r="C348" i="7"/>
  <c r="O16" i="52" l="1"/>
  <c r="D344" i="7"/>
  <c r="P15" i="52"/>
  <c r="H16" i="52"/>
  <c r="P16" i="52" s="1"/>
  <c r="I10" i="27" s="1"/>
  <c r="O15" i="52"/>
  <c r="O38" i="51"/>
  <c r="P38" i="51"/>
  <c r="I11" i="27" s="1"/>
  <c r="I12" i="27"/>
  <c r="N11" i="50"/>
  <c r="M11" i="50"/>
  <c r="L11" i="50"/>
  <c r="K11" i="50"/>
  <c r="J11" i="50"/>
  <c r="I11" i="50"/>
  <c r="H11" i="50"/>
  <c r="G11" i="50"/>
  <c r="N8" i="49"/>
  <c r="M8" i="49"/>
  <c r="L8" i="49"/>
  <c r="K8" i="49"/>
  <c r="J8" i="49"/>
  <c r="I8" i="49"/>
  <c r="H8" i="49"/>
  <c r="P8" i="49" s="1"/>
  <c r="G8" i="49"/>
  <c r="O8" i="49" s="1"/>
  <c r="P8" i="30"/>
  <c r="P7" i="30"/>
  <c r="J341" i="7"/>
  <c r="G341" i="7"/>
  <c r="J340" i="7"/>
  <c r="G340" i="7"/>
  <c r="J339" i="7"/>
  <c r="G339" i="7"/>
  <c r="J338" i="7"/>
  <c r="G338" i="7"/>
  <c r="J337" i="7"/>
  <c r="G337" i="7"/>
  <c r="J336" i="7"/>
  <c r="G336" i="7"/>
  <c r="J335" i="7"/>
  <c r="G335" i="7"/>
  <c r="J334" i="7"/>
  <c r="G334" i="7"/>
  <c r="J333" i="7"/>
  <c r="G333" i="7"/>
  <c r="J332" i="7"/>
  <c r="G332" i="7"/>
  <c r="O11" i="50" l="1"/>
  <c r="P11" i="50"/>
  <c r="I9" i="27" s="1"/>
  <c r="D325" i="7"/>
  <c r="P17" i="24"/>
  <c r="P16" i="24"/>
  <c r="P15" i="24"/>
  <c r="P14" i="24"/>
  <c r="P13" i="24"/>
  <c r="P12" i="24"/>
  <c r="J11" i="24"/>
  <c r="P11" i="24" s="1"/>
  <c r="I117" i="10"/>
  <c r="I118" i="10"/>
  <c r="I125" i="10"/>
  <c r="F125" i="10"/>
  <c r="I124" i="10"/>
  <c r="F124" i="10"/>
  <c r="I123" i="10"/>
  <c r="F123" i="10"/>
  <c r="I122" i="10"/>
  <c r="F122" i="10"/>
  <c r="I121" i="10"/>
  <c r="F121" i="10"/>
  <c r="I120" i="10"/>
  <c r="F120" i="10"/>
  <c r="I119" i="10"/>
  <c r="F119" i="10"/>
  <c r="F118" i="10"/>
  <c r="F117" i="10"/>
  <c r="I116" i="10"/>
  <c r="F116" i="10"/>
  <c r="I115" i="10"/>
  <c r="F115" i="10"/>
  <c r="I114" i="10"/>
  <c r="F114" i="10"/>
  <c r="I113" i="10"/>
  <c r="E113" i="10"/>
  <c r="F113" i="10" s="1"/>
  <c r="I112" i="10"/>
  <c r="E112" i="10"/>
  <c r="F112" i="10" s="1"/>
  <c r="C109" i="10"/>
  <c r="G71" i="8"/>
  <c r="F72" i="8" s="1"/>
  <c r="G72" i="8" s="1"/>
  <c r="J76" i="8"/>
  <c r="J75" i="8"/>
  <c r="J74" i="8"/>
  <c r="G74" i="8"/>
  <c r="F76" i="8" s="1"/>
  <c r="G76" i="8" s="1"/>
  <c r="J73" i="8"/>
  <c r="J72" i="8"/>
  <c r="J71" i="8"/>
  <c r="F75" i="8" l="1"/>
  <c r="G75" i="8" s="1"/>
  <c r="D105" i="10"/>
  <c r="F73" i="8"/>
  <c r="G73" i="8" s="1"/>
  <c r="J322" i="7" l="1"/>
  <c r="G322" i="7"/>
  <c r="J321" i="7"/>
  <c r="G321" i="7"/>
  <c r="J320" i="7"/>
  <c r="G320" i="7"/>
  <c r="J319" i="7"/>
  <c r="G319" i="7"/>
  <c r="J318" i="7"/>
  <c r="G318" i="7"/>
  <c r="J317" i="7"/>
  <c r="G317" i="7"/>
  <c r="J316" i="7"/>
  <c r="G316" i="7"/>
  <c r="J315" i="7"/>
  <c r="E315" i="7"/>
  <c r="G315" i="7" s="1"/>
  <c r="J314" i="7"/>
  <c r="E314" i="7"/>
  <c r="G314" i="7" s="1"/>
  <c r="J313" i="7"/>
  <c r="G313" i="7"/>
  <c r="I13" i="27"/>
  <c r="N16" i="48"/>
  <c r="M16" i="48"/>
  <c r="L16" i="48"/>
  <c r="K16" i="48"/>
  <c r="J16" i="48"/>
  <c r="I16" i="48"/>
  <c r="H16" i="48"/>
  <c r="G16" i="48"/>
  <c r="O16" i="48" l="1"/>
  <c r="D306" i="7"/>
  <c r="N21" i="24" l="1"/>
  <c r="I91" i="10"/>
  <c r="F39" i="12"/>
  <c r="F38" i="12"/>
  <c r="F37" i="12"/>
  <c r="I102" i="10"/>
  <c r="F102" i="10"/>
  <c r="I101" i="10"/>
  <c r="F101" i="10"/>
  <c r="I100" i="10"/>
  <c r="F100" i="10"/>
  <c r="I99" i="10"/>
  <c r="F99" i="10"/>
  <c r="I98" i="10"/>
  <c r="F98" i="10"/>
  <c r="I97" i="10"/>
  <c r="F97" i="10"/>
  <c r="I96" i="10"/>
  <c r="F96" i="10"/>
  <c r="I95" i="10"/>
  <c r="F95" i="10"/>
  <c r="I94" i="10"/>
  <c r="F94" i="10"/>
  <c r="I93" i="10"/>
  <c r="F93" i="10"/>
  <c r="I92" i="10"/>
  <c r="F92" i="10"/>
  <c r="F91" i="10"/>
  <c r="I90" i="10"/>
  <c r="E90" i="10"/>
  <c r="F90" i="10" s="1"/>
  <c r="I89" i="10"/>
  <c r="E89" i="10"/>
  <c r="F89" i="10" s="1"/>
  <c r="C86" i="10"/>
  <c r="I65" i="9"/>
  <c r="F65" i="9"/>
  <c r="I64" i="9"/>
  <c r="F64" i="9"/>
  <c r="I63" i="9"/>
  <c r="F63" i="9"/>
  <c r="I62" i="9"/>
  <c r="F62" i="9"/>
  <c r="I61" i="9"/>
  <c r="F61" i="9"/>
  <c r="I60" i="9"/>
  <c r="F60" i="9"/>
  <c r="I59" i="9"/>
  <c r="F59" i="9"/>
  <c r="I58" i="9"/>
  <c r="F58" i="9"/>
  <c r="I57" i="9"/>
  <c r="F57" i="9"/>
  <c r="I56" i="9"/>
  <c r="F56" i="9"/>
  <c r="C53" i="9"/>
  <c r="J70" i="8"/>
  <c r="J69" i="8"/>
  <c r="J68" i="8"/>
  <c r="G68" i="8"/>
  <c r="F70" i="8" s="1"/>
  <c r="G70" i="8" s="1"/>
  <c r="D49" i="9" l="1"/>
  <c r="D82" i="10"/>
  <c r="F69" i="8"/>
  <c r="G69" i="8" s="1"/>
  <c r="J77" i="10" l="1"/>
  <c r="I77" i="10"/>
  <c r="F77" i="10"/>
  <c r="J76"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C61" i="10"/>
  <c r="I45" i="9"/>
  <c r="F45" i="9"/>
  <c r="I44" i="9"/>
  <c r="F44" i="9"/>
  <c r="I43" i="9"/>
  <c r="F43" i="9"/>
  <c r="I42" i="9"/>
  <c r="F42" i="9"/>
  <c r="I41" i="9"/>
  <c r="F41" i="9"/>
  <c r="I40" i="9"/>
  <c r="F40" i="9"/>
  <c r="I39" i="9"/>
  <c r="F39" i="9"/>
  <c r="I38" i="9"/>
  <c r="F38" i="9"/>
  <c r="I37" i="9"/>
  <c r="F37" i="9"/>
  <c r="I36" i="9"/>
  <c r="F36" i="9"/>
  <c r="C33" i="9"/>
  <c r="J303" i="7"/>
  <c r="G303" i="7"/>
  <c r="J302" i="7"/>
  <c r="G302" i="7"/>
  <c r="J301" i="7"/>
  <c r="G301" i="7"/>
  <c r="J300" i="7"/>
  <c r="G300" i="7"/>
  <c r="J299" i="7"/>
  <c r="G299" i="7"/>
  <c r="J298" i="7"/>
  <c r="G298" i="7"/>
  <c r="J297" i="7"/>
  <c r="G297" i="7"/>
  <c r="J296" i="7"/>
  <c r="E296" i="7"/>
  <c r="G296" i="7" s="1"/>
  <c r="J295" i="7"/>
  <c r="E295" i="7"/>
  <c r="G295" i="7" s="1"/>
  <c r="J294" i="7"/>
  <c r="G294" i="7"/>
  <c r="C291" i="7"/>
  <c r="J285" i="7"/>
  <c r="F285" i="7"/>
  <c r="G285" i="7" s="1"/>
  <c r="J284" i="7"/>
  <c r="G284" i="7"/>
  <c r="J283" i="7"/>
  <c r="G283" i="7"/>
  <c r="J282" i="7"/>
  <c r="G282" i="7"/>
  <c r="J281" i="7"/>
  <c r="E281" i="7"/>
  <c r="G281" i="7" s="1"/>
  <c r="J280" i="7"/>
  <c r="G280" i="7"/>
  <c r="J279" i="7"/>
  <c r="G279" i="7"/>
  <c r="J278" i="7"/>
  <c r="G278" i="7"/>
  <c r="J277" i="7"/>
  <c r="G277" i="7"/>
  <c r="J276" i="7"/>
  <c r="G276" i="7"/>
  <c r="C273" i="7"/>
  <c r="D57" i="10" l="1"/>
  <c r="D269" i="7"/>
  <c r="D29" i="9"/>
  <c r="D287" i="7"/>
  <c r="F23" i="42"/>
  <c r="F22" i="42"/>
  <c r="F21" i="42"/>
  <c r="F20" i="42"/>
  <c r="F19" i="42"/>
  <c r="F18" i="42"/>
  <c r="F36" i="12"/>
  <c r="F35" i="12"/>
  <c r="F34" i="12"/>
  <c r="K263" i="7"/>
  <c r="J263" i="7"/>
  <c r="F263" i="7"/>
  <c r="G263" i="7" s="1"/>
  <c r="K262" i="7"/>
  <c r="J262" i="7"/>
  <c r="G262" i="7"/>
  <c r="K261" i="7"/>
  <c r="J261" i="7"/>
  <c r="G261" i="7"/>
  <c r="K260" i="7"/>
  <c r="J260" i="7"/>
  <c r="G260" i="7"/>
  <c r="K259" i="7"/>
  <c r="J259" i="7"/>
  <c r="G259" i="7"/>
  <c r="K258" i="7"/>
  <c r="J258" i="7"/>
  <c r="G258" i="7"/>
  <c r="K257" i="7"/>
  <c r="J257" i="7"/>
  <c r="G257" i="7"/>
  <c r="K256" i="7"/>
  <c r="J256" i="7"/>
  <c r="E256" i="7"/>
  <c r="G256" i="7" s="1"/>
  <c r="K255" i="7"/>
  <c r="J255" i="7"/>
  <c r="E255" i="7"/>
  <c r="G255" i="7" s="1"/>
  <c r="J254" i="7"/>
  <c r="G254" i="7"/>
  <c r="C251" i="7"/>
  <c r="K245" i="7"/>
  <c r="J245" i="7"/>
  <c r="F245" i="7"/>
  <c r="G245" i="7" s="1"/>
  <c r="K244" i="7"/>
  <c r="J244" i="7"/>
  <c r="G244" i="7"/>
  <c r="K243" i="7"/>
  <c r="J243" i="7"/>
  <c r="G243" i="7"/>
  <c r="K242" i="7"/>
  <c r="J242" i="7"/>
  <c r="G242" i="7"/>
  <c r="K241" i="7"/>
  <c r="J241" i="7"/>
  <c r="G241" i="7"/>
  <c r="K240" i="7"/>
  <c r="J240" i="7"/>
  <c r="G240" i="7"/>
  <c r="K239" i="7"/>
  <c r="J239" i="7"/>
  <c r="G239" i="7"/>
  <c r="K238" i="7"/>
  <c r="J238" i="7"/>
  <c r="E238" i="7"/>
  <c r="G238" i="7" s="1"/>
  <c r="K237" i="7"/>
  <c r="J237" i="7"/>
  <c r="E237" i="7"/>
  <c r="G237" i="7" s="1"/>
  <c r="J236" i="7"/>
  <c r="G236" i="7"/>
  <c r="C233" i="7"/>
  <c r="G14" i="42" l="1"/>
  <c r="D247" i="7"/>
  <c r="J21" i="24"/>
  <c r="P21" i="24" s="1"/>
  <c r="P10" i="24"/>
  <c r="D229" i="7"/>
  <c r="K221" i="7" l="1"/>
  <c r="J221" i="7"/>
  <c r="F221" i="7"/>
  <c r="G221" i="7" s="1"/>
  <c r="J220" i="7"/>
  <c r="G220" i="7"/>
  <c r="J219" i="7"/>
  <c r="G219" i="7"/>
  <c r="J218" i="7"/>
  <c r="G218" i="7"/>
  <c r="J217" i="7"/>
  <c r="G217" i="7"/>
  <c r="J216" i="7"/>
  <c r="G216" i="7"/>
  <c r="K215" i="7"/>
  <c r="J215" i="7"/>
  <c r="G215" i="7"/>
  <c r="J214" i="7"/>
  <c r="G214" i="7"/>
  <c r="J213" i="7"/>
  <c r="G213" i="7"/>
  <c r="J212" i="7"/>
  <c r="G212" i="7"/>
  <c r="C209" i="7"/>
  <c r="K204" i="7"/>
  <c r="J204" i="7"/>
  <c r="F204" i="7"/>
  <c r="G204" i="7" s="1"/>
  <c r="J203" i="7"/>
  <c r="G203" i="7"/>
  <c r="J202" i="7"/>
  <c r="G202" i="7"/>
  <c r="J201" i="7"/>
  <c r="G201" i="7"/>
  <c r="J200" i="7"/>
  <c r="G200" i="7"/>
  <c r="K199" i="7"/>
  <c r="J199" i="7"/>
  <c r="G199" i="7"/>
  <c r="K198" i="7"/>
  <c r="J198" i="7"/>
  <c r="G198" i="7"/>
  <c r="J197" i="7"/>
  <c r="G197" i="7"/>
  <c r="J196" i="7"/>
  <c r="G196" i="7"/>
  <c r="J195" i="7"/>
  <c r="G195" i="7"/>
  <c r="C192" i="7"/>
  <c r="P7" i="47"/>
  <c r="M28" i="47"/>
  <c r="K28" i="47"/>
  <c r="I28" i="47"/>
  <c r="G28" i="47"/>
  <c r="N14" i="47"/>
  <c r="N28" i="47" s="1"/>
  <c r="L14" i="47"/>
  <c r="L28" i="47" s="1"/>
  <c r="J14" i="47"/>
  <c r="J28" i="47" s="1"/>
  <c r="H14" i="47"/>
  <c r="H28" i="47" s="1"/>
  <c r="P28" i="47" s="1"/>
  <c r="K186" i="7"/>
  <c r="J186" i="7"/>
  <c r="F186" i="7"/>
  <c r="G186" i="7" s="1"/>
  <c r="J185" i="7"/>
  <c r="G185" i="7"/>
  <c r="J184" i="7"/>
  <c r="G184" i="7"/>
  <c r="J183" i="7"/>
  <c r="G183" i="7"/>
  <c r="J182" i="7"/>
  <c r="G182" i="7"/>
  <c r="K181" i="7"/>
  <c r="J181" i="7"/>
  <c r="G181" i="7"/>
  <c r="K180" i="7"/>
  <c r="J180" i="7"/>
  <c r="G180" i="7"/>
  <c r="J179" i="7"/>
  <c r="G179" i="7"/>
  <c r="J178" i="7"/>
  <c r="G178" i="7"/>
  <c r="J177" i="7"/>
  <c r="G177" i="7"/>
  <c r="C174" i="7"/>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F42" i="10"/>
  <c r="J41" i="10"/>
  <c r="I41" i="10"/>
  <c r="E41" i="10"/>
  <c r="F41" i="10" s="1"/>
  <c r="I40" i="10"/>
  <c r="E40" i="10"/>
  <c r="F40" i="10" s="1"/>
  <c r="C37" i="10"/>
  <c r="K168" i="7"/>
  <c r="J168" i="7"/>
  <c r="F168" i="7"/>
  <c r="G168" i="7" s="1"/>
  <c r="J167" i="7"/>
  <c r="G167" i="7"/>
  <c r="J166" i="7"/>
  <c r="G166" i="7"/>
  <c r="J165" i="7"/>
  <c r="G165" i="7"/>
  <c r="J164" i="7"/>
  <c r="G164" i="7"/>
  <c r="K163" i="7"/>
  <c r="J163" i="7"/>
  <c r="G163" i="7"/>
  <c r="K162" i="7"/>
  <c r="J162" i="7"/>
  <c r="G162" i="7"/>
  <c r="J161" i="7"/>
  <c r="G161" i="7"/>
  <c r="J160" i="7"/>
  <c r="G160" i="7"/>
  <c r="J159" i="7"/>
  <c r="G159" i="7"/>
  <c r="C156" i="7"/>
  <c r="K150" i="7"/>
  <c r="J150" i="7"/>
  <c r="F150" i="7"/>
  <c r="G150" i="7" s="1"/>
  <c r="J149" i="7"/>
  <c r="G149" i="7"/>
  <c r="J148" i="7"/>
  <c r="G148" i="7"/>
  <c r="J147" i="7"/>
  <c r="G147" i="7"/>
  <c r="J146" i="7"/>
  <c r="G146" i="7"/>
  <c r="K145" i="7"/>
  <c r="J145" i="7"/>
  <c r="G145" i="7"/>
  <c r="K144" i="7"/>
  <c r="J144" i="7"/>
  <c r="G144" i="7"/>
  <c r="J143" i="7"/>
  <c r="G143" i="7"/>
  <c r="J142" i="7"/>
  <c r="G142" i="7"/>
  <c r="J141" i="7"/>
  <c r="G141" i="7"/>
  <c r="C138" i="7"/>
  <c r="K132" i="7"/>
  <c r="J132" i="7"/>
  <c r="F132" i="7"/>
  <c r="G132" i="7" s="1"/>
  <c r="J131" i="7"/>
  <c r="G131" i="7"/>
  <c r="J130" i="7"/>
  <c r="G130" i="7"/>
  <c r="J129" i="7"/>
  <c r="G129" i="7"/>
  <c r="J128" i="7"/>
  <c r="G128" i="7"/>
  <c r="K127" i="7"/>
  <c r="J127" i="7"/>
  <c r="G127" i="7"/>
  <c r="K126" i="7"/>
  <c r="J126" i="7"/>
  <c r="G126" i="7"/>
  <c r="J125" i="7"/>
  <c r="G125" i="7"/>
  <c r="J124" i="7"/>
  <c r="G124" i="7"/>
  <c r="J123" i="7"/>
  <c r="G123" i="7"/>
  <c r="C120" i="7"/>
  <c r="K114" i="7"/>
  <c r="J114" i="7"/>
  <c r="F114" i="7"/>
  <c r="G114" i="7" s="1"/>
  <c r="J113" i="7"/>
  <c r="G113" i="7"/>
  <c r="J112" i="7"/>
  <c r="G112" i="7"/>
  <c r="J111" i="7"/>
  <c r="G111" i="7"/>
  <c r="J110" i="7"/>
  <c r="G110" i="7"/>
  <c r="K109" i="7"/>
  <c r="J109" i="7"/>
  <c r="G109" i="7"/>
  <c r="K108" i="7"/>
  <c r="J108" i="7"/>
  <c r="G108" i="7"/>
  <c r="J107" i="7"/>
  <c r="G107" i="7"/>
  <c r="J106" i="7"/>
  <c r="G106" i="7"/>
  <c r="J105" i="7"/>
  <c r="G105" i="7"/>
  <c r="C102" i="7"/>
  <c r="K96" i="7"/>
  <c r="J96" i="7"/>
  <c r="F96" i="7"/>
  <c r="G96" i="7" s="1"/>
  <c r="J95" i="7"/>
  <c r="G95" i="7"/>
  <c r="J94" i="7"/>
  <c r="G94" i="7"/>
  <c r="J93" i="7"/>
  <c r="G93" i="7"/>
  <c r="J92" i="7"/>
  <c r="G92" i="7"/>
  <c r="K91" i="7"/>
  <c r="J91" i="7"/>
  <c r="G91" i="7"/>
  <c r="K90" i="7"/>
  <c r="J90" i="7"/>
  <c r="G90" i="7"/>
  <c r="J89" i="7"/>
  <c r="G89" i="7"/>
  <c r="J88" i="7"/>
  <c r="G88" i="7"/>
  <c r="J87" i="7"/>
  <c r="G87" i="7"/>
  <c r="C84" i="7"/>
  <c r="K78" i="7"/>
  <c r="J78" i="7"/>
  <c r="F78" i="7"/>
  <c r="G78" i="7" s="1"/>
  <c r="J77" i="7"/>
  <c r="G77" i="7"/>
  <c r="J76" i="7"/>
  <c r="G76" i="7"/>
  <c r="J75" i="7"/>
  <c r="G75" i="7"/>
  <c r="J74" i="7"/>
  <c r="G74" i="7"/>
  <c r="K73" i="7"/>
  <c r="J73" i="7"/>
  <c r="G73" i="7"/>
  <c r="K72" i="7"/>
  <c r="J72" i="7"/>
  <c r="G72" i="7"/>
  <c r="J71" i="7"/>
  <c r="G71" i="7"/>
  <c r="J70" i="7"/>
  <c r="G70" i="7"/>
  <c r="J69" i="7"/>
  <c r="G69" i="7"/>
  <c r="C66" i="7"/>
  <c r="K60" i="7"/>
  <c r="J60" i="7"/>
  <c r="F60" i="7"/>
  <c r="G60" i="7" s="1"/>
  <c r="J59" i="7"/>
  <c r="G59" i="7"/>
  <c r="J58" i="7"/>
  <c r="G58" i="7"/>
  <c r="J57" i="7"/>
  <c r="G57" i="7"/>
  <c r="J56" i="7"/>
  <c r="G56" i="7"/>
  <c r="K55" i="7"/>
  <c r="J55" i="7"/>
  <c r="G55" i="7"/>
  <c r="K54" i="7"/>
  <c r="J54" i="7"/>
  <c r="G54" i="7"/>
  <c r="J53" i="7"/>
  <c r="G53" i="7"/>
  <c r="J52" i="7"/>
  <c r="G52" i="7"/>
  <c r="J51" i="7"/>
  <c r="G51" i="7"/>
  <c r="C48" i="7"/>
  <c r="M30" i="46"/>
  <c r="K30" i="46"/>
  <c r="I30" i="46"/>
  <c r="G30" i="46"/>
  <c r="P28" i="46"/>
  <c r="P30" i="46" s="1"/>
  <c r="O28" i="46"/>
  <c r="P27" i="46"/>
  <c r="O27" i="46"/>
  <c r="P26" i="46"/>
  <c r="O26" i="46"/>
  <c r="P25" i="46"/>
  <c r="O25" i="46"/>
  <c r="P24" i="46"/>
  <c r="O24" i="46"/>
  <c r="P23" i="46"/>
  <c r="O23" i="46"/>
  <c r="P22" i="46"/>
  <c r="O22" i="46"/>
  <c r="P21" i="46"/>
  <c r="O21" i="46"/>
  <c r="P20" i="46"/>
  <c r="O20" i="46"/>
  <c r="P19" i="46"/>
  <c r="O19" i="46"/>
  <c r="P18" i="46"/>
  <c r="O18" i="46"/>
  <c r="P17" i="46"/>
  <c r="O17" i="46"/>
  <c r="P16" i="46"/>
  <c r="O16" i="46"/>
  <c r="P15" i="46"/>
  <c r="O15" i="46"/>
  <c r="P14" i="46"/>
  <c r="O14" i="46"/>
  <c r="P13" i="46"/>
  <c r="O13" i="46"/>
  <c r="P12" i="46"/>
  <c r="O12" i="46"/>
  <c r="P11" i="46"/>
  <c r="O11" i="46"/>
  <c r="P10" i="46"/>
  <c r="O10" i="46"/>
  <c r="P9" i="46"/>
  <c r="O9" i="46"/>
  <c r="P8" i="46"/>
  <c r="O8" i="46"/>
  <c r="P7" i="46"/>
  <c r="O7" i="46"/>
  <c r="O6" i="46"/>
  <c r="D33" i="10" l="1"/>
  <c r="O30" i="46"/>
  <c r="D134" i="7"/>
  <c r="D223" i="7"/>
  <c r="D98" i="7"/>
  <c r="D116" i="7"/>
  <c r="D152" i="7"/>
  <c r="D188" i="7"/>
  <c r="D206" i="7"/>
  <c r="P14" i="47"/>
  <c r="O28" i="47"/>
  <c r="I3" i="27"/>
  <c r="D170" i="7"/>
  <c r="I4" i="27"/>
  <c r="D80" i="7"/>
  <c r="D62" i="7"/>
  <c r="K44" i="7" l="1"/>
  <c r="J44" i="7"/>
  <c r="F44" i="7"/>
  <c r="G44" i="7" s="1"/>
  <c r="K43" i="7"/>
  <c r="J43" i="7"/>
  <c r="G43" i="7"/>
  <c r="K42" i="7"/>
  <c r="J42" i="7"/>
  <c r="G42" i="7"/>
  <c r="K41" i="7"/>
  <c r="J41" i="7"/>
  <c r="G41" i="7"/>
  <c r="K40" i="7"/>
  <c r="J40" i="7"/>
  <c r="G40" i="7"/>
  <c r="K39" i="7"/>
  <c r="J39" i="7"/>
  <c r="G39" i="7"/>
  <c r="K38" i="7"/>
  <c r="J38" i="7"/>
  <c r="G38" i="7"/>
  <c r="J37" i="7"/>
  <c r="G37" i="7"/>
  <c r="K36" i="7"/>
  <c r="J36" i="7"/>
  <c r="G36" i="7"/>
  <c r="J35" i="7"/>
  <c r="G35" i="7"/>
  <c r="C32" i="7"/>
  <c r="E18" i="10"/>
  <c r="E17" i="10"/>
  <c r="I560" i="38"/>
  <c r="G560" i="38"/>
  <c r="I578" i="38"/>
  <c r="G578" i="38"/>
  <c r="AJ583" i="38"/>
  <c r="AI583" i="38"/>
  <c r="AH583" i="38"/>
  <c r="AF583" i="38"/>
  <c r="AE583" i="38"/>
  <c r="AD583" i="38"/>
  <c r="AB583" i="38"/>
  <c r="AA583" i="38"/>
  <c r="X583" i="38"/>
  <c r="V583" i="38"/>
  <c r="E583" i="38"/>
  <c r="AJ582" i="38"/>
  <c r="AI582" i="38"/>
  <c r="AH582" i="38"/>
  <c r="AF582" i="38"/>
  <c r="AE582" i="38"/>
  <c r="AD582" i="38"/>
  <c r="AB582" i="38"/>
  <c r="AA582" i="38"/>
  <c r="Z582" i="38"/>
  <c r="X582" i="38"/>
  <c r="W582" i="38"/>
  <c r="V582" i="38"/>
  <c r="E582" i="38"/>
  <c r="D582" i="38"/>
  <c r="AJ581" i="38"/>
  <c r="AI581" i="38"/>
  <c r="AH581" i="38"/>
  <c r="AF581" i="38"/>
  <c r="AE581" i="38"/>
  <c r="AD581" i="38"/>
  <c r="AB581" i="38"/>
  <c r="AA581" i="38"/>
  <c r="Z581" i="38"/>
  <c r="X581" i="38"/>
  <c r="W581" i="38"/>
  <c r="V581" i="38"/>
  <c r="E581" i="38"/>
  <c r="D581"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63" i="38"/>
  <c r="AI563" i="38"/>
  <c r="AH563" i="38"/>
  <c r="AF563" i="38"/>
  <c r="AE563" i="38"/>
  <c r="AD563" i="38"/>
  <c r="AB563" i="38"/>
  <c r="AA563" i="38"/>
  <c r="Z563" i="38"/>
  <c r="X563" i="38"/>
  <c r="W563" i="38"/>
  <c r="V563" i="38"/>
  <c r="E563" i="38"/>
  <c r="D563" i="38"/>
  <c r="AJ562" i="38"/>
  <c r="AI562" i="38"/>
  <c r="AH562" i="38"/>
  <c r="AF562" i="38"/>
  <c r="AE562" i="38"/>
  <c r="AD562" i="38"/>
  <c r="AB562" i="38"/>
  <c r="AA562" i="38"/>
  <c r="Z562" i="38"/>
  <c r="X562" i="38"/>
  <c r="W562" i="38"/>
  <c r="V562" i="38"/>
  <c r="E562" i="38"/>
  <c r="D562" i="38"/>
  <c r="AJ561" i="38"/>
  <c r="AI561" i="38"/>
  <c r="AH561" i="38"/>
  <c r="AF561" i="38"/>
  <c r="AE561" i="38"/>
  <c r="AD561" i="38"/>
  <c r="AB561" i="38"/>
  <c r="AA561" i="38"/>
  <c r="Z561" i="38"/>
  <c r="X561" i="38"/>
  <c r="W561" i="38"/>
  <c r="V561" i="38"/>
  <c r="E561" i="38"/>
  <c r="D561" i="38"/>
  <c r="AJ553" i="38"/>
  <c r="AI553" i="38"/>
  <c r="AH553" i="38"/>
  <c r="AF553" i="38"/>
  <c r="AE553" i="38"/>
  <c r="AD553" i="38"/>
  <c r="AB553" i="38"/>
  <c r="AA553" i="38"/>
  <c r="Z553" i="38"/>
  <c r="X553" i="38"/>
  <c r="W553" i="38"/>
  <c r="V553" i="38"/>
  <c r="E553" i="38"/>
  <c r="D553"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D554" i="38"/>
  <c r="E554" i="38"/>
  <c r="V554" i="38"/>
  <c r="W554" i="38"/>
  <c r="X554" i="38"/>
  <c r="Z554" i="38"/>
  <c r="AA554" i="38"/>
  <c r="AB554" i="38"/>
  <c r="AD554" i="38"/>
  <c r="AE554" i="38"/>
  <c r="AF554" i="38"/>
  <c r="AH554" i="38"/>
  <c r="AI554" i="38"/>
  <c r="AJ554" i="38"/>
  <c r="D555" i="38"/>
  <c r="E555" i="38"/>
  <c r="V555" i="38"/>
  <c r="W555" i="38"/>
  <c r="X555" i="38"/>
  <c r="Z555" i="38"/>
  <c r="AA555" i="38"/>
  <c r="AB555" i="38"/>
  <c r="AD555" i="38"/>
  <c r="AE555" i="38"/>
  <c r="AF555" i="38"/>
  <c r="AH555" i="38"/>
  <c r="AI555" i="38"/>
  <c r="AJ555" i="38"/>
  <c r="D556" i="38"/>
  <c r="E556" i="38"/>
  <c r="V556" i="38"/>
  <c r="W556" i="38"/>
  <c r="X556" i="38"/>
  <c r="Z556" i="38"/>
  <c r="AA556" i="38"/>
  <c r="AB556" i="38"/>
  <c r="AD556" i="38"/>
  <c r="AE556" i="38"/>
  <c r="AF556" i="38"/>
  <c r="AH556" i="38"/>
  <c r="AI556" i="38"/>
  <c r="AJ556"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AJ547" i="38"/>
  <c r="AI547" i="38"/>
  <c r="AH547" i="38"/>
  <c r="AF547" i="38"/>
  <c r="AE547" i="38"/>
  <c r="AD547" i="38"/>
  <c r="AB547" i="38"/>
  <c r="AA547" i="38"/>
  <c r="Z547" i="38"/>
  <c r="X547" i="38"/>
  <c r="W547" i="38"/>
  <c r="V547" i="38"/>
  <c r="E547" i="38"/>
  <c r="D547" i="38"/>
  <c r="AJ546" i="38"/>
  <c r="AI546" i="38"/>
  <c r="AH546" i="38"/>
  <c r="AF546" i="38"/>
  <c r="AE546" i="38"/>
  <c r="AD546" i="38"/>
  <c r="AB546" i="38"/>
  <c r="AA546" i="38"/>
  <c r="Z546" i="38"/>
  <c r="X546" i="38"/>
  <c r="W546" i="38"/>
  <c r="V546" i="38"/>
  <c r="E546" i="38"/>
  <c r="D546" i="38"/>
  <c r="AJ545" i="38"/>
  <c r="AI545" i="38"/>
  <c r="AH545" i="38"/>
  <c r="AF545" i="38"/>
  <c r="AE545" i="38"/>
  <c r="AD545" i="38"/>
  <c r="AB545" i="38"/>
  <c r="AA545" i="38"/>
  <c r="Z545" i="38"/>
  <c r="X545" i="38"/>
  <c r="W545" i="38"/>
  <c r="V545" i="38"/>
  <c r="E545" i="38"/>
  <c r="D545" i="38"/>
  <c r="D550" i="38"/>
  <c r="E550" i="38"/>
  <c r="V550" i="38"/>
  <c r="W550" i="38"/>
  <c r="X550" i="38"/>
  <c r="Z550" i="38"/>
  <c r="AA550" i="38"/>
  <c r="AB550" i="38"/>
  <c r="AD550" i="38"/>
  <c r="AE550" i="38"/>
  <c r="AF550" i="38"/>
  <c r="AH550" i="38"/>
  <c r="AI550" i="38"/>
  <c r="AJ550"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AJ529" i="38"/>
  <c r="AI529" i="38"/>
  <c r="AH529" i="38"/>
  <c r="AF529" i="38"/>
  <c r="AE529" i="38"/>
  <c r="AD529" i="38"/>
  <c r="AB529" i="38"/>
  <c r="AA529" i="38"/>
  <c r="Z529" i="38"/>
  <c r="X529" i="38"/>
  <c r="W529" i="38"/>
  <c r="V529" i="38"/>
  <c r="E529" i="38"/>
  <c r="D529" i="38"/>
  <c r="AJ528" i="38"/>
  <c r="AI528" i="38"/>
  <c r="AH528" i="38"/>
  <c r="AF528" i="38"/>
  <c r="AE528" i="38"/>
  <c r="AD528" i="38"/>
  <c r="AB528" i="38"/>
  <c r="AA528" i="38"/>
  <c r="Z528" i="38"/>
  <c r="X528" i="38"/>
  <c r="W528" i="38"/>
  <c r="V528" i="38"/>
  <c r="E528" i="38"/>
  <c r="D528" i="38"/>
  <c r="AJ527" i="38"/>
  <c r="AI527" i="38"/>
  <c r="AH527" i="38"/>
  <c r="AF527" i="38"/>
  <c r="AE527" i="38"/>
  <c r="AD527" i="38"/>
  <c r="AB527" i="38"/>
  <c r="AA527" i="38"/>
  <c r="Z527" i="38"/>
  <c r="X527" i="38"/>
  <c r="W527" i="38"/>
  <c r="V527" i="38"/>
  <c r="E527" i="38"/>
  <c r="D527" i="38"/>
  <c r="I525" i="38"/>
  <c r="G525" i="38"/>
  <c r="AJ536" i="38"/>
  <c r="AI536" i="38"/>
  <c r="AH536" i="38"/>
  <c r="AF536" i="38"/>
  <c r="AE536" i="38"/>
  <c r="AD536" i="38"/>
  <c r="AB536" i="38"/>
  <c r="AA536" i="38"/>
  <c r="Z536" i="38"/>
  <c r="X536" i="38"/>
  <c r="W536" i="38"/>
  <c r="V536" i="38"/>
  <c r="E536" i="38"/>
  <c r="D536" i="38"/>
  <c r="AJ538" i="38"/>
  <c r="AI538" i="38"/>
  <c r="AH538" i="38"/>
  <c r="AF538" i="38"/>
  <c r="AE538" i="38"/>
  <c r="AD538" i="38"/>
  <c r="AB538" i="38"/>
  <c r="AA538" i="38"/>
  <c r="Z538" i="38"/>
  <c r="X538" i="38"/>
  <c r="W538" i="38"/>
  <c r="V538" i="38"/>
  <c r="E538" i="38"/>
  <c r="D538" i="38"/>
  <c r="AJ537" i="38"/>
  <c r="AI537" i="38"/>
  <c r="AH537" i="38"/>
  <c r="AF537" i="38"/>
  <c r="AE537" i="38"/>
  <c r="AD537" i="38"/>
  <c r="AB537" i="38"/>
  <c r="AA537" i="38"/>
  <c r="Z537" i="38"/>
  <c r="X537" i="38"/>
  <c r="W537" i="38"/>
  <c r="V537" i="38"/>
  <c r="E537" i="38"/>
  <c r="D537" i="38"/>
  <c r="AJ535" i="38"/>
  <c r="AI535" i="38"/>
  <c r="AH535" i="38"/>
  <c r="AF535" i="38"/>
  <c r="AE535" i="38"/>
  <c r="AD535" i="38"/>
  <c r="AB535" i="38"/>
  <c r="AA535" i="38"/>
  <c r="Z535" i="38"/>
  <c r="X535" i="38"/>
  <c r="W535" i="38"/>
  <c r="V535" i="38"/>
  <c r="E535" i="38"/>
  <c r="D535" i="38"/>
  <c r="AJ526" i="38"/>
  <c r="AI526" i="38"/>
  <c r="AH526" i="38"/>
  <c r="AF526" i="38"/>
  <c r="AE526" i="38"/>
  <c r="AD526" i="38"/>
  <c r="AB526" i="38"/>
  <c r="AA526" i="38"/>
  <c r="Z526" i="38"/>
  <c r="X526" i="38"/>
  <c r="W526" i="38"/>
  <c r="V526" i="38"/>
  <c r="E526" i="38"/>
  <c r="D526" i="38"/>
  <c r="AJ540" i="38"/>
  <c r="AI540" i="38"/>
  <c r="AH540" i="38"/>
  <c r="AF540" i="38"/>
  <c r="AE540" i="38"/>
  <c r="AD540" i="38"/>
  <c r="AB540" i="38"/>
  <c r="AA540" i="38"/>
  <c r="Z540" i="38"/>
  <c r="X540" i="38"/>
  <c r="W540" i="38"/>
  <c r="V540" i="38"/>
  <c r="E540" i="38"/>
  <c r="D540"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D521" i="38"/>
  <c r="E521" i="38"/>
  <c r="V521" i="38"/>
  <c r="W521" i="38"/>
  <c r="X521" i="38"/>
  <c r="Z521" i="38"/>
  <c r="AA521" i="38"/>
  <c r="AB521" i="38"/>
  <c r="AD521" i="38"/>
  <c r="AE521" i="38"/>
  <c r="AF521" i="38"/>
  <c r="AH521" i="38"/>
  <c r="AI521" i="38"/>
  <c r="AJ521" i="38"/>
  <c r="D522" i="38"/>
  <c r="E522" i="38"/>
  <c r="V522" i="38"/>
  <c r="W522" i="38"/>
  <c r="X522" i="38"/>
  <c r="Z522" i="38"/>
  <c r="AA522" i="38"/>
  <c r="AB522" i="38"/>
  <c r="AD522" i="38"/>
  <c r="AE522" i="38"/>
  <c r="AF522" i="38"/>
  <c r="AH522" i="38"/>
  <c r="AI522" i="38"/>
  <c r="AJ522" i="38"/>
  <c r="D523" i="38"/>
  <c r="E523" i="38"/>
  <c r="V523" i="38"/>
  <c r="W523" i="38"/>
  <c r="X523" i="38"/>
  <c r="Z523" i="38"/>
  <c r="AA523" i="38"/>
  <c r="AB523" i="38"/>
  <c r="AD523" i="38"/>
  <c r="AE523" i="38"/>
  <c r="AF523" i="38"/>
  <c r="AH523" i="38"/>
  <c r="AI523" i="38"/>
  <c r="AJ523" i="38"/>
  <c r="D524" i="38"/>
  <c r="E524" i="38"/>
  <c r="V524" i="38"/>
  <c r="W524" i="38"/>
  <c r="X524" i="38"/>
  <c r="Z524" i="38"/>
  <c r="AA524" i="38"/>
  <c r="AB524" i="38"/>
  <c r="AD524" i="38"/>
  <c r="AE524" i="38"/>
  <c r="AF524" i="38"/>
  <c r="AH524" i="38"/>
  <c r="AI524" i="38"/>
  <c r="AJ524" i="38"/>
  <c r="AJ520" i="38"/>
  <c r="AI520" i="38"/>
  <c r="AH520" i="38"/>
  <c r="AF520" i="38"/>
  <c r="AE520" i="38"/>
  <c r="AD520" i="38"/>
  <c r="AB520" i="38"/>
  <c r="AA520" i="38"/>
  <c r="Z520" i="38"/>
  <c r="X520" i="38"/>
  <c r="W520" i="38"/>
  <c r="V520" i="38"/>
  <c r="E520" i="38"/>
  <c r="D520" i="38"/>
  <c r="AJ519" i="38"/>
  <c r="AI519" i="38"/>
  <c r="AH519" i="38"/>
  <c r="AF519" i="38"/>
  <c r="AE519" i="38"/>
  <c r="AD519" i="38"/>
  <c r="AB519" i="38"/>
  <c r="AA519" i="38"/>
  <c r="Z519" i="38"/>
  <c r="X519" i="38"/>
  <c r="W519" i="38"/>
  <c r="V519" i="38"/>
  <c r="E519" i="38"/>
  <c r="D519" i="38"/>
  <c r="AJ518" i="38"/>
  <c r="AI518" i="38"/>
  <c r="AH518" i="38"/>
  <c r="AF518" i="38"/>
  <c r="AE518" i="38"/>
  <c r="AD518" i="38"/>
  <c r="AB518" i="38"/>
  <c r="AA518" i="38"/>
  <c r="Z518" i="38"/>
  <c r="X518" i="38"/>
  <c r="W518" i="38"/>
  <c r="V518" i="38"/>
  <c r="E518" i="38"/>
  <c r="D518" i="38"/>
  <c r="I436" i="38"/>
  <c r="G436" i="38"/>
  <c r="AJ438" i="38"/>
  <c r="AI438" i="38"/>
  <c r="AH438" i="38"/>
  <c r="AF438" i="38"/>
  <c r="AE438" i="38"/>
  <c r="AD438" i="38"/>
  <c r="AB438" i="38"/>
  <c r="AA438" i="38"/>
  <c r="Z438" i="38"/>
  <c r="X438" i="38"/>
  <c r="W438" i="38"/>
  <c r="V438" i="38"/>
  <c r="E438" i="38"/>
  <c r="D438" i="38"/>
  <c r="AJ441" i="38"/>
  <c r="AI441" i="38"/>
  <c r="AH441" i="38"/>
  <c r="AF441" i="38"/>
  <c r="AE441" i="38"/>
  <c r="AD441" i="38"/>
  <c r="AB441" i="38"/>
  <c r="AA441" i="38"/>
  <c r="Z441" i="38"/>
  <c r="X441" i="38"/>
  <c r="W441" i="38"/>
  <c r="V441" i="38"/>
  <c r="E441" i="38"/>
  <c r="D441" i="38"/>
  <c r="AJ440" i="38"/>
  <c r="AI440" i="38"/>
  <c r="AH440" i="38"/>
  <c r="AF440" i="38"/>
  <c r="AE440" i="38"/>
  <c r="AD440" i="38"/>
  <c r="AB440" i="38"/>
  <c r="AA440" i="38"/>
  <c r="Z440" i="38"/>
  <c r="X440" i="38"/>
  <c r="W440" i="38"/>
  <c r="V440" i="38"/>
  <c r="E440" i="38"/>
  <c r="D440" i="38"/>
  <c r="AJ439" i="38"/>
  <c r="AI439" i="38"/>
  <c r="AH439" i="38"/>
  <c r="AF439" i="38"/>
  <c r="AE439" i="38"/>
  <c r="AD439" i="38"/>
  <c r="AB439" i="38"/>
  <c r="AA439" i="38"/>
  <c r="Z439" i="38"/>
  <c r="X439" i="38"/>
  <c r="W439" i="38"/>
  <c r="V439" i="38"/>
  <c r="E439" i="38"/>
  <c r="D439" i="38"/>
  <c r="AJ437" i="38"/>
  <c r="AI437" i="38"/>
  <c r="AH437" i="38"/>
  <c r="AF437" i="38"/>
  <c r="AE437" i="38"/>
  <c r="AD437" i="38"/>
  <c r="AB437" i="38"/>
  <c r="AA437" i="38"/>
  <c r="Z437" i="38"/>
  <c r="X437" i="38"/>
  <c r="W437" i="38"/>
  <c r="V437" i="38"/>
  <c r="E437" i="38"/>
  <c r="D437"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4" i="38"/>
  <c r="AI444" i="38"/>
  <c r="AH444" i="38"/>
  <c r="AF444" i="38"/>
  <c r="AE444" i="38"/>
  <c r="AD444" i="38"/>
  <c r="AB444" i="38"/>
  <c r="AA444" i="38"/>
  <c r="Z444" i="38"/>
  <c r="X444" i="38"/>
  <c r="W444" i="38"/>
  <c r="V444" i="38"/>
  <c r="E444" i="38"/>
  <c r="D444" i="38"/>
  <c r="I432" i="38"/>
  <c r="G432" i="38"/>
  <c r="AJ433" i="38"/>
  <c r="AI433" i="38"/>
  <c r="AH433" i="38"/>
  <c r="AF433" i="38"/>
  <c r="AE433" i="38"/>
  <c r="AD433" i="38"/>
  <c r="AB433" i="38"/>
  <c r="AA433" i="38"/>
  <c r="Z433" i="38"/>
  <c r="X433" i="38"/>
  <c r="W433" i="38"/>
  <c r="V433" i="38"/>
  <c r="E433" i="38"/>
  <c r="D433" i="38"/>
  <c r="AJ434" i="38"/>
  <c r="AI434" i="38"/>
  <c r="AH434" i="38"/>
  <c r="AF434" i="38"/>
  <c r="AE434" i="38"/>
  <c r="AD434" i="38"/>
  <c r="AB434" i="38"/>
  <c r="AA434" i="38"/>
  <c r="Z434" i="38"/>
  <c r="X434" i="38"/>
  <c r="W434" i="38"/>
  <c r="V434" i="38"/>
  <c r="E434" i="38"/>
  <c r="D434" i="38"/>
  <c r="I499" i="38"/>
  <c r="G499"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02" i="38"/>
  <c r="AI502" i="38"/>
  <c r="AH502" i="38"/>
  <c r="AF502" i="38"/>
  <c r="AE502" i="38"/>
  <c r="AD502" i="38"/>
  <c r="AB502" i="38"/>
  <c r="AA502" i="38"/>
  <c r="Z502" i="38"/>
  <c r="X502" i="38"/>
  <c r="W502" i="38"/>
  <c r="V502" i="38"/>
  <c r="E502" i="38"/>
  <c r="D502" i="38"/>
  <c r="AJ501" i="38"/>
  <c r="AI501" i="38"/>
  <c r="AH501" i="38"/>
  <c r="AF501" i="38"/>
  <c r="AE501" i="38"/>
  <c r="AD501" i="38"/>
  <c r="AB501" i="38"/>
  <c r="AA501" i="38"/>
  <c r="Z501" i="38"/>
  <c r="X501" i="38"/>
  <c r="W501" i="38"/>
  <c r="V501" i="38"/>
  <c r="E501" i="38"/>
  <c r="D501" i="38"/>
  <c r="AJ500" i="38"/>
  <c r="AI500" i="38"/>
  <c r="AH500" i="38"/>
  <c r="AF500" i="38"/>
  <c r="AE500" i="38"/>
  <c r="AD500" i="38"/>
  <c r="AB500" i="38"/>
  <c r="AA500" i="38"/>
  <c r="Z500" i="38"/>
  <c r="X500" i="38"/>
  <c r="W500" i="38"/>
  <c r="V500" i="38"/>
  <c r="E500" i="38"/>
  <c r="D500" i="38"/>
  <c r="AJ511" i="38"/>
  <c r="AI511" i="38"/>
  <c r="AH511" i="38"/>
  <c r="AF511" i="38"/>
  <c r="AE511" i="38"/>
  <c r="AD511" i="38"/>
  <c r="AB511" i="38"/>
  <c r="AA511" i="38"/>
  <c r="Z511" i="38"/>
  <c r="X511" i="38"/>
  <c r="W511" i="38"/>
  <c r="V511" i="38"/>
  <c r="E511" i="38"/>
  <c r="D511"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4" i="38"/>
  <c r="AI514" i="38"/>
  <c r="AH514" i="38"/>
  <c r="AF514" i="38"/>
  <c r="AE514" i="38"/>
  <c r="AD514" i="38"/>
  <c r="AB514" i="38"/>
  <c r="AA514" i="38"/>
  <c r="Z514" i="38"/>
  <c r="X514" i="38"/>
  <c r="W514" i="38"/>
  <c r="V514" i="38"/>
  <c r="E514" i="38"/>
  <c r="D514" i="38"/>
  <c r="I429" i="38"/>
  <c r="G429" i="38"/>
  <c r="AJ430" i="38"/>
  <c r="AI430" i="38"/>
  <c r="AH430" i="38"/>
  <c r="AF430" i="38"/>
  <c r="AE430" i="38"/>
  <c r="AD430" i="38"/>
  <c r="AB430" i="38"/>
  <c r="AA430" i="38"/>
  <c r="Z430" i="38"/>
  <c r="X430" i="38"/>
  <c r="W430" i="38"/>
  <c r="V430" i="38"/>
  <c r="E430" i="38"/>
  <c r="D430" i="38"/>
  <c r="I421" i="38"/>
  <c r="G421" i="38"/>
  <c r="AJ424" i="38"/>
  <c r="AI424" i="38"/>
  <c r="AH424" i="38"/>
  <c r="AF424" i="38"/>
  <c r="AE424" i="38"/>
  <c r="AD424" i="38"/>
  <c r="AB424" i="38"/>
  <c r="AA424" i="38"/>
  <c r="Z424" i="38"/>
  <c r="X424" i="38"/>
  <c r="W424" i="38"/>
  <c r="V424" i="38"/>
  <c r="E424" i="38"/>
  <c r="D424" i="38"/>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7" i="38"/>
  <c r="AI427" i="38"/>
  <c r="AH427" i="38"/>
  <c r="AF427" i="38"/>
  <c r="AE427" i="38"/>
  <c r="AD427" i="38"/>
  <c r="AB427" i="38"/>
  <c r="AA427" i="38"/>
  <c r="Z427" i="38"/>
  <c r="X427" i="38"/>
  <c r="W427" i="38"/>
  <c r="V427" i="38"/>
  <c r="E427" i="38"/>
  <c r="D427" i="38"/>
  <c r="AJ418" i="38"/>
  <c r="AI418" i="38"/>
  <c r="AH418" i="38"/>
  <c r="AF418" i="38"/>
  <c r="AE418" i="38"/>
  <c r="AD418" i="38"/>
  <c r="AB418" i="38"/>
  <c r="AA418" i="38"/>
  <c r="Z418" i="38"/>
  <c r="X418" i="38"/>
  <c r="W418" i="38"/>
  <c r="V418" i="38"/>
  <c r="E418" i="38"/>
  <c r="D418" i="38"/>
  <c r="AJ415" i="38"/>
  <c r="AI415" i="38"/>
  <c r="AH415" i="38"/>
  <c r="AF415" i="38"/>
  <c r="AE415" i="38"/>
  <c r="AD415" i="38"/>
  <c r="AB415" i="38"/>
  <c r="AA415" i="38"/>
  <c r="Z415" i="38"/>
  <c r="X415" i="38"/>
  <c r="W415" i="38"/>
  <c r="V415" i="38"/>
  <c r="E415" i="38"/>
  <c r="D415" i="38"/>
  <c r="AJ414" i="38"/>
  <c r="AI414" i="38"/>
  <c r="AH414" i="38"/>
  <c r="AF414" i="38"/>
  <c r="AE414" i="38"/>
  <c r="AD414" i="38"/>
  <c r="AB414" i="38"/>
  <c r="AA414" i="38"/>
  <c r="Z414" i="38"/>
  <c r="X414" i="38"/>
  <c r="W414" i="38"/>
  <c r="V414" i="38"/>
  <c r="E414" i="38"/>
  <c r="D414" i="38"/>
  <c r="AJ413" i="38"/>
  <c r="AI413" i="38"/>
  <c r="AH413" i="38"/>
  <c r="AF413" i="38"/>
  <c r="AE413" i="38"/>
  <c r="AD413" i="38"/>
  <c r="AB413" i="38"/>
  <c r="AA413" i="38"/>
  <c r="Z413" i="38"/>
  <c r="X413" i="38"/>
  <c r="W413" i="38"/>
  <c r="V413" i="38"/>
  <c r="E413" i="38"/>
  <c r="D413" i="38"/>
  <c r="AJ412" i="38"/>
  <c r="AI412" i="38"/>
  <c r="AH412" i="38"/>
  <c r="AF412" i="38"/>
  <c r="AE412" i="38"/>
  <c r="AD412" i="38"/>
  <c r="AB412" i="38"/>
  <c r="AA412" i="38"/>
  <c r="Z412" i="38"/>
  <c r="X412" i="38"/>
  <c r="W412" i="38"/>
  <c r="V412" i="38"/>
  <c r="E412" i="38"/>
  <c r="D412"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51" i="38"/>
  <c r="AI451" i="38"/>
  <c r="AH451" i="38"/>
  <c r="AF451" i="38"/>
  <c r="AE451" i="38"/>
  <c r="AD451" i="38"/>
  <c r="AB451" i="38"/>
  <c r="AA451" i="38"/>
  <c r="Z451" i="38"/>
  <c r="X451" i="38"/>
  <c r="W451" i="38"/>
  <c r="V451" i="38"/>
  <c r="E451" i="38"/>
  <c r="D451" i="38"/>
  <c r="AJ450" i="38"/>
  <c r="AI450" i="38"/>
  <c r="AH450" i="38"/>
  <c r="AF450" i="38"/>
  <c r="AE450" i="38"/>
  <c r="AD450" i="38"/>
  <c r="AB450" i="38"/>
  <c r="AA450" i="38"/>
  <c r="Z450" i="38"/>
  <c r="X450" i="38"/>
  <c r="W450" i="38"/>
  <c r="V450" i="38"/>
  <c r="E450" i="38"/>
  <c r="D450" i="38"/>
  <c r="AJ449" i="38"/>
  <c r="AI449" i="38"/>
  <c r="AH449" i="38"/>
  <c r="AF449" i="38"/>
  <c r="AE449" i="38"/>
  <c r="AD449" i="38"/>
  <c r="AB449" i="38"/>
  <c r="AA449" i="38"/>
  <c r="Z449" i="38"/>
  <c r="X449" i="38"/>
  <c r="W449" i="38"/>
  <c r="V449" i="38"/>
  <c r="E449" i="38"/>
  <c r="D449"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388" i="38"/>
  <c r="AI388" i="38"/>
  <c r="AH388" i="38"/>
  <c r="AF388" i="38"/>
  <c r="AE388" i="38"/>
  <c r="AD388" i="38"/>
  <c r="AB388" i="38"/>
  <c r="AA388" i="38"/>
  <c r="Z388" i="38"/>
  <c r="X388" i="38"/>
  <c r="W388" i="38"/>
  <c r="V388" i="38"/>
  <c r="E388" i="38"/>
  <c r="D388" i="38"/>
  <c r="AJ386" i="38"/>
  <c r="AI386" i="38"/>
  <c r="AH386" i="38"/>
  <c r="AF386" i="38"/>
  <c r="AE386" i="38"/>
  <c r="AD386" i="38"/>
  <c r="AB386" i="38"/>
  <c r="AA386" i="38"/>
  <c r="Z386" i="38"/>
  <c r="X386" i="38"/>
  <c r="W386" i="38"/>
  <c r="V386" i="38"/>
  <c r="E386" i="38"/>
  <c r="D386" i="38"/>
  <c r="AJ385" i="38"/>
  <c r="AI385" i="38"/>
  <c r="AH385" i="38"/>
  <c r="AF385" i="38"/>
  <c r="AE385" i="38"/>
  <c r="AD385" i="38"/>
  <c r="AB385" i="38"/>
  <c r="AA385" i="38"/>
  <c r="Z385" i="38"/>
  <c r="X385" i="38"/>
  <c r="W385" i="38"/>
  <c r="V385" i="38"/>
  <c r="E385" i="38"/>
  <c r="D385" i="38"/>
  <c r="AJ384" i="38"/>
  <c r="AI384" i="38"/>
  <c r="AH384" i="38"/>
  <c r="AF384" i="38"/>
  <c r="AE384" i="38"/>
  <c r="AD384" i="38"/>
  <c r="AB384" i="38"/>
  <c r="AA384" i="38"/>
  <c r="Z384" i="38"/>
  <c r="X384" i="38"/>
  <c r="W384" i="38"/>
  <c r="V384" i="38"/>
  <c r="E384" i="38"/>
  <c r="D384" i="38"/>
  <c r="AJ383" i="38"/>
  <c r="AI383" i="38"/>
  <c r="AH383" i="38"/>
  <c r="AF383" i="38"/>
  <c r="AE383" i="38"/>
  <c r="AD383" i="38"/>
  <c r="AB383" i="38"/>
  <c r="AA383" i="38"/>
  <c r="Z383" i="38"/>
  <c r="X383" i="38"/>
  <c r="W383" i="38"/>
  <c r="V383" i="38"/>
  <c r="E383" i="38"/>
  <c r="D383" i="38"/>
  <c r="I375" i="38"/>
  <c r="G375" i="38"/>
  <c r="AJ377" i="38"/>
  <c r="AI377" i="38"/>
  <c r="AH377" i="38"/>
  <c r="AF377" i="38"/>
  <c r="AE377" i="38"/>
  <c r="AD377" i="38"/>
  <c r="AB377" i="38"/>
  <c r="AA377" i="38"/>
  <c r="Z377" i="38"/>
  <c r="X377" i="38"/>
  <c r="W377" i="38"/>
  <c r="V377" i="38"/>
  <c r="E377" i="38"/>
  <c r="D377" i="38"/>
  <c r="AJ378" i="38"/>
  <c r="AI378" i="38"/>
  <c r="AH378" i="38"/>
  <c r="AF378" i="38"/>
  <c r="AE378" i="38"/>
  <c r="AD378" i="38"/>
  <c r="AB378" i="38"/>
  <c r="AA378" i="38"/>
  <c r="Z378" i="38"/>
  <c r="X378" i="38"/>
  <c r="W378" i="38"/>
  <c r="V378" i="38"/>
  <c r="E378" i="38"/>
  <c r="D378" i="38"/>
  <c r="AJ376" i="38"/>
  <c r="AI376" i="38"/>
  <c r="AH376" i="38"/>
  <c r="AF376" i="38"/>
  <c r="AE376" i="38"/>
  <c r="AD376" i="38"/>
  <c r="AB376" i="38"/>
  <c r="AA376" i="38"/>
  <c r="Z376" i="38"/>
  <c r="X376" i="38"/>
  <c r="W376" i="38"/>
  <c r="V376" i="38"/>
  <c r="E376" i="38"/>
  <c r="D376" i="38"/>
  <c r="D379" i="38"/>
  <c r="E379" i="38"/>
  <c r="V379" i="38"/>
  <c r="W379" i="38"/>
  <c r="X379" i="38"/>
  <c r="Z379" i="38"/>
  <c r="AA379" i="38"/>
  <c r="AB379" i="38"/>
  <c r="AD379" i="38"/>
  <c r="AE379" i="38"/>
  <c r="AF379" i="38"/>
  <c r="AH379" i="38"/>
  <c r="AI379" i="38"/>
  <c r="AJ379" i="38"/>
  <c r="D380" i="38"/>
  <c r="E380" i="38"/>
  <c r="V380" i="38"/>
  <c r="W380" i="38"/>
  <c r="X380" i="38"/>
  <c r="Z380" i="38"/>
  <c r="AA380" i="38"/>
  <c r="AB380" i="38"/>
  <c r="AD380" i="38"/>
  <c r="AE380" i="38"/>
  <c r="AF380" i="38"/>
  <c r="AH380" i="38"/>
  <c r="AI380" i="38"/>
  <c r="AJ380"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H351" i="38"/>
  <c r="AF351" i="38"/>
  <c r="AE351" i="38"/>
  <c r="AD351" i="38"/>
  <c r="AB351" i="38"/>
  <c r="AA351" i="38"/>
  <c r="Z351" i="38"/>
  <c r="X351" i="38"/>
  <c r="W351" i="38"/>
  <c r="V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W346" i="38"/>
  <c r="V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41" i="38"/>
  <c r="AH341" i="38"/>
  <c r="AF341" i="38"/>
  <c r="AE341" i="38"/>
  <c r="AD341" i="38"/>
  <c r="AB341" i="38"/>
  <c r="AA341" i="38"/>
  <c r="Z341" i="38"/>
  <c r="W341" i="38"/>
  <c r="V341" i="38"/>
  <c r="D341" i="38"/>
  <c r="AJ340" i="38"/>
  <c r="AI340" i="38"/>
  <c r="AH340" i="38"/>
  <c r="AF340" i="38"/>
  <c r="AE340" i="38"/>
  <c r="AD340" i="38"/>
  <c r="AB340" i="38"/>
  <c r="AA340" i="38"/>
  <c r="Z340" i="38"/>
  <c r="X340" i="38"/>
  <c r="W340" i="38"/>
  <c r="V340" i="38"/>
  <c r="E340" i="38"/>
  <c r="D340" i="38"/>
  <c r="AJ339" i="38"/>
  <c r="AI339" i="38"/>
  <c r="AH339" i="38"/>
  <c r="AF339" i="38"/>
  <c r="AE339" i="38"/>
  <c r="AD339" i="38"/>
  <c r="AB339" i="38"/>
  <c r="AA339" i="38"/>
  <c r="Z339" i="38"/>
  <c r="X339" i="38"/>
  <c r="W339" i="38"/>
  <c r="V339" i="38"/>
  <c r="E339" i="38"/>
  <c r="D339"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57" i="38"/>
  <c r="AI357" i="38"/>
  <c r="AH357" i="38"/>
  <c r="AF357" i="38"/>
  <c r="AE357" i="38"/>
  <c r="AD357" i="38"/>
  <c r="AB357" i="38"/>
  <c r="Z357" i="38"/>
  <c r="X357" i="38"/>
  <c r="V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74" i="38"/>
  <c r="AI374" i="38"/>
  <c r="AH374" i="38"/>
  <c r="AF374" i="38"/>
  <c r="AE374" i="38"/>
  <c r="AD374" i="38"/>
  <c r="AB374" i="38"/>
  <c r="AA374" i="38"/>
  <c r="Z374" i="38"/>
  <c r="X374" i="38"/>
  <c r="W374" i="38"/>
  <c r="V374" i="38"/>
  <c r="E374" i="38"/>
  <c r="D374"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I405" i="38"/>
  <c r="G405" i="38"/>
  <c r="AJ406" i="38"/>
  <c r="AI406" i="38"/>
  <c r="AH406" i="38"/>
  <c r="AF406" i="38"/>
  <c r="AE406" i="38"/>
  <c r="AD406" i="38"/>
  <c r="AB406" i="38"/>
  <c r="AA406" i="38"/>
  <c r="Z406" i="38"/>
  <c r="X406" i="38"/>
  <c r="W406" i="38"/>
  <c r="V406" i="38"/>
  <c r="E406" i="38"/>
  <c r="D406" i="38"/>
  <c r="AJ407" i="38"/>
  <c r="AI407" i="38"/>
  <c r="AH407" i="38"/>
  <c r="AF407" i="38"/>
  <c r="AE407" i="38"/>
  <c r="AD407" i="38"/>
  <c r="AB407" i="38"/>
  <c r="AA407" i="38"/>
  <c r="Z407" i="38"/>
  <c r="X407" i="38"/>
  <c r="W407" i="38"/>
  <c r="V407" i="38"/>
  <c r="E407" i="38"/>
  <c r="D407" i="38"/>
  <c r="I401" i="38"/>
  <c r="G401" i="38"/>
  <c r="AJ402" i="38"/>
  <c r="AI402" i="38"/>
  <c r="AH402" i="38"/>
  <c r="AF402" i="38"/>
  <c r="AE402" i="38"/>
  <c r="AD402" i="38"/>
  <c r="AB402" i="38"/>
  <c r="AA402" i="38"/>
  <c r="Z402" i="38"/>
  <c r="X402" i="38"/>
  <c r="W402" i="38"/>
  <c r="V402" i="38"/>
  <c r="E402" i="38"/>
  <c r="D402" i="38"/>
  <c r="D403" i="38"/>
  <c r="E403" i="38"/>
  <c r="V403" i="38"/>
  <c r="W403" i="38"/>
  <c r="X403" i="38"/>
  <c r="Z403" i="38"/>
  <c r="AA403" i="38"/>
  <c r="AB403" i="38"/>
  <c r="AD403" i="38"/>
  <c r="AE403" i="38"/>
  <c r="AF403" i="38"/>
  <c r="AH403" i="38"/>
  <c r="AI403" i="38"/>
  <c r="AJ403" i="38"/>
  <c r="AJ399" i="38"/>
  <c r="AI399" i="38"/>
  <c r="AH399" i="38"/>
  <c r="AF399" i="38"/>
  <c r="AE399" i="38"/>
  <c r="AD399" i="38"/>
  <c r="AB399" i="38"/>
  <c r="AA399" i="38"/>
  <c r="Z399" i="38"/>
  <c r="X399" i="38"/>
  <c r="W399" i="38"/>
  <c r="V399" i="38"/>
  <c r="E399" i="38"/>
  <c r="D399" i="38"/>
  <c r="AJ398" i="38"/>
  <c r="AI398" i="38"/>
  <c r="AH398" i="38"/>
  <c r="AF398" i="38"/>
  <c r="AE398" i="38"/>
  <c r="AD398" i="38"/>
  <c r="AB398" i="38"/>
  <c r="AA398" i="38"/>
  <c r="Z398" i="38"/>
  <c r="X398" i="38"/>
  <c r="W398" i="38"/>
  <c r="V398" i="38"/>
  <c r="E398" i="38"/>
  <c r="D398" i="38"/>
  <c r="AJ396" i="38"/>
  <c r="AI396" i="38"/>
  <c r="AH396" i="38"/>
  <c r="AF396" i="38"/>
  <c r="AE396" i="38"/>
  <c r="AD396" i="38"/>
  <c r="AB396" i="38"/>
  <c r="AA396" i="38"/>
  <c r="Z396" i="38"/>
  <c r="X396" i="38"/>
  <c r="W396" i="38"/>
  <c r="V396" i="38"/>
  <c r="E396" i="38"/>
  <c r="D396" i="38"/>
  <c r="AJ393" i="38"/>
  <c r="AI393" i="38"/>
  <c r="AH393" i="38"/>
  <c r="AF393" i="38"/>
  <c r="AE393" i="38"/>
  <c r="AD393" i="38"/>
  <c r="AB393" i="38"/>
  <c r="AA393" i="38"/>
  <c r="Z393" i="38"/>
  <c r="X393" i="38"/>
  <c r="W393" i="38"/>
  <c r="V393" i="38"/>
  <c r="E393" i="38"/>
  <c r="D393" i="38"/>
  <c r="AJ395" i="38"/>
  <c r="AI395" i="38"/>
  <c r="AH395" i="38"/>
  <c r="AF395" i="38"/>
  <c r="AE395" i="38"/>
  <c r="AD395" i="38"/>
  <c r="AB395" i="38"/>
  <c r="AA395" i="38"/>
  <c r="Z395" i="38"/>
  <c r="X395" i="38"/>
  <c r="W395" i="38"/>
  <c r="V395" i="38"/>
  <c r="E395" i="38"/>
  <c r="D395" i="38"/>
  <c r="AJ394" i="38"/>
  <c r="AI394" i="38"/>
  <c r="AH394" i="38"/>
  <c r="AF394" i="38"/>
  <c r="AE394" i="38"/>
  <c r="AD394" i="38"/>
  <c r="AB394" i="38"/>
  <c r="AA394" i="38"/>
  <c r="Z394" i="38"/>
  <c r="X394" i="38"/>
  <c r="W394" i="38"/>
  <c r="V394" i="38"/>
  <c r="E394" i="38"/>
  <c r="D394"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16" i="38"/>
  <c r="AI316" i="38"/>
  <c r="AH316" i="38"/>
  <c r="AF316" i="38"/>
  <c r="AE316" i="38"/>
  <c r="AD316" i="38"/>
  <c r="AB316" i="38"/>
  <c r="AA316" i="38"/>
  <c r="Z316" i="38"/>
  <c r="X316" i="38"/>
  <c r="W316" i="38"/>
  <c r="V316" i="38"/>
  <c r="E316" i="38"/>
  <c r="D316" i="38"/>
  <c r="AJ315" i="38"/>
  <c r="AI315" i="38"/>
  <c r="AH315" i="38"/>
  <c r="AF315" i="38"/>
  <c r="AE315" i="38"/>
  <c r="AD315" i="38"/>
  <c r="AB315" i="38"/>
  <c r="AA315" i="38"/>
  <c r="Z315" i="38"/>
  <c r="X315" i="38"/>
  <c r="W315" i="38"/>
  <c r="V315" i="38"/>
  <c r="E315" i="38"/>
  <c r="D315" i="38"/>
  <c r="AJ314" i="38"/>
  <c r="AI314" i="38"/>
  <c r="AH314" i="38"/>
  <c r="AF314" i="38"/>
  <c r="AE314" i="38"/>
  <c r="AD314" i="38"/>
  <c r="AB314" i="38"/>
  <c r="AA314" i="38"/>
  <c r="Z314" i="38"/>
  <c r="X314" i="38"/>
  <c r="W314" i="38"/>
  <c r="V314" i="38"/>
  <c r="E314" i="38"/>
  <c r="D314" i="38"/>
  <c r="AJ323" i="38"/>
  <c r="AI323" i="38"/>
  <c r="AH323" i="38"/>
  <c r="AF323" i="38"/>
  <c r="AE323" i="38"/>
  <c r="AD323" i="38"/>
  <c r="AB323" i="38"/>
  <c r="AA323" i="38"/>
  <c r="Z323" i="38"/>
  <c r="X323" i="38"/>
  <c r="W323" i="38"/>
  <c r="V323" i="38"/>
  <c r="E323" i="38"/>
  <c r="D323"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6" i="38"/>
  <c r="AI326" i="38"/>
  <c r="AH326" i="38"/>
  <c r="AF326" i="38"/>
  <c r="AE326" i="38"/>
  <c r="AD326" i="38"/>
  <c r="AB326" i="38"/>
  <c r="AA326" i="38"/>
  <c r="Z326" i="38"/>
  <c r="X326" i="38"/>
  <c r="W326" i="38"/>
  <c r="V326" i="38"/>
  <c r="E326" i="38"/>
  <c r="D326"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271" i="38"/>
  <c r="AI271" i="38"/>
  <c r="AH271" i="38"/>
  <c r="AF271" i="38"/>
  <c r="AE271" i="38"/>
  <c r="AD271" i="38"/>
  <c r="AB271" i="38"/>
  <c r="AA271" i="38"/>
  <c r="Z271" i="38"/>
  <c r="X271" i="38"/>
  <c r="W271" i="38"/>
  <c r="V271" i="38"/>
  <c r="E271" i="38"/>
  <c r="D271" i="38"/>
  <c r="AJ270" i="38"/>
  <c r="AI270" i="38"/>
  <c r="AH270" i="38"/>
  <c r="AF270" i="38"/>
  <c r="AE270" i="38"/>
  <c r="AD270" i="38"/>
  <c r="AB270" i="38"/>
  <c r="AA270" i="38"/>
  <c r="Z270" i="38"/>
  <c r="X270" i="38"/>
  <c r="W270" i="38"/>
  <c r="V270" i="38"/>
  <c r="E270" i="38"/>
  <c r="D270" i="38"/>
  <c r="AJ269" i="38"/>
  <c r="AI269" i="38"/>
  <c r="AH269" i="38"/>
  <c r="AF269" i="38"/>
  <c r="AE269" i="38"/>
  <c r="AD269" i="38"/>
  <c r="AB269" i="38"/>
  <c r="AA269" i="38"/>
  <c r="Z269" i="38"/>
  <c r="X269" i="38"/>
  <c r="W269" i="38"/>
  <c r="V269" i="38"/>
  <c r="E269" i="38"/>
  <c r="D269"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I260" i="38"/>
  <c r="G260" i="38"/>
  <c r="AJ263" i="38"/>
  <c r="AI263" i="38"/>
  <c r="AH263" i="38"/>
  <c r="AF263" i="38"/>
  <c r="AE263" i="38"/>
  <c r="AD263" i="38"/>
  <c r="AB263" i="38"/>
  <c r="AA263" i="38"/>
  <c r="Z263" i="38"/>
  <c r="X263" i="38"/>
  <c r="W263" i="38"/>
  <c r="V263" i="38"/>
  <c r="E263" i="38"/>
  <c r="D263"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I328" i="38"/>
  <c r="G328" i="38"/>
  <c r="AJ330" i="38"/>
  <c r="AI330" i="38"/>
  <c r="AH330" i="38"/>
  <c r="AF330" i="38"/>
  <c r="AE330" i="38"/>
  <c r="AD330" i="38"/>
  <c r="AB330" i="38"/>
  <c r="AA330" i="38"/>
  <c r="Z330" i="38"/>
  <c r="X330" i="38"/>
  <c r="W330" i="38"/>
  <c r="V330" i="38"/>
  <c r="E330" i="38"/>
  <c r="D330" i="38"/>
  <c r="AJ329" i="38"/>
  <c r="AI329" i="38"/>
  <c r="AH329" i="38"/>
  <c r="AF329" i="38"/>
  <c r="AE329" i="38"/>
  <c r="AD329" i="38"/>
  <c r="AB329" i="38"/>
  <c r="AA329" i="38"/>
  <c r="Z329" i="38"/>
  <c r="X329" i="38"/>
  <c r="W329" i="38"/>
  <c r="V329" i="38"/>
  <c r="E329" i="38"/>
  <c r="D329" i="38"/>
  <c r="AJ331" i="38"/>
  <c r="AI331" i="38"/>
  <c r="AH331" i="38"/>
  <c r="AF331" i="38"/>
  <c r="AE331" i="38"/>
  <c r="AD331" i="38"/>
  <c r="AB331" i="38"/>
  <c r="AA331" i="38"/>
  <c r="Z331" i="38"/>
  <c r="X331" i="38"/>
  <c r="W331" i="38"/>
  <c r="V331" i="38"/>
  <c r="E331" i="38"/>
  <c r="D331"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V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47" i="38"/>
  <c r="AI247" i="38"/>
  <c r="AH247" i="38"/>
  <c r="AF247" i="38"/>
  <c r="AE247" i="38"/>
  <c r="AD247" i="38"/>
  <c r="AB247" i="38"/>
  <c r="AA247" i="38"/>
  <c r="Z247" i="38"/>
  <c r="X247" i="38"/>
  <c r="W247" i="38"/>
  <c r="V247" i="38"/>
  <c r="E247" i="38"/>
  <c r="D247" i="38"/>
  <c r="AJ246" i="38"/>
  <c r="AI246" i="38"/>
  <c r="AH246" i="38"/>
  <c r="AF246" i="38"/>
  <c r="AE246" i="38"/>
  <c r="AD246" i="38"/>
  <c r="AB246" i="38"/>
  <c r="AA246" i="38"/>
  <c r="Z246" i="38"/>
  <c r="X246" i="38"/>
  <c r="V246" i="38"/>
  <c r="D246" i="38"/>
  <c r="AJ245" i="38"/>
  <c r="AI245" i="38"/>
  <c r="AH245" i="38"/>
  <c r="AF245" i="38"/>
  <c r="AE245" i="38"/>
  <c r="AD245" i="38"/>
  <c r="AB245" i="38"/>
  <c r="AA245" i="38"/>
  <c r="Z245" i="38"/>
  <c r="X245" i="38"/>
  <c r="W245" i="38"/>
  <c r="V245" i="38"/>
  <c r="E245" i="38"/>
  <c r="D245"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I235" i="38"/>
  <c r="G235" i="38"/>
  <c r="AJ239" i="38"/>
  <c r="AI239" i="38"/>
  <c r="AH239" i="38"/>
  <c r="AF239" i="38"/>
  <c r="AE239" i="38"/>
  <c r="AD239" i="38"/>
  <c r="AB239" i="38"/>
  <c r="AA239" i="38"/>
  <c r="Z239" i="38"/>
  <c r="X239" i="38"/>
  <c r="W239" i="38"/>
  <c r="V239" i="38"/>
  <c r="E239" i="38"/>
  <c r="D239" i="38"/>
  <c r="AJ238" i="38"/>
  <c r="AI238" i="38"/>
  <c r="AH238" i="38"/>
  <c r="AF238" i="38"/>
  <c r="AE238" i="38"/>
  <c r="AD238" i="38"/>
  <c r="AB238" i="38"/>
  <c r="AA238" i="38"/>
  <c r="Z238" i="38"/>
  <c r="X238" i="38"/>
  <c r="W238" i="38"/>
  <c r="V238" i="38"/>
  <c r="E238" i="38"/>
  <c r="D238"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42" i="38"/>
  <c r="AI242" i="38"/>
  <c r="AH242" i="38"/>
  <c r="AF242" i="38"/>
  <c r="AE242" i="38"/>
  <c r="AD242" i="38"/>
  <c r="AB242" i="38"/>
  <c r="AA242" i="38"/>
  <c r="Z242" i="38"/>
  <c r="X242" i="38"/>
  <c r="W242" i="38"/>
  <c r="V242" i="38"/>
  <c r="E242" i="38"/>
  <c r="D242" i="38"/>
  <c r="AJ230" i="38"/>
  <c r="AI230" i="38"/>
  <c r="AH230" i="38"/>
  <c r="AF230" i="38"/>
  <c r="AE230" i="38"/>
  <c r="AD230" i="38"/>
  <c r="AB230" i="38"/>
  <c r="AA230" i="38"/>
  <c r="Z230" i="38"/>
  <c r="X230" i="38"/>
  <c r="W230" i="38"/>
  <c r="V230" i="38"/>
  <c r="E230" i="38"/>
  <c r="D230" i="38"/>
  <c r="AJ229" i="38"/>
  <c r="AI229" i="38"/>
  <c r="AH229" i="38"/>
  <c r="AF229" i="38"/>
  <c r="AE229" i="38"/>
  <c r="AD229" i="38"/>
  <c r="AB229" i="38"/>
  <c r="AA229" i="38"/>
  <c r="X229" i="38"/>
  <c r="W229" i="38"/>
  <c r="V229" i="38"/>
  <c r="D229" i="38"/>
  <c r="AJ234" i="38"/>
  <c r="AI234" i="38"/>
  <c r="AH234" i="38"/>
  <c r="AF234" i="38"/>
  <c r="AE234" i="38"/>
  <c r="AD234" i="38"/>
  <c r="AB234" i="38"/>
  <c r="AA234" i="38"/>
  <c r="Z234" i="38"/>
  <c r="X234" i="38"/>
  <c r="W234" i="38"/>
  <c r="V234" i="38"/>
  <c r="E234" i="38"/>
  <c r="D234"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1" i="38"/>
  <c r="AI231" i="38"/>
  <c r="AH231" i="38"/>
  <c r="AF231" i="38"/>
  <c r="AE231" i="38"/>
  <c r="AD231" i="38"/>
  <c r="AB231" i="38"/>
  <c r="AA231" i="38"/>
  <c r="Z231" i="38"/>
  <c r="X231" i="38"/>
  <c r="W231" i="38"/>
  <c r="V231" i="38"/>
  <c r="E231" i="38"/>
  <c r="D231" i="38"/>
  <c r="I201" i="38"/>
  <c r="G201" i="38"/>
  <c r="AJ204" i="38"/>
  <c r="AH204" i="38"/>
  <c r="AF204" i="38"/>
  <c r="AE204" i="38"/>
  <c r="AD204" i="38"/>
  <c r="AB204" i="38"/>
  <c r="AA204" i="38"/>
  <c r="Z204" i="38"/>
  <c r="X204" i="38"/>
  <c r="V204" i="38"/>
  <c r="D204" i="38"/>
  <c r="AJ203" i="38"/>
  <c r="AI203" i="38"/>
  <c r="AH203" i="38"/>
  <c r="AF203" i="38"/>
  <c r="AE203" i="38"/>
  <c r="AD203" i="38"/>
  <c r="AB203" i="38"/>
  <c r="AA203" i="38"/>
  <c r="Z203" i="38"/>
  <c r="X203" i="38"/>
  <c r="V203" i="38"/>
  <c r="D203" i="38"/>
  <c r="AJ202" i="38"/>
  <c r="AI202" i="38"/>
  <c r="AH202" i="38"/>
  <c r="AF202" i="38"/>
  <c r="AE202" i="38"/>
  <c r="AD202" i="38"/>
  <c r="AB202" i="38"/>
  <c r="AA202" i="38"/>
  <c r="Z202" i="38"/>
  <c r="X202" i="38"/>
  <c r="W202" i="38"/>
  <c r="V202" i="38"/>
  <c r="E202" i="38"/>
  <c r="D202"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7" i="38"/>
  <c r="AI207" i="38"/>
  <c r="AH207" i="38"/>
  <c r="AF207" i="38"/>
  <c r="AE207" i="38"/>
  <c r="AD207" i="38"/>
  <c r="AB207" i="38"/>
  <c r="AA207" i="38"/>
  <c r="Z207" i="38"/>
  <c r="X207" i="38"/>
  <c r="W207" i="38"/>
  <c r="V207" i="38"/>
  <c r="E207" i="38"/>
  <c r="D207" i="38"/>
  <c r="I194" i="38"/>
  <c r="G194" i="38"/>
  <c r="AJ196" i="38"/>
  <c r="AI196" i="38"/>
  <c r="AH196" i="38"/>
  <c r="AF196" i="38"/>
  <c r="AE196" i="38"/>
  <c r="AD196" i="38"/>
  <c r="AB196" i="38"/>
  <c r="AA196" i="38"/>
  <c r="Z196" i="38"/>
  <c r="X196" i="38"/>
  <c r="W196" i="38"/>
  <c r="V196" i="38"/>
  <c r="E196" i="38"/>
  <c r="D196" i="38"/>
  <c r="D197" i="38"/>
  <c r="E197" i="38"/>
  <c r="V197" i="38"/>
  <c r="W197" i="38"/>
  <c r="X197" i="38"/>
  <c r="Z197" i="38"/>
  <c r="AA197" i="38"/>
  <c r="AB197" i="38"/>
  <c r="AD197" i="38"/>
  <c r="AE197" i="38"/>
  <c r="AF197" i="38"/>
  <c r="AH197" i="38"/>
  <c r="AI197" i="38"/>
  <c r="AJ197" i="38"/>
  <c r="AJ198" i="38"/>
  <c r="AI198" i="38"/>
  <c r="AH198" i="38"/>
  <c r="AF198" i="38"/>
  <c r="AE198" i="38"/>
  <c r="AD198" i="38"/>
  <c r="AB198" i="38"/>
  <c r="AA198" i="38"/>
  <c r="Z198" i="38"/>
  <c r="X198" i="38"/>
  <c r="W198" i="38"/>
  <c r="V198" i="38"/>
  <c r="E198" i="38"/>
  <c r="D198" i="38"/>
  <c r="AJ195" i="38"/>
  <c r="AI195" i="38"/>
  <c r="AH195" i="38"/>
  <c r="AF195" i="38"/>
  <c r="AE195" i="38"/>
  <c r="AD195" i="38"/>
  <c r="AB195" i="38"/>
  <c r="AA195" i="38"/>
  <c r="Z195" i="38"/>
  <c r="X195" i="38"/>
  <c r="W195" i="38"/>
  <c r="V195" i="38"/>
  <c r="E195" i="38"/>
  <c r="D195" i="38"/>
  <c r="AJ199" i="38"/>
  <c r="AI199" i="38"/>
  <c r="AH199" i="38"/>
  <c r="AF199" i="38"/>
  <c r="AE199" i="38"/>
  <c r="AD199" i="38"/>
  <c r="AB199" i="38"/>
  <c r="AA199" i="38"/>
  <c r="Z199" i="38"/>
  <c r="X199" i="38"/>
  <c r="W199" i="38"/>
  <c r="V199" i="38"/>
  <c r="E199" i="38"/>
  <c r="D199" i="38"/>
  <c r="AJ223" i="38"/>
  <c r="AI223" i="38"/>
  <c r="AH223" i="38"/>
  <c r="AF223" i="38"/>
  <c r="AE223" i="38"/>
  <c r="AD223" i="38"/>
  <c r="AB223" i="38"/>
  <c r="AA223" i="38"/>
  <c r="Z223" i="38"/>
  <c r="X223" i="38"/>
  <c r="W223" i="38"/>
  <c r="V223" i="38"/>
  <c r="E223" i="38"/>
  <c r="D223" i="38"/>
  <c r="AJ222" i="38"/>
  <c r="AI222" i="38"/>
  <c r="AH222" i="38"/>
  <c r="AF222" i="38"/>
  <c r="AE222" i="38"/>
  <c r="AD222" i="38"/>
  <c r="AB222" i="38"/>
  <c r="AA222" i="38"/>
  <c r="Z222" i="38"/>
  <c r="X222" i="38"/>
  <c r="W222" i="38"/>
  <c r="V222" i="38"/>
  <c r="E222" i="38"/>
  <c r="D222" i="38"/>
  <c r="AJ221" i="38"/>
  <c r="AI221" i="38"/>
  <c r="AH221" i="38"/>
  <c r="AF221" i="38"/>
  <c r="AE221" i="38"/>
  <c r="AD221" i="38"/>
  <c r="AB221" i="38"/>
  <c r="AA221" i="38"/>
  <c r="Z221" i="38"/>
  <c r="X221" i="38"/>
  <c r="W221" i="38"/>
  <c r="V221" i="38"/>
  <c r="E221" i="38"/>
  <c r="D221" i="38"/>
  <c r="AJ220" i="38"/>
  <c r="AI220" i="38"/>
  <c r="AH220" i="38"/>
  <c r="AF220" i="38"/>
  <c r="AE220" i="38"/>
  <c r="AD220" i="38"/>
  <c r="AB220" i="38"/>
  <c r="AA220" i="38"/>
  <c r="Z220" i="38"/>
  <c r="X220" i="38"/>
  <c r="W220" i="38"/>
  <c r="V220" i="38"/>
  <c r="E220" i="38"/>
  <c r="D220" i="38"/>
  <c r="AJ224" i="38"/>
  <c r="AI224" i="38"/>
  <c r="AH224" i="38"/>
  <c r="AF224" i="38"/>
  <c r="AE224" i="38"/>
  <c r="AD224" i="38"/>
  <c r="AB224" i="38"/>
  <c r="AA224" i="38"/>
  <c r="Z224" i="38"/>
  <c r="X224" i="38"/>
  <c r="W224" i="38"/>
  <c r="V224" i="38"/>
  <c r="E224" i="38"/>
  <c r="D224" i="38"/>
  <c r="I210" i="38"/>
  <c r="G210" i="38"/>
  <c r="AJ212" i="38"/>
  <c r="AI212" i="38"/>
  <c r="AH212" i="38"/>
  <c r="AF212" i="38"/>
  <c r="AE212" i="38"/>
  <c r="AD212" i="38"/>
  <c r="AB212" i="38"/>
  <c r="AA212" i="38"/>
  <c r="Z212" i="38"/>
  <c r="X212" i="38"/>
  <c r="W212" i="38"/>
  <c r="V212" i="38"/>
  <c r="E212" i="38"/>
  <c r="D212" i="38"/>
  <c r="AJ213" i="38"/>
  <c r="AI213" i="38"/>
  <c r="AH213" i="38"/>
  <c r="AF213" i="38"/>
  <c r="AE213" i="38"/>
  <c r="AD213" i="38"/>
  <c r="AB213" i="38"/>
  <c r="AA213" i="38"/>
  <c r="Z213" i="38"/>
  <c r="X213" i="38"/>
  <c r="W213" i="38"/>
  <c r="V213" i="38"/>
  <c r="E213" i="38"/>
  <c r="D213" i="38"/>
  <c r="AJ211" i="38"/>
  <c r="AI211" i="38"/>
  <c r="AH211" i="38"/>
  <c r="AF211" i="38"/>
  <c r="AE211" i="38"/>
  <c r="AD211" i="38"/>
  <c r="AB211" i="38"/>
  <c r="AA211" i="38"/>
  <c r="Z211" i="38"/>
  <c r="X211" i="38"/>
  <c r="W211" i="38"/>
  <c r="V211" i="38"/>
  <c r="E211" i="38"/>
  <c r="D211" i="38"/>
  <c r="AJ215" i="38"/>
  <c r="AI215" i="38"/>
  <c r="AH215" i="38"/>
  <c r="AF215" i="38"/>
  <c r="AE215" i="38"/>
  <c r="AD215" i="38"/>
  <c r="AB215" i="38"/>
  <c r="AA215" i="38"/>
  <c r="Z215" i="38"/>
  <c r="X215" i="38"/>
  <c r="W215" i="38"/>
  <c r="V215" i="38"/>
  <c r="E215" i="38"/>
  <c r="D215" i="38"/>
  <c r="AJ214" i="38"/>
  <c r="AI214" i="38"/>
  <c r="AH214" i="38"/>
  <c r="AF214" i="38"/>
  <c r="AE214" i="38"/>
  <c r="AD214" i="38"/>
  <c r="AB214" i="38"/>
  <c r="AA214" i="38"/>
  <c r="Z214" i="38"/>
  <c r="X214" i="38"/>
  <c r="W214" i="38"/>
  <c r="V214" i="38"/>
  <c r="E214" i="38"/>
  <c r="D214" i="38"/>
  <c r="AJ216" i="38"/>
  <c r="AI216" i="38"/>
  <c r="AH216" i="38"/>
  <c r="AF216" i="38"/>
  <c r="AE216" i="38"/>
  <c r="AD216" i="38"/>
  <c r="AB216" i="38"/>
  <c r="AA216" i="38"/>
  <c r="Z216" i="38"/>
  <c r="X216" i="38"/>
  <c r="W216" i="38"/>
  <c r="V216" i="38"/>
  <c r="E216" i="38"/>
  <c r="D216"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73" i="38"/>
  <c r="AI173" i="38"/>
  <c r="AH173" i="38"/>
  <c r="AF173" i="38"/>
  <c r="AE173" i="38"/>
  <c r="AD173" i="38"/>
  <c r="AB173" i="38"/>
  <c r="AA173" i="38"/>
  <c r="Z173" i="38"/>
  <c r="X173" i="38"/>
  <c r="W173" i="38"/>
  <c r="V173" i="38"/>
  <c r="E173" i="38"/>
  <c r="D173" i="38"/>
  <c r="AJ172" i="38"/>
  <c r="AI172" i="38"/>
  <c r="AH172" i="38"/>
  <c r="AF172" i="38"/>
  <c r="AE172" i="38"/>
  <c r="AD172" i="38"/>
  <c r="AB172" i="38"/>
  <c r="AA172" i="38"/>
  <c r="Z172" i="38"/>
  <c r="X172" i="38"/>
  <c r="W172" i="38"/>
  <c r="V172" i="38"/>
  <c r="E172" i="38"/>
  <c r="D172" i="38"/>
  <c r="AJ171" i="38"/>
  <c r="AI171" i="38"/>
  <c r="AH171" i="38"/>
  <c r="AF171" i="38"/>
  <c r="AE171" i="38"/>
  <c r="AD171" i="38"/>
  <c r="AB171" i="38"/>
  <c r="AA171" i="38"/>
  <c r="Z171" i="38"/>
  <c r="X171" i="38"/>
  <c r="W171" i="38"/>
  <c r="V171" i="38"/>
  <c r="E171" i="38"/>
  <c r="D171" i="38"/>
  <c r="AJ190" i="38"/>
  <c r="AI190" i="38"/>
  <c r="AH190" i="38"/>
  <c r="AF190" i="38"/>
  <c r="AE190" i="38"/>
  <c r="AD190" i="38"/>
  <c r="AB190" i="38"/>
  <c r="AA190" i="38"/>
  <c r="Z190" i="38"/>
  <c r="X190" i="38"/>
  <c r="W190" i="38"/>
  <c r="V190" i="38"/>
  <c r="E190" i="38"/>
  <c r="D190"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67" i="38"/>
  <c r="AI167" i="38"/>
  <c r="AH167" i="38"/>
  <c r="AF167" i="38"/>
  <c r="AE167" i="38"/>
  <c r="AD167" i="38"/>
  <c r="AB167" i="38"/>
  <c r="AA167" i="38"/>
  <c r="Z167" i="38"/>
  <c r="X167" i="38"/>
  <c r="W167" i="38"/>
  <c r="V167" i="38"/>
  <c r="E167" i="38"/>
  <c r="D167" i="38"/>
  <c r="AJ168" i="38"/>
  <c r="AI168" i="38"/>
  <c r="AH168" i="38"/>
  <c r="AF168" i="38"/>
  <c r="AE168" i="38"/>
  <c r="AD168" i="38"/>
  <c r="AB168" i="38"/>
  <c r="AA168" i="38"/>
  <c r="Z168" i="38"/>
  <c r="X168" i="38"/>
  <c r="W168" i="38"/>
  <c r="V168" i="38"/>
  <c r="E168" i="38"/>
  <c r="D168" i="38"/>
  <c r="AJ169" i="38"/>
  <c r="AI169" i="38"/>
  <c r="AH169" i="38"/>
  <c r="AF169" i="38"/>
  <c r="AE169" i="38"/>
  <c r="AD169" i="38"/>
  <c r="AB169" i="38"/>
  <c r="AA169" i="38"/>
  <c r="Z169" i="38"/>
  <c r="X169" i="38"/>
  <c r="W169" i="38"/>
  <c r="V169" i="38"/>
  <c r="E169" i="38"/>
  <c r="D169" i="38"/>
  <c r="AJ170" i="38"/>
  <c r="AI170" i="38"/>
  <c r="AH170" i="38"/>
  <c r="AF170" i="38"/>
  <c r="AE170" i="38"/>
  <c r="AD170" i="38"/>
  <c r="AB170" i="38"/>
  <c r="AA170" i="38"/>
  <c r="Z170" i="38"/>
  <c r="X170" i="38"/>
  <c r="W170" i="38"/>
  <c r="V170" i="38"/>
  <c r="E170" i="38"/>
  <c r="D17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54" i="38"/>
  <c r="AI154" i="38"/>
  <c r="AH154" i="38"/>
  <c r="AF154" i="38"/>
  <c r="AE154" i="38"/>
  <c r="AD154" i="38"/>
  <c r="AB154" i="38"/>
  <c r="AA154" i="38"/>
  <c r="Z154" i="38"/>
  <c r="X154" i="38"/>
  <c r="W154" i="38"/>
  <c r="V154" i="38"/>
  <c r="E154" i="38"/>
  <c r="D154" i="38"/>
  <c r="AJ153" i="38"/>
  <c r="AI153" i="38"/>
  <c r="AH153" i="38"/>
  <c r="AF153" i="38"/>
  <c r="AE153" i="38"/>
  <c r="AD153" i="38"/>
  <c r="AB153" i="38"/>
  <c r="AA153" i="38"/>
  <c r="X153" i="38"/>
  <c r="V153" i="38"/>
  <c r="D153" i="38"/>
  <c r="AJ152" i="38"/>
  <c r="AI152" i="38"/>
  <c r="AH152" i="38"/>
  <c r="AF152" i="38"/>
  <c r="AE152" i="38"/>
  <c r="AD152" i="38"/>
  <c r="AB152" i="38"/>
  <c r="AA152" i="38"/>
  <c r="Z152" i="38"/>
  <c r="X152" i="38"/>
  <c r="W152" i="38"/>
  <c r="V152" i="38"/>
  <c r="E152" i="38"/>
  <c r="D152"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D142" i="38"/>
  <c r="E142" i="38"/>
  <c r="V142" i="38"/>
  <c r="W142" i="38"/>
  <c r="X142" i="38"/>
  <c r="Z142" i="38"/>
  <c r="AA142" i="38"/>
  <c r="AB142" i="38"/>
  <c r="AD142" i="38"/>
  <c r="AE142" i="38"/>
  <c r="AF142" i="38"/>
  <c r="AH142" i="38"/>
  <c r="AI142" i="38"/>
  <c r="AJ142" i="38"/>
  <c r="D143" i="38"/>
  <c r="E143" i="38"/>
  <c r="V143" i="38"/>
  <c r="W143" i="38"/>
  <c r="X143" i="38"/>
  <c r="Z143" i="38"/>
  <c r="AA143" i="38"/>
  <c r="AB143" i="38"/>
  <c r="AD143" i="38"/>
  <c r="AE143" i="38"/>
  <c r="AF143" i="38"/>
  <c r="AH143" i="38"/>
  <c r="AI143" i="38"/>
  <c r="AJ143" i="38"/>
  <c r="AJ144" i="38"/>
  <c r="AI144" i="38"/>
  <c r="AH144" i="38"/>
  <c r="AF144" i="38"/>
  <c r="AE144" i="38"/>
  <c r="AD144" i="38"/>
  <c r="AB144" i="38"/>
  <c r="AA144" i="38"/>
  <c r="Z144" i="38"/>
  <c r="X144" i="38"/>
  <c r="W144" i="38"/>
  <c r="V144" i="38"/>
  <c r="E144" i="38"/>
  <c r="D144" i="38"/>
  <c r="AJ139" i="38"/>
  <c r="AI139" i="38"/>
  <c r="AH139" i="38"/>
  <c r="AF139" i="38"/>
  <c r="AE139" i="38"/>
  <c r="AD139" i="38"/>
  <c r="AB139" i="38"/>
  <c r="AA139" i="38"/>
  <c r="Z139" i="38"/>
  <c r="X139" i="38"/>
  <c r="W139" i="38"/>
  <c r="V139" i="38"/>
  <c r="E139" i="38"/>
  <c r="D139" i="38"/>
  <c r="AJ146" i="38"/>
  <c r="AI146" i="38"/>
  <c r="AH146" i="38"/>
  <c r="AF146" i="38"/>
  <c r="AE146" i="38"/>
  <c r="AD146" i="38"/>
  <c r="AB146" i="38"/>
  <c r="AA146" i="38"/>
  <c r="Z146" i="38"/>
  <c r="W146" i="38"/>
  <c r="D146" i="38"/>
  <c r="AJ145" i="38"/>
  <c r="AI145" i="38"/>
  <c r="AH145" i="38"/>
  <c r="AF145" i="38"/>
  <c r="AE145" i="38"/>
  <c r="AD145" i="38"/>
  <c r="AB145" i="38"/>
  <c r="AA145" i="38"/>
  <c r="Z145" i="38"/>
  <c r="X145" i="38"/>
  <c r="W145" i="38"/>
  <c r="V145" i="38"/>
  <c r="E145" i="38"/>
  <c r="D145" i="38"/>
  <c r="AJ147" i="38"/>
  <c r="AI147" i="38"/>
  <c r="AH147" i="38"/>
  <c r="AF147" i="38"/>
  <c r="AE147" i="38"/>
  <c r="AD147" i="38"/>
  <c r="AB147" i="38"/>
  <c r="AA147" i="38"/>
  <c r="Z147" i="38"/>
  <c r="X147" i="38"/>
  <c r="W147" i="38"/>
  <c r="V147" i="38"/>
  <c r="E147" i="38"/>
  <c r="D147" i="38"/>
  <c r="AJ138" i="38"/>
  <c r="AI138" i="38"/>
  <c r="AH138" i="38"/>
  <c r="AF138" i="38"/>
  <c r="AE138" i="38"/>
  <c r="AD138" i="38"/>
  <c r="AB138" i="38"/>
  <c r="AA138" i="38"/>
  <c r="Z138" i="38"/>
  <c r="X138" i="38"/>
  <c r="W138" i="38"/>
  <c r="V138" i="38"/>
  <c r="E138" i="38"/>
  <c r="D138" i="38"/>
  <c r="AJ137" i="38"/>
  <c r="AI137" i="38"/>
  <c r="AH137" i="38"/>
  <c r="AF137" i="38"/>
  <c r="AE137" i="38"/>
  <c r="AD137" i="38"/>
  <c r="AB137" i="38"/>
  <c r="AA137" i="38"/>
  <c r="Z137" i="38"/>
  <c r="X137" i="38"/>
  <c r="W137" i="38"/>
  <c r="V137" i="38"/>
  <c r="E137" i="38"/>
  <c r="D137" i="38"/>
  <c r="AJ136" i="38"/>
  <c r="AI136" i="38"/>
  <c r="AH136" i="38"/>
  <c r="AF136" i="38"/>
  <c r="AE136" i="38"/>
  <c r="AD136" i="38"/>
  <c r="AB136" i="38"/>
  <c r="AA136" i="38"/>
  <c r="Z136" i="38"/>
  <c r="X136" i="38"/>
  <c r="W136" i="38"/>
  <c r="V136" i="38"/>
  <c r="E136" i="38"/>
  <c r="D136" i="38"/>
  <c r="AJ148" i="38"/>
  <c r="AI148" i="38"/>
  <c r="AH148" i="38"/>
  <c r="AF148" i="38"/>
  <c r="AE148" i="38"/>
  <c r="AD148" i="38"/>
  <c r="AB148" i="38"/>
  <c r="AA148" i="38"/>
  <c r="Z148" i="38"/>
  <c r="X148" i="38"/>
  <c r="W148" i="38"/>
  <c r="V148" i="38"/>
  <c r="E148" i="38"/>
  <c r="D148"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23" i="38"/>
  <c r="AI123" i="38"/>
  <c r="AH123" i="38"/>
  <c r="AF123" i="38"/>
  <c r="AE123" i="38"/>
  <c r="AD123" i="38"/>
  <c r="AB123" i="38"/>
  <c r="AA123" i="38"/>
  <c r="Z123" i="38"/>
  <c r="X123" i="38"/>
  <c r="W123" i="38"/>
  <c r="V123" i="38"/>
  <c r="E123" i="38"/>
  <c r="D123" i="38"/>
  <c r="AJ122" i="38"/>
  <c r="AI122" i="38"/>
  <c r="AH122" i="38"/>
  <c r="AF122" i="38"/>
  <c r="AE122" i="38"/>
  <c r="AD122" i="38"/>
  <c r="AB122" i="38"/>
  <c r="AA122" i="38"/>
  <c r="Z122" i="38"/>
  <c r="X122" i="38"/>
  <c r="W122" i="38"/>
  <c r="V122" i="38"/>
  <c r="E122" i="38"/>
  <c r="D122" i="38"/>
  <c r="AJ121" i="38"/>
  <c r="AI121" i="38"/>
  <c r="AH121" i="38"/>
  <c r="AF121" i="38"/>
  <c r="AE121" i="38"/>
  <c r="AD121" i="38"/>
  <c r="AB121" i="38"/>
  <c r="AA121" i="38"/>
  <c r="Z121" i="38"/>
  <c r="X121" i="38"/>
  <c r="W121" i="38"/>
  <c r="V121" i="38"/>
  <c r="E121" i="38"/>
  <c r="D12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13" i="38"/>
  <c r="AI113" i="38"/>
  <c r="AH113" i="38"/>
  <c r="AF113" i="38"/>
  <c r="AE113" i="38"/>
  <c r="AD113" i="38"/>
  <c r="AB113" i="38"/>
  <c r="AA113" i="38"/>
  <c r="Z113" i="38"/>
  <c r="X113" i="38"/>
  <c r="W113" i="38"/>
  <c r="V113" i="38"/>
  <c r="E113" i="38"/>
  <c r="D113" i="38"/>
  <c r="AJ112" i="38"/>
  <c r="AI112" i="38"/>
  <c r="AH112" i="38"/>
  <c r="AF112" i="38"/>
  <c r="AE112" i="38"/>
  <c r="AD112" i="38"/>
  <c r="AB112" i="38"/>
  <c r="AA112" i="38"/>
  <c r="Z112" i="38"/>
  <c r="X112" i="38"/>
  <c r="W112" i="38"/>
  <c r="V112" i="38"/>
  <c r="E112" i="38"/>
  <c r="D112" i="38"/>
  <c r="AJ111" i="38"/>
  <c r="AI111" i="38"/>
  <c r="AH111" i="38"/>
  <c r="AF111" i="38"/>
  <c r="AE111" i="38"/>
  <c r="AD111" i="38"/>
  <c r="AB111" i="38"/>
  <c r="AA111" i="38"/>
  <c r="Z111" i="38"/>
  <c r="X111" i="38"/>
  <c r="W111" i="38"/>
  <c r="V111" i="38"/>
  <c r="E111" i="38"/>
  <c r="D111" i="38"/>
  <c r="AJ110" i="38"/>
  <c r="AI110" i="38"/>
  <c r="AH110" i="38"/>
  <c r="AF110" i="38"/>
  <c r="AE110" i="38"/>
  <c r="AD110" i="38"/>
  <c r="AB110" i="38"/>
  <c r="AA110" i="38"/>
  <c r="Z110" i="38"/>
  <c r="X110" i="38"/>
  <c r="W110" i="38"/>
  <c r="V110" i="38"/>
  <c r="E110" i="38"/>
  <c r="D110"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I108" i="38"/>
  <c r="G108" i="38"/>
  <c r="AJ116" i="38"/>
  <c r="AI116" i="38"/>
  <c r="AH116" i="38"/>
  <c r="AF116" i="38"/>
  <c r="AE116" i="38"/>
  <c r="AD116" i="38"/>
  <c r="AB116" i="38"/>
  <c r="AA116" i="38"/>
  <c r="Z116" i="38"/>
  <c r="X116" i="38"/>
  <c r="W116" i="38"/>
  <c r="V116" i="38"/>
  <c r="E116" i="38"/>
  <c r="D116" i="38"/>
  <c r="AJ109" i="38"/>
  <c r="AI109" i="38"/>
  <c r="AH109" i="38"/>
  <c r="AF109" i="38"/>
  <c r="AE109" i="38"/>
  <c r="AD109" i="38"/>
  <c r="AB109" i="38"/>
  <c r="AA109" i="38"/>
  <c r="Z109" i="38"/>
  <c r="X109" i="38"/>
  <c r="W109" i="38"/>
  <c r="V109" i="38"/>
  <c r="E109" i="38"/>
  <c r="D109" i="38"/>
  <c r="AJ117" i="38"/>
  <c r="AI117" i="38"/>
  <c r="AH117" i="38"/>
  <c r="AF117" i="38"/>
  <c r="AE117" i="38"/>
  <c r="AD117" i="38"/>
  <c r="AB117" i="38"/>
  <c r="AA117" i="38"/>
  <c r="Z117" i="38"/>
  <c r="X117" i="38"/>
  <c r="W117" i="38"/>
  <c r="V117" i="38"/>
  <c r="E117" i="38"/>
  <c r="D117" i="38"/>
  <c r="AJ75" i="38"/>
  <c r="AI75" i="38"/>
  <c r="AH75" i="38"/>
  <c r="AF75" i="38"/>
  <c r="AE75" i="38"/>
  <c r="AD75" i="38"/>
  <c r="AB75" i="38"/>
  <c r="AA75" i="38"/>
  <c r="Z75" i="38"/>
  <c r="X75" i="38"/>
  <c r="W75" i="38"/>
  <c r="V75" i="38"/>
  <c r="E75" i="38"/>
  <c r="D75" i="38"/>
  <c r="AJ74" i="38"/>
  <c r="AI74" i="38"/>
  <c r="AH74" i="38"/>
  <c r="AF74" i="38"/>
  <c r="AE74" i="38"/>
  <c r="AD74" i="38"/>
  <c r="AB74" i="38"/>
  <c r="AA74" i="38"/>
  <c r="Z74" i="38"/>
  <c r="X74" i="38"/>
  <c r="W74" i="38"/>
  <c r="V74" i="38"/>
  <c r="E74" i="38"/>
  <c r="D74" i="38"/>
  <c r="AJ76" i="38"/>
  <c r="AI76" i="38"/>
  <c r="AH76" i="38"/>
  <c r="AF76" i="38"/>
  <c r="AE76" i="38"/>
  <c r="AD76" i="38"/>
  <c r="AB76" i="38"/>
  <c r="AA76" i="38"/>
  <c r="Z76" i="38"/>
  <c r="X76" i="38"/>
  <c r="W76" i="38"/>
  <c r="V76" i="38"/>
  <c r="E76" i="38"/>
  <c r="D76" i="38"/>
  <c r="AJ81" i="38"/>
  <c r="AI81" i="38"/>
  <c r="AH81" i="38"/>
  <c r="AF81" i="38"/>
  <c r="AE81" i="38"/>
  <c r="AD81" i="38"/>
  <c r="AB81" i="38"/>
  <c r="AA81" i="38"/>
  <c r="Z81" i="38"/>
  <c r="X81" i="38"/>
  <c r="W81" i="38"/>
  <c r="V81" i="38"/>
  <c r="E81" i="38"/>
  <c r="D81" i="38"/>
  <c r="D82" i="38"/>
  <c r="E82" i="38"/>
  <c r="V82" i="38"/>
  <c r="W82" i="38"/>
  <c r="X82" i="38"/>
  <c r="Z82" i="38"/>
  <c r="AA82" i="38"/>
  <c r="AB82" i="38"/>
  <c r="AD82" i="38"/>
  <c r="AE82" i="38"/>
  <c r="AF82" i="38"/>
  <c r="AH82" i="38"/>
  <c r="AI82" i="38"/>
  <c r="AJ82" i="38"/>
  <c r="AJ79" i="38"/>
  <c r="AI79" i="38"/>
  <c r="AH79" i="38"/>
  <c r="AF79" i="38"/>
  <c r="AE79" i="38"/>
  <c r="AD79" i="38"/>
  <c r="AB79" i="38"/>
  <c r="AA79" i="38"/>
  <c r="Z79" i="38"/>
  <c r="X79" i="38"/>
  <c r="W79" i="38"/>
  <c r="V79" i="38"/>
  <c r="E79" i="38"/>
  <c r="D79" i="38"/>
  <c r="AJ77" i="38"/>
  <c r="AI77" i="38"/>
  <c r="AH77" i="38"/>
  <c r="AF77" i="38"/>
  <c r="AE77" i="38"/>
  <c r="AD77" i="38"/>
  <c r="AB77" i="38"/>
  <c r="AA77" i="38"/>
  <c r="Z77" i="38"/>
  <c r="X77" i="38"/>
  <c r="W77" i="38"/>
  <c r="V77" i="38"/>
  <c r="E77" i="38"/>
  <c r="D77" i="38"/>
  <c r="AJ78" i="38"/>
  <c r="AI78" i="38"/>
  <c r="AH78" i="38"/>
  <c r="AF78" i="38"/>
  <c r="AE78" i="38"/>
  <c r="AD78" i="38"/>
  <c r="AB78" i="38"/>
  <c r="AA78" i="38"/>
  <c r="Z78" i="38"/>
  <c r="X78" i="38"/>
  <c r="W78" i="38"/>
  <c r="V78" i="38"/>
  <c r="E78" i="38"/>
  <c r="D78" i="38"/>
  <c r="AJ70" i="38"/>
  <c r="AI70" i="38"/>
  <c r="AH70" i="38"/>
  <c r="AF70" i="38"/>
  <c r="AE70" i="38"/>
  <c r="AD70" i="38"/>
  <c r="AB70" i="38"/>
  <c r="AA70" i="38"/>
  <c r="Z70" i="38"/>
  <c r="X70" i="38"/>
  <c r="W70" i="38"/>
  <c r="V70" i="38"/>
  <c r="E70" i="38"/>
  <c r="D70" i="38"/>
  <c r="D71" i="38"/>
  <c r="E71" i="38"/>
  <c r="V71" i="38"/>
  <c r="W71" i="38"/>
  <c r="X71" i="38"/>
  <c r="Z71" i="38"/>
  <c r="AA71" i="38"/>
  <c r="AB71" i="38"/>
  <c r="AD71" i="38"/>
  <c r="AE71" i="38"/>
  <c r="AF71" i="38"/>
  <c r="AH71" i="38"/>
  <c r="AI71" i="38"/>
  <c r="AJ71" i="38"/>
  <c r="AJ69" i="38"/>
  <c r="AI69" i="38"/>
  <c r="AH69" i="38"/>
  <c r="AF69" i="38"/>
  <c r="AE69" i="38"/>
  <c r="AD69" i="38"/>
  <c r="AB69" i="38"/>
  <c r="AA69" i="38"/>
  <c r="Z69" i="38"/>
  <c r="X69" i="38"/>
  <c r="W69" i="38"/>
  <c r="V69" i="38"/>
  <c r="E69" i="38"/>
  <c r="D69" i="38"/>
  <c r="AJ68" i="38"/>
  <c r="AI68" i="38"/>
  <c r="AH68" i="38"/>
  <c r="AF68" i="38"/>
  <c r="AE68" i="38"/>
  <c r="AD68" i="38"/>
  <c r="AB68" i="38"/>
  <c r="AA68" i="38"/>
  <c r="Z68" i="38"/>
  <c r="X68" i="38"/>
  <c r="W68" i="38"/>
  <c r="V68" i="38"/>
  <c r="E68" i="38"/>
  <c r="D68" i="38"/>
  <c r="D72" i="38"/>
  <c r="E72" i="38"/>
  <c r="V72" i="38"/>
  <c r="W72" i="38"/>
  <c r="X72" i="38"/>
  <c r="Z72" i="38"/>
  <c r="AA72" i="38"/>
  <c r="AB72" i="38"/>
  <c r="AD72" i="38"/>
  <c r="AE72" i="38"/>
  <c r="AF72" i="38"/>
  <c r="AH72" i="38"/>
  <c r="AI72" i="38"/>
  <c r="AJ72" i="38"/>
  <c r="I60" i="38"/>
  <c r="G60" i="38"/>
  <c r="AJ63" i="38"/>
  <c r="AI63" i="38"/>
  <c r="AH63" i="38"/>
  <c r="AF63" i="38"/>
  <c r="AE63" i="38"/>
  <c r="AD63" i="38"/>
  <c r="AB63" i="38"/>
  <c r="AA63" i="38"/>
  <c r="Z63" i="38"/>
  <c r="X63" i="38"/>
  <c r="W63" i="38"/>
  <c r="V63" i="38"/>
  <c r="E63" i="38"/>
  <c r="D63" i="38"/>
  <c r="AJ64" i="38"/>
  <c r="AI64" i="38"/>
  <c r="AH64" i="38"/>
  <c r="AF64" i="38"/>
  <c r="AE64" i="38"/>
  <c r="AD64" i="38"/>
  <c r="AB64" i="38"/>
  <c r="AA64" i="38"/>
  <c r="Z64" i="38"/>
  <c r="X64" i="38"/>
  <c r="W64" i="38"/>
  <c r="V64" i="38"/>
  <c r="E64" i="38"/>
  <c r="D64" i="38"/>
  <c r="AJ61" i="38"/>
  <c r="AI61" i="38"/>
  <c r="AH61" i="38"/>
  <c r="AF61" i="38"/>
  <c r="AE61" i="38"/>
  <c r="AD61" i="38"/>
  <c r="AB61" i="38"/>
  <c r="AA61" i="38"/>
  <c r="Z61" i="38"/>
  <c r="X61" i="38"/>
  <c r="W61" i="38"/>
  <c r="V61" i="38"/>
  <c r="E61" i="38"/>
  <c r="D61"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99" i="38"/>
  <c r="AI99" i="38"/>
  <c r="AH99" i="38"/>
  <c r="AF99" i="38"/>
  <c r="AE99" i="38"/>
  <c r="AD99" i="38"/>
  <c r="AB99" i="38"/>
  <c r="AA99" i="38"/>
  <c r="Z99" i="38"/>
  <c r="X99" i="38"/>
  <c r="W99" i="38"/>
  <c r="V99" i="38"/>
  <c r="E99" i="38"/>
  <c r="D99" i="38"/>
  <c r="AJ98" i="38"/>
  <c r="AI98" i="38"/>
  <c r="AH98" i="38"/>
  <c r="AF98" i="38"/>
  <c r="AE98" i="38"/>
  <c r="AD98" i="38"/>
  <c r="AB98" i="38"/>
  <c r="AA98" i="38"/>
  <c r="Z98" i="38"/>
  <c r="X98" i="38"/>
  <c r="W98" i="38"/>
  <c r="V98" i="38"/>
  <c r="E98" i="38"/>
  <c r="D98" i="38"/>
  <c r="AJ97" i="38"/>
  <c r="AI97" i="38"/>
  <c r="AH97" i="38"/>
  <c r="AF97" i="38"/>
  <c r="AE97" i="38"/>
  <c r="AD97" i="38"/>
  <c r="AB97" i="38"/>
  <c r="AA97" i="38"/>
  <c r="Z97" i="38"/>
  <c r="X97" i="38"/>
  <c r="W97" i="38"/>
  <c r="V97" i="38"/>
  <c r="E97" i="38"/>
  <c r="D97" i="38"/>
  <c r="AJ102" i="38"/>
  <c r="AI102" i="38"/>
  <c r="AH102" i="38"/>
  <c r="AF102" i="38"/>
  <c r="AE102" i="38"/>
  <c r="AD102" i="38"/>
  <c r="AB102" i="38"/>
  <c r="AA102" i="38"/>
  <c r="Z102" i="38"/>
  <c r="X102" i="38"/>
  <c r="W102" i="38"/>
  <c r="V102" i="38"/>
  <c r="E102" i="38"/>
  <c r="D102" i="38"/>
  <c r="AJ103" i="38"/>
  <c r="AI103" i="38"/>
  <c r="AH103" i="38"/>
  <c r="AF103" i="38"/>
  <c r="AE103" i="38"/>
  <c r="AD103" i="38"/>
  <c r="AB103" i="38"/>
  <c r="AA103" i="38"/>
  <c r="Z103" i="38"/>
  <c r="X103" i="38"/>
  <c r="W103" i="38"/>
  <c r="V103" i="38"/>
  <c r="E103" i="38"/>
  <c r="D103" i="38"/>
  <c r="AJ104" i="38"/>
  <c r="AI104" i="38"/>
  <c r="AH104" i="38"/>
  <c r="AF104" i="38"/>
  <c r="AE104" i="38"/>
  <c r="AD104" i="38"/>
  <c r="AB104" i="38"/>
  <c r="AA104" i="38"/>
  <c r="Z104" i="38"/>
  <c r="X104" i="38"/>
  <c r="W104" i="38"/>
  <c r="V104" i="38"/>
  <c r="E104" i="38"/>
  <c r="D104" i="38"/>
  <c r="AJ105" i="38"/>
  <c r="AI105" i="38"/>
  <c r="AH105" i="38"/>
  <c r="AF105" i="38"/>
  <c r="AE105" i="38"/>
  <c r="AD105" i="38"/>
  <c r="AB105" i="38"/>
  <c r="AA105" i="38"/>
  <c r="Z105" i="38"/>
  <c r="X105" i="38"/>
  <c r="W105" i="38"/>
  <c r="V105" i="38"/>
  <c r="E105" i="38"/>
  <c r="D105" i="38"/>
  <c r="I35" i="38"/>
  <c r="G35" i="38"/>
  <c r="AJ106" i="38"/>
  <c r="AI106" i="38"/>
  <c r="AH106" i="38"/>
  <c r="AF106" i="38"/>
  <c r="AE106" i="38"/>
  <c r="AD106" i="38"/>
  <c r="AB106" i="38"/>
  <c r="AA106" i="38"/>
  <c r="Z106" i="38"/>
  <c r="X106" i="38"/>
  <c r="W106" i="38"/>
  <c r="V106" i="38"/>
  <c r="E106" i="38"/>
  <c r="D106" i="38"/>
  <c r="AJ96" i="38"/>
  <c r="AI96" i="38"/>
  <c r="AH96" i="38"/>
  <c r="AF96" i="38"/>
  <c r="AE96" i="38"/>
  <c r="AD96" i="38"/>
  <c r="AB96" i="38"/>
  <c r="AA96" i="38"/>
  <c r="Z96" i="38"/>
  <c r="X96" i="38"/>
  <c r="W96" i="38"/>
  <c r="E96"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53" i="38"/>
  <c r="AI53" i="38"/>
  <c r="AH53" i="38"/>
  <c r="AF53" i="38"/>
  <c r="AE53" i="38"/>
  <c r="AD53" i="38"/>
  <c r="AB53" i="38"/>
  <c r="AA53" i="38"/>
  <c r="Z53" i="38"/>
  <c r="X53" i="38"/>
  <c r="W53" i="38"/>
  <c r="V53" i="38"/>
  <c r="E53" i="38"/>
  <c r="D53"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V57" i="38"/>
  <c r="D57" i="38"/>
  <c r="AJ58" i="38"/>
  <c r="AI58" i="38"/>
  <c r="AH58" i="38"/>
  <c r="AF58" i="38"/>
  <c r="AE58" i="38"/>
  <c r="AD58" i="38"/>
  <c r="AB58" i="38"/>
  <c r="AA58" i="38"/>
  <c r="Z58" i="38"/>
  <c r="X58" i="38"/>
  <c r="W58" i="38"/>
  <c r="V58" i="38"/>
  <c r="E58" i="38"/>
  <c r="D58" i="38"/>
  <c r="D59" i="38"/>
  <c r="E59" i="38"/>
  <c r="V59" i="38"/>
  <c r="W59" i="38"/>
  <c r="X59" i="38"/>
  <c r="Z59" i="38"/>
  <c r="AA59" i="38"/>
  <c r="AB59" i="38"/>
  <c r="AD59" i="38"/>
  <c r="AE59" i="38"/>
  <c r="AF59" i="38"/>
  <c r="AH59" i="38"/>
  <c r="AI59" i="38"/>
  <c r="AJ59"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5" i="38"/>
  <c r="AI45" i="38"/>
  <c r="AH45" i="38"/>
  <c r="AF45" i="38"/>
  <c r="AE45" i="38"/>
  <c r="AD45" i="38"/>
  <c r="AB45" i="38"/>
  <c r="AA45" i="38"/>
  <c r="Z45" i="38"/>
  <c r="X45" i="38"/>
  <c r="W45" i="38"/>
  <c r="V45" i="38"/>
  <c r="E45" i="38"/>
  <c r="D45"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40" i="38"/>
  <c r="AI40" i="38"/>
  <c r="AH40" i="38"/>
  <c r="AF40" i="38"/>
  <c r="AE40" i="38"/>
  <c r="AD40" i="38"/>
  <c r="AB40" i="38"/>
  <c r="AA40" i="38"/>
  <c r="Z40" i="38"/>
  <c r="X40" i="38"/>
  <c r="W40" i="38"/>
  <c r="V40" i="38"/>
  <c r="E40" i="38"/>
  <c r="D40" i="38"/>
  <c r="AJ41" i="38"/>
  <c r="AI41" i="38"/>
  <c r="AH41" i="38"/>
  <c r="AF41" i="38"/>
  <c r="AE41" i="38"/>
  <c r="AD41" i="38"/>
  <c r="AB41" i="38"/>
  <c r="AA41" i="38"/>
  <c r="Z41" i="38"/>
  <c r="X41" i="38"/>
  <c r="W41" i="38"/>
  <c r="V41" i="38"/>
  <c r="E41" i="38"/>
  <c r="D41" i="38"/>
  <c r="AJ38" i="38"/>
  <c r="AI38" i="38"/>
  <c r="AH38" i="38"/>
  <c r="AF38" i="38"/>
  <c r="AE38" i="38"/>
  <c r="AD38" i="38"/>
  <c r="AB38" i="38"/>
  <c r="AA38" i="38"/>
  <c r="Z38" i="38"/>
  <c r="X38" i="38"/>
  <c r="W38" i="38"/>
  <c r="V38" i="38"/>
  <c r="E38" i="38"/>
  <c r="D38" i="38"/>
  <c r="AJ36" i="38"/>
  <c r="AI36" i="38"/>
  <c r="AH36" i="38"/>
  <c r="AF36" i="38"/>
  <c r="AE36" i="38"/>
  <c r="AD36" i="38"/>
  <c r="AB36" i="38"/>
  <c r="AA36" i="38"/>
  <c r="Z36" i="38"/>
  <c r="X36" i="38"/>
  <c r="W36" i="38"/>
  <c r="D36" i="38"/>
  <c r="AJ37" i="38"/>
  <c r="AI37" i="38"/>
  <c r="AH37" i="38"/>
  <c r="AF37" i="38"/>
  <c r="AE37" i="38"/>
  <c r="AD37" i="38"/>
  <c r="AB37" i="38"/>
  <c r="AA37" i="38"/>
  <c r="Z37" i="38"/>
  <c r="X37" i="38"/>
  <c r="W37" i="38"/>
  <c r="V37" i="38"/>
  <c r="E37" i="38"/>
  <c r="D37" i="38"/>
  <c r="AI33" i="38"/>
  <c r="AH33" i="38"/>
  <c r="AF33" i="38"/>
  <c r="AE33" i="38"/>
  <c r="AD33" i="38"/>
  <c r="AB33" i="38"/>
  <c r="AA33" i="38"/>
  <c r="Z33" i="38"/>
  <c r="X33" i="38"/>
  <c r="W33" i="38"/>
  <c r="V33" i="38"/>
  <c r="D33"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AJ91" i="38"/>
  <c r="AI91" i="38"/>
  <c r="AH91" i="38"/>
  <c r="AF91" i="38"/>
  <c r="AE91" i="38"/>
  <c r="AD91" i="38"/>
  <c r="AB91" i="38"/>
  <c r="AA91" i="38"/>
  <c r="Z91" i="38"/>
  <c r="X91" i="38"/>
  <c r="W91" i="38"/>
  <c r="V91" i="38"/>
  <c r="E91" i="38"/>
  <c r="D91" i="38"/>
  <c r="AJ92" i="38"/>
  <c r="AI92" i="38"/>
  <c r="AH92" i="38"/>
  <c r="AF92" i="38"/>
  <c r="AE92" i="38"/>
  <c r="AD92" i="38"/>
  <c r="AB92" i="38"/>
  <c r="AA92" i="38"/>
  <c r="Z92" i="38"/>
  <c r="X92" i="38"/>
  <c r="W92" i="38"/>
  <c r="V92" i="38"/>
  <c r="E92" i="38"/>
  <c r="D92" i="38"/>
  <c r="AJ86" i="38"/>
  <c r="AI86" i="38"/>
  <c r="AH86" i="38"/>
  <c r="AF86" i="38"/>
  <c r="AE86" i="38"/>
  <c r="AD86" i="38"/>
  <c r="AB86" i="38"/>
  <c r="AA86" i="38"/>
  <c r="Z86" i="38"/>
  <c r="X86" i="38"/>
  <c r="W86" i="38"/>
  <c r="V86" i="38"/>
  <c r="E86" i="38"/>
  <c r="D86" i="38"/>
  <c r="AJ87" i="38"/>
  <c r="AI87" i="38"/>
  <c r="AH87" i="38"/>
  <c r="AF87" i="38"/>
  <c r="AE87" i="38"/>
  <c r="AD87" i="38"/>
  <c r="AB87" i="38"/>
  <c r="AA87" i="38"/>
  <c r="Z87" i="38"/>
  <c r="X87" i="38"/>
  <c r="W87" i="38"/>
  <c r="V87" i="38"/>
  <c r="E87" i="38"/>
  <c r="D87" i="38"/>
  <c r="D88" i="38"/>
  <c r="E88" i="38"/>
  <c r="V88" i="38"/>
  <c r="W88" i="38"/>
  <c r="X88" i="38"/>
  <c r="Z88" i="38"/>
  <c r="AA88" i="38"/>
  <c r="AB88" i="38"/>
  <c r="AD88" i="38"/>
  <c r="AE88" i="38"/>
  <c r="AF88" i="38"/>
  <c r="AH88" i="38"/>
  <c r="AI88" i="38"/>
  <c r="AJ88" i="38"/>
  <c r="AJ31" i="38"/>
  <c r="AI31" i="38"/>
  <c r="AH31" i="38"/>
  <c r="AF31" i="38"/>
  <c r="AE31" i="38"/>
  <c r="AD31" i="38"/>
  <c r="AB31" i="38"/>
  <c r="AA31" i="38"/>
  <c r="Z31" i="38"/>
  <c r="X31" i="38"/>
  <c r="W31" i="38"/>
  <c r="V31" i="38"/>
  <c r="E31" i="38"/>
  <c r="D31" i="38"/>
  <c r="D32" i="38"/>
  <c r="E32" i="38"/>
  <c r="V32" i="38"/>
  <c r="W32" i="38"/>
  <c r="X32" i="38"/>
  <c r="Z32" i="38"/>
  <c r="AA32" i="38"/>
  <c r="AB32" i="38"/>
  <c r="AD32" i="38"/>
  <c r="AE32" i="38"/>
  <c r="AF32" i="38"/>
  <c r="AH32" i="38"/>
  <c r="AI32" i="38"/>
  <c r="AJ32" i="38"/>
  <c r="AJ29" i="38"/>
  <c r="AI29" i="38"/>
  <c r="AH29" i="38"/>
  <c r="AF29" i="38"/>
  <c r="AE29" i="38"/>
  <c r="AD29" i="38"/>
  <c r="AB29" i="38"/>
  <c r="AA29" i="38"/>
  <c r="Z29" i="38"/>
  <c r="X29" i="38"/>
  <c r="W29" i="38"/>
  <c r="AJ30" i="38"/>
  <c r="AI30" i="38"/>
  <c r="AH30" i="38"/>
  <c r="AF30" i="38"/>
  <c r="AE30" i="38"/>
  <c r="AD30" i="38"/>
  <c r="AB30" i="38"/>
  <c r="AA30" i="38"/>
  <c r="Z30" i="38"/>
  <c r="X30" i="38"/>
  <c r="W30" i="38"/>
  <c r="V30" i="38"/>
  <c r="E30" i="38"/>
  <c r="D30" i="38"/>
  <c r="AJ27" i="38"/>
  <c r="AI27" i="38"/>
  <c r="AH27" i="38"/>
  <c r="AF27" i="38"/>
  <c r="AE27" i="38"/>
  <c r="AD27" i="38"/>
  <c r="AB27" i="38"/>
  <c r="AA27" i="38"/>
  <c r="Z27" i="38"/>
  <c r="X27" i="38"/>
  <c r="W27" i="38"/>
  <c r="V27" i="38"/>
  <c r="E27" i="38"/>
  <c r="D27" i="38"/>
  <c r="D28" i="38"/>
  <c r="E28" i="38"/>
  <c r="V28" i="38"/>
  <c r="W28" i="38"/>
  <c r="X28" i="38"/>
  <c r="Z28" i="38"/>
  <c r="AA28" i="38"/>
  <c r="AB28" i="38"/>
  <c r="AD28" i="38"/>
  <c r="AE28" i="38"/>
  <c r="AF28" i="38"/>
  <c r="AH28" i="38"/>
  <c r="AI28" i="38"/>
  <c r="AJ28" i="38"/>
  <c r="AJ26" i="38"/>
  <c r="AI26" i="38"/>
  <c r="AH26" i="38"/>
  <c r="AF26" i="38"/>
  <c r="AE26" i="38"/>
  <c r="AD26" i="38"/>
  <c r="AB26" i="38"/>
  <c r="AA26" i="38"/>
  <c r="Z26" i="38"/>
  <c r="X26" i="38"/>
  <c r="W26" i="38"/>
  <c r="D26" i="38"/>
  <c r="AJ24" i="38"/>
  <c r="AI24" i="38"/>
  <c r="AH24" i="38"/>
  <c r="AF24" i="38"/>
  <c r="AE24" i="38"/>
  <c r="AD24" i="38"/>
  <c r="AB24" i="38"/>
  <c r="AA24" i="38"/>
  <c r="Z24" i="38"/>
  <c r="W24" i="38"/>
  <c r="D24" i="38"/>
  <c r="AJ23" i="38"/>
  <c r="AI23" i="38"/>
  <c r="AH23" i="38"/>
  <c r="AF23" i="38"/>
  <c r="AE23" i="38"/>
  <c r="AD23" i="38"/>
  <c r="AB23" i="38"/>
  <c r="AA23" i="38"/>
  <c r="Z23" i="38"/>
  <c r="X23" i="38"/>
  <c r="W23" i="38"/>
  <c r="V23" i="38"/>
  <c r="E23" i="38"/>
  <c r="D23" i="38"/>
  <c r="AJ22" i="38"/>
  <c r="AI22" i="38"/>
  <c r="AH22" i="38"/>
  <c r="AF22" i="38"/>
  <c r="AE22" i="38"/>
  <c r="AD22" i="38"/>
  <c r="AB22" i="38"/>
  <c r="AA22" i="38"/>
  <c r="Z22" i="38"/>
  <c r="X22" i="38"/>
  <c r="W22" i="38"/>
  <c r="V22" i="38"/>
  <c r="E22" i="38"/>
  <c r="D22" i="38"/>
  <c r="AJ21" i="38"/>
  <c r="AI21" i="38"/>
  <c r="AH21" i="38"/>
  <c r="AF21" i="38"/>
  <c r="AE21" i="38"/>
  <c r="AD21" i="38"/>
  <c r="AB21" i="38"/>
  <c r="AA21" i="38"/>
  <c r="Z21" i="38"/>
  <c r="X21" i="38"/>
  <c r="W21" i="38"/>
  <c r="V21" i="38"/>
  <c r="E21" i="38"/>
  <c r="D21" i="38"/>
  <c r="D19" i="38"/>
  <c r="E19" i="38"/>
  <c r="V19" i="38"/>
  <c r="W19" i="38"/>
  <c r="X19" i="38"/>
  <c r="Z19" i="38"/>
  <c r="AA19" i="38"/>
  <c r="AB19" i="38"/>
  <c r="AD19" i="38"/>
  <c r="AE19" i="38"/>
  <c r="AF19" i="38"/>
  <c r="AH19" i="38"/>
  <c r="AI19" i="38"/>
  <c r="AJ19" i="38"/>
  <c r="AJ17" i="38"/>
  <c r="AI17" i="38"/>
  <c r="AH17" i="38"/>
  <c r="AF17" i="38"/>
  <c r="AE17" i="38"/>
  <c r="AD17" i="38"/>
  <c r="AB17" i="38"/>
  <c r="AA17" i="38"/>
  <c r="Z17" i="38"/>
  <c r="X17" i="38"/>
  <c r="W17" i="38"/>
  <c r="V17" i="38"/>
  <c r="E17" i="38"/>
  <c r="D17" i="38"/>
  <c r="D16" i="38"/>
  <c r="E16" i="38"/>
  <c r="V16" i="38"/>
  <c r="W16" i="38"/>
  <c r="X16" i="38"/>
  <c r="Z16" i="38"/>
  <c r="AA16" i="38"/>
  <c r="AB16" i="38"/>
  <c r="AD16" i="38"/>
  <c r="AE16" i="38"/>
  <c r="AF16" i="38"/>
  <c r="AH16" i="38"/>
  <c r="AI16" i="38"/>
  <c r="AJ16" i="38"/>
  <c r="AJ15" i="38"/>
  <c r="AI15" i="38"/>
  <c r="AH15" i="38"/>
  <c r="AF15" i="38"/>
  <c r="AE15" i="38"/>
  <c r="AD15" i="38"/>
  <c r="AB15" i="38"/>
  <c r="AA15" i="38"/>
  <c r="Z15" i="38"/>
  <c r="X15" i="38"/>
  <c r="W15" i="38"/>
  <c r="V15" i="38"/>
  <c r="E15" i="38"/>
  <c r="D15" i="38"/>
  <c r="AJ14" i="38"/>
  <c r="AI14" i="38"/>
  <c r="AH14" i="38"/>
  <c r="AF14" i="38"/>
  <c r="AE14" i="38"/>
  <c r="AD14" i="38"/>
  <c r="AB14" i="38"/>
  <c r="AA14" i="38"/>
  <c r="Z14" i="38"/>
  <c r="X14" i="38"/>
  <c r="W14" i="38"/>
  <c r="V14" i="38"/>
  <c r="E14" i="38"/>
  <c r="D14" i="38"/>
  <c r="AJ13" i="38"/>
  <c r="AI13" i="38"/>
  <c r="AH13" i="38"/>
  <c r="AF13" i="38"/>
  <c r="AE13" i="38"/>
  <c r="AD13" i="38"/>
  <c r="AB13" i="38"/>
  <c r="AA13" i="38"/>
  <c r="Z13" i="38"/>
  <c r="X13" i="38"/>
  <c r="W13" i="38"/>
  <c r="V13" i="38"/>
  <c r="E13" i="38"/>
  <c r="D13" i="38"/>
  <c r="AJ12" i="38"/>
  <c r="AI12" i="38"/>
  <c r="AH12" i="38"/>
  <c r="AF12" i="38"/>
  <c r="AE12" i="38"/>
  <c r="AD12" i="38"/>
  <c r="AB12" i="38"/>
  <c r="AA12" i="38"/>
  <c r="X12" i="38"/>
  <c r="W12" i="38"/>
  <c r="D12" i="38"/>
  <c r="D20" i="38"/>
  <c r="E20" i="38"/>
  <c r="V20" i="38"/>
  <c r="W20" i="38"/>
  <c r="X20" i="38"/>
  <c r="Z20" i="38"/>
  <c r="AA20" i="38"/>
  <c r="AB20" i="38"/>
  <c r="AD20" i="38"/>
  <c r="AE20" i="38"/>
  <c r="AF20" i="38"/>
  <c r="AH20" i="38"/>
  <c r="AI20" i="38"/>
  <c r="AJ20" i="38"/>
  <c r="D28" i="7" l="1"/>
  <c r="W560" i="38"/>
  <c r="AB560" i="38"/>
  <c r="V578" i="38"/>
  <c r="AA578" i="38"/>
  <c r="AF578" i="38"/>
  <c r="X560" i="38"/>
  <c r="AI560" i="38"/>
  <c r="AH560" i="38"/>
  <c r="AB578" i="38"/>
  <c r="AH578" i="38"/>
  <c r="E578" i="38"/>
  <c r="AE578" i="38"/>
  <c r="AJ578" i="38"/>
  <c r="D560" i="38"/>
  <c r="Z560" i="38"/>
  <c r="AE560" i="38"/>
  <c r="AJ560" i="38"/>
  <c r="F568" i="38"/>
  <c r="J568" i="38" s="1"/>
  <c r="F573" i="38"/>
  <c r="H573" i="38" s="1"/>
  <c r="F577" i="38"/>
  <c r="H577" i="38" s="1"/>
  <c r="X578" i="38"/>
  <c r="AD578" i="38"/>
  <c r="AI578" i="38"/>
  <c r="E560" i="38"/>
  <c r="V560" i="38"/>
  <c r="AA560" i="38"/>
  <c r="AF560" i="38"/>
  <c r="F563" i="38"/>
  <c r="J563" i="38" s="1"/>
  <c r="AK563" i="38"/>
  <c r="F571" i="38"/>
  <c r="H571" i="38" s="1"/>
  <c r="F575" i="38"/>
  <c r="J575" i="38" s="1"/>
  <c r="F580" i="38"/>
  <c r="J580" i="38" s="1"/>
  <c r="AG581" i="38"/>
  <c r="AG561" i="38"/>
  <c r="AG573" i="38"/>
  <c r="F581" i="38"/>
  <c r="H581" i="38" s="1"/>
  <c r="AD560" i="38"/>
  <c r="F562" i="38"/>
  <c r="H562" i="38" s="1"/>
  <c r="Y569" i="38"/>
  <c r="F570" i="38"/>
  <c r="H570" i="38" s="1"/>
  <c r="AC574" i="38"/>
  <c r="F579" i="38"/>
  <c r="J579" i="38" s="1"/>
  <c r="AK580" i="38"/>
  <c r="Y561" i="38"/>
  <c r="AC562" i="38"/>
  <c r="AG566" i="38"/>
  <c r="Y570" i="38"/>
  <c r="Y565" i="38"/>
  <c r="F566" i="38"/>
  <c r="J566" i="38" s="1"/>
  <c r="Y567" i="38"/>
  <c r="AC568" i="38"/>
  <c r="F569" i="38"/>
  <c r="H569" i="38" s="1"/>
  <c r="AK570" i="38"/>
  <c r="AG579" i="38"/>
  <c r="AK583" i="38"/>
  <c r="AC571" i="38"/>
  <c r="F572" i="38"/>
  <c r="J572" i="38" s="1"/>
  <c r="Y574" i="38"/>
  <c r="AG582" i="38"/>
  <c r="F561" i="38"/>
  <c r="H561" i="38" s="1"/>
  <c r="AG562" i="38"/>
  <c r="F564" i="38"/>
  <c r="H564" i="38" s="1"/>
  <c r="AK566" i="38"/>
  <c r="F567" i="38"/>
  <c r="H567" i="38" s="1"/>
  <c r="F574" i="38"/>
  <c r="AG575" i="38"/>
  <c r="F576" i="38"/>
  <c r="H576" i="38" s="1"/>
  <c r="AG577" i="38"/>
  <c r="AC582" i="38"/>
  <c r="J571" i="38"/>
  <c r="AG563" i="38"/>
  <c r="AK564" i="38"/>
  <c r="AK567" i="38"/>
  <c r="Y571" i="38"/>
  <c r="AC572" i="38"/>
  <c r="AC575" i="38"/>
  <c r="AG567" i="38"/>
  <c r="AG570" i="38"/>
  <c r="AK574" i="38"/>
  <c r="Y575" i="38"/>
  <c r="AC576" i="38"/>
  <c r="AC579" i="38"/>
  <c r="AG583" i="38"/>
  <c r="Y562" i="38"/>
  <c r="AC563" i="38"/>
  <c r="AG565" i="38"/>
  <c r="AC566" i="38"/>
  <c r="AK568" i="38"/>
  <c r="AK571" i="38"/>
  <c r="Y573" i="38"/>
  <c r="AK562" i="38"/>
  <c r="Y563" i="38"/>
  <c r="AC564" i="38"/>
  <c r="F565" i="38"/>
  <c r="H565" i="38" s="1"/>
  <c r="Y566" i="38"/>
  <c r="AC567" i="38"/>
  <c r="AG569" i="38"/>
  <c r="AC570" i="38"/>
  <c r="AG571" i="38"/>
  <c r="AK572" i="38"/>
  <c r="AG574" i="38"/>
  <c r="AK575" i="38"/>
  <c r="Y577" i="38"/>
  <c r="Y579" i="38"/>
  <c r="AC580" i="38"/>
  <c r="Y582" i="38"/>
  <c r="AK576" i="38"/>
  <c r="AK579" i="38"/>
  <c r="Y581" i="38"/>
  <c r="F582" i="38"/>
  <c r="AK582" i="38"/>
  <c r="AK561" i="38"/>
  <c r="AG564" i="38"/>
  <c r="AK565" i="38"/>
  <c r="AG568" i="38"/>
  <c r="AK569" i="38"/>
  <c r="AG572" i="38"/>
  <c r="AK573" i="38"/>
  <c r="AG576" i="38"/>
  <c r="AK577" i="38"/>
  <c r="AG580" i="38"/>
  <c r="AK581" i="38"/>
  <c r="AC561" i="38"/>
  <c r="Y564" i="38"/>
  <c r="AC565" i="38"/>
  <c r="Y568" i="38"/>
  <c r="AC569" i="38"/>
  <c r="Y572" i="38"/>
  <c r="AC573" i="38"/>
  <c r="Y576" i="38"/>
  <c r="AC577" i="38"/>
  <c r="Y580" i="38"/>
  <c r="AC581" i="38"/>
  <c r="AK556" i="38"/>
  <c r="AC554" i="38"/>
  <c r="AC552" i="38"/>
  <c r="F553" i="38"/>
  <c r="J553" i="38" s="1"/>
  <c r="Y553" i="38"/>
  <c r="F549" i="38"/>
  <c r="J549" i="38" s="1"/>
  <c r="F556" i="38"/>
  <c r="J556" i="38" s="1"/>
  <c r="AC555" i="38"/>
  <c r="F551" i="38"/>
  <c r="H551" i="38" s="1"/>
  <c r="F552" i="38"/>
  <c r="H552" i="38" s="1"/>
  <c r="F548" i="38"/>
  <c r="J548" i="38" s="1"/>
  <c r="AG548" i="38"/>
  <c r="AG554" i="38"/>
  <c r="Y552" i="38"/>
  <c r="F555" i="38"/>
  <c r="J555" i="38" s="1"/>
  <c r="AK529" i="38"/>
  <c r="F545" i="38"/>
  <c r="J545" i="38" s="1"/>
  <c r="F546" i="38"/>
  <c r="H546" i="38" s="1"/>
  <c r="AC546" i="38"/>
  <c r="AG547" i="38"/>
  <c r="AC548" i="38"/>
  <c r="AK554" i="38"/>
  <c r="AK552" i="38"/>
  <c r="AK553" i="38"/>
  <c r="Y554" i="38"/>
  <c r="AK551" i="38"/>
  <c r="AG552" i="38"/>
  <c r="Y556" i="38"/>
  <c r="Y555" i="38"/>
  <c r="AG551" i="38"/>
  <c r="AC556" i="38"/>
  <c r="F554" i="38"/>
  <c r="H554" i="38" s="1"/>
  <c r="AG556" i="38"/>
  <c r="AG555" i="38"/>
  <c r="AC551" i="38"/>
  <c r="AG553" i="38"/>
  <c r="AK555" i="38"/>
  <c r="Y551" i="38"/>
  <c r="AC553" i="38"/>
  <c r="AG546" i="38"/>
  <c r="AK547" i="38"/>
  <c r="AG529" i="38"/>
  <c r="F530" i="38"/>
  <c r="J530" i="38" s="1"/>
  <c r="Y548" i="38"/>
  <c r="Y549" i="38"/>
  <c r="AK548" i="38"/>
  <c r="AK549" i="38"/>
  <c r="AK545" i="38"/>
  <c r="Y546" i="38"/>
  <c r="F547" i="38"/>
  <c r="J547" i="38" s="1"/>
  <c r="AC547" i="38"/>
  <c r="AG549" i="38"/>
  <c r="AK546" i="38"/>
  <c r="Y547" i="38"/>
  <c r="AC549" i="38"/>
  <c r="AC550" i="38"/>
  <c r="F550" i="38"/>
  <c r="J550" i="38" s="1"/>
  <c r="Y545" i="38"/>
  <c r="AG550" i="38"/>
  <c r="AG545" i="38"/>
  <c r="AK550" i="38"/>
  <c r="Y550" i="38"/>
  <c r="AC545" i="38"/>
  <c r="F529" i="38"/>
  <c r="J529" i="38" s="1"/>
  <c r="AK530" i="38"/>
  <c r="Y531" i="38"/>
  <c r="F532" i="38"/>
  <c r="H532" i="38" s="1"/>
  <c r="AC532" i="38"/>
  <c r="AK534" i="38"/>
  <c r="AC529" i="38"/>
  <c r="Y529" i="38"/>
  <c r="F534" i="38"/>
  <c r="H534" i="38" s="1"/>
  <c r="Y533" i="38"/>
  <c r="AG532" i="38"/>
  <c r="AC527" i="38"/>
  <c r="AG528" i="38"/>
  <c r="F533" i="38"/>
  <c r="J533" i="38" s="1"/>
  <c r="AG534" i="38"/>
  <c r="AK532" i="38"/>
  <c r="AG539" i="38"/>
  <c r="AG537" i="38"/>
  <c r="AK527" i="38"/>
  <c r="Y528" i="38"/>
  <c r="AC530" i="38"/>
  <c r="AG531" i="38"/>
  <c r="AC533" i="38"/>
  <c r="Y534" i="38"/>
  <c r="AG527" i="38"/>
  <c r="AK528" i="38"/>
  <c r="Y530" i="38"/>
  <c r="F531" i="38"/>
  <c r="J531" i="38" s="1"/>
  <c r="AC531" i="38"/>
  <c r="AK533" i="38"/>
  <c r="AC536" i="38"/>
  <c r="F527" i="38"/>
  <c r="H527" i="38" s="1"/>
  <c r="Y527" i="38"/>
  <c r="F528" i="38"/>
  <c r="J528" i="38" s="1"/>
  <c r="AC528" i="38"/>
  <c r="AG530" i="38"/>
  <c r="AK531" i="38"/>
  <c r="Y532" i="38"/>
  <c r="AG533" i="38"/>
  <c r="AC534" i="38"/>
  <c r="J534" i="38"/>
  <c r="AG520" i="38"/>
  <c r="AK526" i="38"/>
  <c r="F526" i="38"/>
  <c r="J526" i="38" s="1"/>
  <c r="F540" i="38"/>
  <c r="J540" i="38" s="1"/>
  <c r="F538" i="38"/>
  <c r="J538" i="38" s="1"/>
  <c r="AC538" i="38"/>
  <c r="F536" i="38"/>
  <c r="J536" i="38" s="1"/>
  <c r="Y536" i="38"/>
  <c r="AC539" i="38"/>
  <c r="AC537" i="38"/>
  <c r="Y538" i="38"/>
  <c r="Y539" i="38"/>
  <c r="AK535" i="38"/>
  <c r="Y537" i="38"/>
  <c r="AK536" i="38"/>
  <c r="AK539" i="38"/>
  <c r="AK537" i="38"/>
  <c r="AG536" i="38"/>
  <c r="F522" i="38"/>
  <c r="H522" i="38" s="1"/>
  <c r="Y521" i="38"/>
  <c r="AG540" i="38"/>
  <c r="Y526" i="38"/>
  <c r="Y535" i="38"/>
  <c r="F537" i="38"/>
  <c r="J537" i="38" s="1"/>
  <c r="F520" i="38"/>
  <c r="J520" i="38" s="1"/>
  <c r="AG526" i="38"/>
  <c r="AG535" i="38"/>
  <c r="AK538" i="38"/>
  <c r="AK540" i="38"/>
  <c r="AC526" i="38"/>
  <c r="F535" i="38"/>
  <c r="J535" i="38" s="1"/>
  <c r="AC535" i="38"/>
  <c r="AG538" i="38"/>
  <c r="F524" i="38"/>
  <c r="J524" i="38" s="1"/>
  <c r="AK521" i="38"/>
  <c r="AC541" i="38"/>
  <c r="Y540" i="38"/>
  <c r="AC521" i="38"/>
  <c r="F539" i="38"/>
  <c r="J539" i="38" s="1"/>
  <c r="AG521" i="38"/>
  <c r="F521" i="38"/>
  <c r="J521" i="38" s="1"/>
  <c r="AC540" i="38"/>
  <c r="AK520" i="38"/>
  <c r="AG541" i="38"/>
  <c r="AC520" i="38"/>
  <c r="F541" i="38"/>
  <c r="H541" i="38" s="1"/>
  <c r="Y541" i="38"/>
  <c r="Y520" i="38"/>
  <c r="AC524" i="38"/>
  <c r="Y523" i="38"/>
  <c r="AK522" i="38"/>
  <c r="AK541" i="38"/>
  <c r="AG524" i="38"/>
  <c r="AC523" i="38"/>
  <c r="F523" i="38"/>
  <c r="J523" i="38" s="1"/>
  <c r="Y522" i="38"/>
  <c r="AK524" i="38"/>
  <c r="AG523" i="38"/>
  <c r="AC522" i="38"/>
  <c r="AK438" i="38"/>
  <c r="AK519" i="38"/>
  <c r="Y524" i="38"/>
  <c r="AK523" i="38"/>
  <c r="AG522" i="38"/>
  <c r="H520" i="38"/>
  <c r="Y518" i="38"/>
  <c r="Y519" i="38"/>
  <c r="F518" i="38"/>
  <c r="J518" i="38" s="1"/>
  <c r="AG518" i="38"/>
  <c r="AG519" i="38"/>
  <c r="AK518" i="38"/>
  <c r="AC518" i="38"/>
  <c r="F519" i="38"/>
  <c r="H519" i="38" s="1"/>
  <c r="AC519" i="38"/>
  <c r="F440" i="38"/>
  <c r="J440" i="38" s="1"/>
  <c r="AC440" i="38"/>
  <c r="AG440" i="38"/>
  <c r="AC442" i="38"/>
  <c r="F443" i="38"/>
  <c r="H443" i="38" s="1"/>
  <c r="F437" i="38"/>
  <c r="J437" i="38" s="1"/>
  <c r="AC437" i="38"/>
  <c r="AG439" i="38"/>
  <c r="Y440" i="38"/>
  <c r="F441" i="38"/>
  <c r="J441" i="38" s="1"/>
  <c r="AG438" i="38"/>
  <c r="Y437" i="38"/>
  <c r="F439" i="38"/>
  <c r="J439" i="38" s="1"/>
  <c r="AK440" i="38"/>
  <c r="AK443" i="38"/>
  <c r="AK441" i="38"/>
  <c r="F438" i="38"/>
  <c r="J438" i="38" s="1"/>
  <c r="Y438" i="38"/>
  <c r="AG441" i="38"/>
  <c r="AC439" i="38"/>
  <c r="AC438" i="38"/>
  <c r="Y442" i="38"/>
  <c r="F442" i="38"/>
  <c r="J442" i="38" s="1"/>
  <c r="AK437" i="38"/>
  <c r="Y439" i="38"/>
  <c r="AC441" i="38"/>
  <c r="AG437" i="38"/>
  <c r="AK439" i="38"/>
  <c r="Y441" i="38"/>
  <c r="F444" i="38"/>
  <c r="J444" i="38" s="1"/>
  <c r="AC444" i="38"/>
  <c r="Y443" i="38"/>
  <c r="AK442" i="38"/>
  <c r="AG443" i="38"/>
  <c r="AG444" i="38"/>
  <c r="AG442" i="38"/>
  <c r="AC443" i="38"/>
  <c r="F433" i="38"/>
  <c r="J433" i="38" s="1"/>
  <c r="Y444" i="38"/>
  <c r="AG434" i="38"/>
  <c r="AK433" i="38"/>
  <c r="AK444" i="38"/>
  <c r="Y433" i="38"/>
  <c r="F434" i="38"/>
  <c r="J434" i="38" s="1"/>
  <c r="AG433" i="38"/>
  <c r="AC433" i="38"/>
  <c r="AK434" i="38"/>
  <c r="F502" i="38"/>
  <c r="J502" i="38" s="1"/>
  <c r="AC434" i="38"/>
  <c r="AG509" i="38"/>
  <c r="Y511" i="38"/>
  <c r="F500" i="38"/>
  <c r="H500" i="38" s="1"/>
  <c r="AC500" i="38"/>
  <c r="AG501" i="38"/>
  <c r="AG505" i="38"/>
  <c r="Y434" i="38"/>
  <c r="AK509" i="38"/>
  <c r="X499" i="38"/>
  <c r="X498" i="38" s="1"/>
  <c r="AG500" i="38"/>
  <c r="AI499" i="38"/>
  <c r="AI498" i="38" s="1"/>
  <c r="W499" i="38"/>
  <c r="AB499" i="38"/>
  <c r="AB498" i="38" s="1"/>
  <c r="AK501" i="38"/>
  <c r="V499" i="38"/>
  <c r="V498" i="38" s="1"/>
  <c r="AA499" i="38"/>
  <c r="AA498" i="38" s="1"/>
  <c r="AF499" i="38"/>
  <c r="AF498" i="38" s="1"/>
  <c r="AC503" i="38"/>
  <c r="AG504" i="38"/>
  <c r="AK505" i="38"/>
  <c r="AE499" i="38"/>
  <c r="AE498" i="38" s="1"/>
  <c r="AJ499" i="38"/>
  <c r="AJ498" i="38" s="1"/>
  <c r="E499" i="38"/>
  <c r="E498" i="38" s="1"/>
  <c r="AC506" i="38"/>
  <c r="F507" i="38"/>
  <c r="H507" i="38" s="1"/>
  <c r="D499" i="38"/>
  <c r="D498" i="38" s="1"/>
  <c r="AH499" i="38"/>
  <c r="AH498" i="38" s="1"/>
  <c r="AC509" i="38"/>
  <c r="Y500" i="38"/>
  <c r="AC501" i="38"/>
  <c r="AC505" i="38"/>
  <c r="Y506" i="38"/>
  <c r="AK507" i="38"/>
  <c r="AD499" i="38"/>
  <c r="AD498" i="38" s="1"/>
  <c r="Y509" i="38"/>
  <c r="AK500" i="38"/>
  <c r="Y501" i="38"/>
  <c r="AK502" i="38"/>
  <c r="AG503" i="38"/>
  <c r="AK504" i="38"/>
  <c r="Y505" i="38"/>
  <c r="F506" i="38"/>
  <c r="J506" i="38" s="1"/>
  <c r="Z499" i="38"/>
  <c r="Z498" i="38" s="1"/>
  <c r="AC510" i="38"/>
  <c r="F511" i="38"/>
  <c r="J511" i="38" s="1"/>
  <c r="AK508" i="38"/>
  <c r="F510" i="38"/>
  <c r="J510" i="38" s="1"/>
  <c r="Y502" i="38"/>
  <c r="AK503" i="38"/>
  <c r="Y504" i="38"/>
  <c r="F505" i="38"/>
  <c r="J505" i="38" s="1"/>
  <c r="Y507" i="38"/>
  <c r="AK506" i="38"/>
  <c r="AG507" i="38"/>
  <c r="AG502" i="38"/>
  <c r="F514" i="38"/>
  <c r="J514" i="38" s="1"/>
  <c r="AK513" i="38"/>
  <c r="Y508" i="38"/>
  <c r="F509" i="38"/>
  <c r="J509" i="38" s="1"/>
  <c r="AK511" i="38"/>
  <c r="F501" i="38"/>
  <c r="H501" i="38" s="1"/>
  <c r="AC502" i="38"/>
  <c r="F503" i="38"/>
  <c r="H503" i="38" s="1"/>
  <c r="Y503" i="38"/>
  <c r="F504" i="38"/>
  <c r="H504" i="38" s="1"/>
  <c r="AC504" i="38"/>
  <c r="AG506" i="38"/>
  <c r="AC507" i="38"/>
  <c r="J507" i="38"/>
  <c r="Y510" i="38"/>
  <c r="F512" i="38"/>
  <c r="J512" i="38" s="1"/>
  <c r="AG508" i="38"/>
  <c r="AK510" i="38"/>
  <c r="AG511" i="38"/>
  <c r="AG514" i="38"/>
  <c r="Y513" i="38"/>
  <c r="F508" i="38"/>
  <c r="H508" i="38" s="1"/>
  <c r="AC508" i="38"/>
  <c r="AG510" i="38"/>
  <c r="AC511" i="38"/>
  <c r="AK512" i="38"/>
  <c r="AG512" i="38"/>
  <c r="AG513" i="38"/>
  <c r="AK514" i="38"/>
  <c r="Y512" i="38"/>
  <c r="AC512" i="38"/>
  <c r="F513" i="38"/>
  <c r="H513" i="38" s="1"/>
  <c r="AC513" i="38"/>
  <c r="AC514" i="38"/>
  <c r="AK422" i="38"/>
  <c r="AG430" i="38"/>
  <c r="Y514" i="38"/>
  <c r="Y422" i="38"/>
  <c r="F423" i="38"/>
  <c r="J423" i="38" s="1"/>
  <c r="AK430" i="38"/>
  <c r="AG422" i="38"/>
  <c r="AC430" i="38"/>
  <c r="AC422" i="38"/>
  <c r="Y430" i="38"/>
  <c r="F430" i="38"/>
  <c r="J430" i="38" s="1"/>
  <c r="Y425" i="38"/>
  <c r="AK426" i="38"/>
  <c r="AG423" i="38"/>
  <c r="AC424" i="38"/>
  <c r="F422" i="38"/>
  <c r="J422" i="38" s="1"/>
  <c r="F426" i="38"/>
  <c r="J426" i="38" s="1"/>
  <c r="AC423" i="38"/>
  <c r="F424" i="38"/>
  <c r="J424" i="38" s="1"/>
  <c r="Y424" i="38"/>
  <c r="Y423" i="38"/>
  <c r="AK424" i="38"/>
  <c r="AC427" i="38"/>
  <c r="AK425" i="38"/>
  <c r="AC425" i="38"/>
  <c r="AG425" i="38"/>
  <c r="AK423" i="38"/>
  <c r="AG424" i="38"/>
  <c r="AG426" i="38"/>
  <c r="F427" i="38"/>
  <c r="J427" i="38" s="1"/>
  <c r="Y427" i="38"/>
  <c r="F425" i="38"/>
  <c r="H425" i="38" s="1"/>
  <c r="AC426" i="38"/>
  <c r="AG412" i="38"/>
  <c r="Y426" i="38"/>
  <c r="AK414" i="38"/>
  <c r="F418" i="38"/>
  <c r="H418" i="38" s="1"/>
  <c r="AG427" i="38"/>
  <c r="AK427" i="38"/>
  <c r="AC459" i="38"/>
  <c r="AK412" i="38"/>
  <c r="F413" i="38"/>
  <c r="J413" i="38" s="1"/>
  <c r="AG415" i="38"/>
  <c r="AK418" i="38"/>
  <c r="AC412" i="38"/>
  <c r="Y412" i="38"/>
  <c r="AK413" i="38"/>
  <c r="AK415" i="38"/>
  <c r="Y418" i="38"/>
  <c r="AG418" i="38"/>
  <c r="AC418" i="38"/>
  <c r="F477" i="38"/>
  <c r="J477" i="38" s="1"/>
  <c r="AC480" i="38"/>
  <c r="F481" i="38"/>
  <c r="J481" i="38" s="1"/>
  <c r="F485" i="38"/>
  <c r="J485" i="38" s="1"/>
  <c r="F452" i="38"/>
  <c r="J452" i="38" s="1"/>
  <c r="Y459" i="38"/>
  <c r="F460" i="38"/>
  <c r="J460" i="38" s="1"/>
  <c r="AG413" i="38"/>
  <c r="AG414" i="38"/>
  <c r="AC495" i="38"/>
  <c r="AC475" i="38"/>
  <c r="AK477" i="38"/>
  <c r="AC479" i="38"/>
  <c r="AK459" i="38"/>
  <c r="F462" i="38"/>
  <c r="H462" i="38" s="1"/>
  <c r="F412" i="38"/>
  <c r="H412" i="38" s="1"/>
  <c r="AC413" i="38"/>
  <c r="F414" i="38"/>
  <c r="H414" i="38" s="1"/>
  <c r="AC414" i="38"/>
  <c r="F415" i="38"/>
  <c r="J415" i="38" s="1"/>
  <c r="AC415" i="38"/>
  <c r="F492" i="38"/>
  <c r="J492" i="38" s="1"/>
  <c r="F496" i="38"/>
  <c r="J496" i="38" s="1"/>
  <c r="F476" i="38"/>
  <c r="J476" i="38" s="1"/>
  <c r="F480" i="38"/>
  <c r="J480" i="38" s="1"/>
  <c r="F459" i="38"/>
  <c r="J459" i="38" s="1"/>
  <c r="AG459" i="38"/>
  <c r="Y413" i="38"/>
  <c r="Y414" i="38"/>
  <c r="Y415" i="38"/>
  <c r="Y479" i="38"/>
  <c r="AC451" i="38"/>
  <c r="AC455" i="38"/>
  <c r="AG456" i="38"/>
  <c r="Y458" i="38"/>
  <c r="AC467" i="38"/>
  <c r="AC471" i="38"/>
  <c r="Y472" i="38"/>
  <c r="AK473" i="38"/>
  <c r="AK479" i="38"/>
  <c r="AC463" i="38"/>
  <c r="AG463" i="38"/>
  <c r="F464" i="38"/>
  <c r="J464" i="38" s="1"/>
  <c r="Y467" i="38"/>
  <c r="AG469" i="38"/>
  <c r="AK470" i="38"/>
  <c r="Y471" i="38"/>
  <c r="F472" i="38"/>
  <c r="J472" i="38" s="1"/>
  <c r="AG473" i="38"/>
  <c r="AG479" i="38"/>
  <c r="Y481" i="38"/>
  <c r="F482" i="38"/>
  <c r="J482" i="38" s="1"/>
  <c r="AC482" i="38"/>
  <c r="AK483" i="38"/>
  <c r="F486" i="38"/>
  <c r="H486" i="38" s="1"/>
  <c r="AG487" i="38"/>
  <c r="AG449" i="38"/>
  <c r="F484" i="38"/>
  <c r="J484" i="38" s="1"/>
  <c r="Y451" i="38"/>
  <c r="AC452" i="38"/>
  <c r="AK453" i="38"/>
  <c r="AK454" i="38"/>
  <c r="Y455" i="38"/>
  <c r="F456" i="38"/>
  <c r="J456" i="38" s="1"/>
  <c r="F463" i="38"/>
  <c r="H463" i="38" s="1"/>
  <c r="AK463" i="38"/>
  <c r="Y465" i="38"/>
  <c r="F466" i="38"/>
  <c r="H466" i="38" s="1"/>
  <c r="AC466" i="38"/>
  <c r="AG467" i="38"/>
  <c r="AG471" i="38"/>
  <c r="F473" i="38"/>
  <c r="J473" i="38" s="1"/>
  <c r="AG450" i="38"/>
  <c r="AK451" i="38"/>
  <c r="Y452" i="38"/>
  <c r="AG454" i="38"/>
  <c r="AK455" i="38"/>
  <c r="Y492" i="38"/>
  <c r="Y476" i="38"/>
  <c r="Y478" i="38"/>
  <c r="F479" i="38"/>
  <c r="J479" i="38" s="1"/>
  <c r="F483" i="38"/>
  <c r="H483" i="38" s="1"/>
  <c r="AC487" i="38"/>
  <c r="AK489" i="38"/>
  <c r="F450" i="38"/>
  <c r="H450" i="38" s="1"/>
  <c r="AC450" i="38"/>
  <c r="AG451" i="38"/>
  <c r="AG455" i="38"/>
  <c r="AG460" i="38"/>
  <c r="Y463" i="38"/>
  <c r="AK468" i="38"/>
  <c r="AG493" i="38"/>
  <c r="AK494" i="38"/>
  <c r="Y495" i="38"/>
  <c r="AK474" i="38"/>
  <c r="Y475" i="38"/>
  <c r="AC460" i="38"/>
  <c r="F461" i="38"/>
  <c r="J461" i="38" s="1"/>
  <c r="Y461" i="38"/>
  <c r="AC462" i="38"/>
  <c r="AG464" i="38"/>
  <c r="AC465" i="38"/>
  <c r="AG466" i="38"/>
  <c r="AK467" i="38"/>
  <c r="F468" i="38"/>
  <c r="J468" i="38" s="1"/>
  <c r="AC469" i="38"/>
  <c r="AG470" i="38"/>
  <c r="AK471" i="38"/>
  <c r="AG495" i="38"/>
  <c r="AG475" i="38"/>
  <c r="AC476" i="38"/>
  <c r="AG480" i="38"/>
  <c r="Y483" i="38"/>
  <c r="AK487" i="38"/>
  <c r="AK449" i="38"/>
  <c r="AK450" i="38"/>
  <c r="AG452" i="38"/>
  <c r="Y453" i="38"/>
  <c r="Y454" i="38"/>
  <c r="F455" i="38"/>
  <c r="H455" i="38" s="1"/>
  <c r="AK456" i="38"/>
  <c r="AC457" i="38"/>
  <c r="F458" i="38"/>
  <c r="H458" i="38" s="1"/>
  <c r="AC458" i="38"/>
  <c r="AC461" i="38"/>
  <c r="AG462" i="38"/>
  <c r="AK464" i="38"/>
  <c r="AG465" i="38"/>
  <c r="AK466" i="38"/>
  <c r="Y468" i="38"/>
  <c r="AK469" i="38"/>
  <c r="Y470" i="38"/>
  <c r="F471" i="38"/>
  <c r="H471" i="38" s="1"/>
  <c r="AC472" i="38"/>
  <c r="Y473" i="38"/>
  <c r="AK490" i="38"/>
  <c r="Y491" i="38"/>
  <c r="AG483" i="38"/>
  <c r="Y488" i="38"/>
  <c r="F449" i="38"/>
  <c r="H449" i="38" s="1"/>
  <c r="AC449" i="38"/>
  <c r="AG453" i="38"/>
  <c r="AC456" i="38"/>
  <c r="AK457" i="38"/>
  <c r="AK458" i="38"/>
  <c r="Y460" i="38"/>
  <c r="AK461" i="38"/>
  <c r="Y462" i="38"/>
  <c r="AC464" i="38"/>
  <c r="F465" i="38"/>
  <c r="H465" i="38" s="1"/>
  <c r="AG468" i="38"/>
  <c r="AK472" i="38"/>
  <c r="AK495" i="38"/>
  <c r="AK475" i="38"/>
  <c r="AC483" i="38"/>
  <c r="AK484" i="38"/>
  <c r="AG485" i="38"/>
  <c r="AK486" i="38"/>
  <c r="Y487" i="38"/>
  <c r="F488" i="38"/>
  <c r="J488" i="38" s="1"/>
  <c r="Y449" i="38"/>
  <c r="Y450" i="38"/>
  <c r="F451" i="38"/>
  <c r="H451" i="38" s="1"/>
  <c r="AK452" i="38"/>
  <c r="F453" i="38"/>
  <c r="J453" i="38" s="1"/>
  <c r="AC453" i="38"/>
  <c r="F454" i="38"/>
  <c r="H454" i="38" s="1"/>
  <c r="AC454" i="38"/>
  <c r="Y456" i="38"/>
  <c r="AG457" i="38"/>
  <c r="AG458" i="38"/>
  <c r="AK460" i="38"/>
  <c r="AG461" i="38"/>
  <c r="AK462" i="38"/>
  <c r="Y464" i="38"/>
  <c r="AK465" i="38"/>
  <c r="Y466" i="38"/>
  <c r="F467" i="38"/>
  <c r="H467" i="38" s="1"/>
  <c r="AC468" i="38"/>
  <c r="F469" i="38"/>
  <c r="J469" i="38" s="1"/>
  <c r="Y469" i="38"/>
  <c r="F470" i="38"/>
  <c r="H470" i="38" s="1"/>
  <c r="AC470" i="38"/>
  <c r="AG472" i="38"/>
  <c r="AC473" i="38"/>
  <c r="AC491" i="38"/>
  <c r="AK493" i="38"/>
  <c r="Y494" i="38"/>
  <c r="F495" i="38"/>
  <c r="H495" i="38" s="1"/>
  <c r="AK497" i="38"/>
  <c r="Y474" i="38"/>
  <c r="F475" i="38"/>
  <c r="J475" i="38" s="1"/>
  <c r="Y477" i="38"/>
  <c r="F478" i="38"/>
  <c r="H478" i="38" s="1"/>
  <c r="AC478" i="38"/>
  <c r="AC481" i="38"/>
  <c r="AG482" i="38"/>
  <c r="AG484" i="38"/>
  <c r="AC485" i="38"/>
  <c r="AG486" i="38"/>
  <c r="AK488" i="38"/>
  <c r="AG489" i="38"/>
  <c r="AG490" i="38"/>
  <c r="AK491" i="38"/>
  <c r="AG474" i="38"/>
  <c r="AK476" i="38"/>
  <c r="AG477" i="38"/>
  <c r="AK478" i="38"/>
  <c r="Y480" i="38"/>
  <c r="AK481" i="38"/>
  <c r="Y482" i="38"/>
  <c r="AC484" i="38"/>
  <c r="Y485" i="38"/>
  <c r="AC486" i="38"/>
  <c r="AG488" i="38"/>
  <c r="AC489" i="38"/>
  <c r="AG491" i="38"/>
  <c r="F493" i="38"/>
  <c r="J493" i="38" s="1"/>
  <c r="AC496" i="38"/>
  <c r="F497" i="38"/>
  <c r="J497" i="38" s="1"/>
  <c r="Y497" i="38"/>
  <c r="F474" i="38"/>
  <c r="H474" i="38" s="1"/>
  <c r="AC474" i="38"/>
  <c r="AG476" i="38"/>
  <c r="AC477" i="38"/>
  <c r="AG478" i="38"/>
  <c r="AK480" i="38"/>
  <c r="AG481" i="38"/>
  <c r="AK482" i="38"/>
  <c r="Y484" i="38"/>
  <c r="AK485" i="38"/>
  <c r="Y486" i="38"/>
  <c r="F487" i="38"/>
  <c r="J487" i="38" s="1"/>
  <c r="AC488" i="38"/>
  <c r="F489" i="38"/>
  <c r="J489" i="38" s="1"/>
  <c r="Y489" i="38"/>
  <c r="AK492" i="38"/>
  <c r="Y496" i="38"/>
  <c r="F490" i="38"/>
  <c r="H490" i="38" s="1"/>
  <c r="AC490" i="38"/>
  <c r="AG492" i="38"/>
  <c r="AC493" i="38"/>
  <c r="AG494" i="38"/>
  <c r="AK496" i="38"/>
  <c r="AG497" i="38"/>
  <c r="Y490" i="38"/>
  <c r="F491" i="38"/>
  <c r="H491" i="38" s="1"/>
  <c r="AC492" i="38"/>
  <c r="Y493" i="38"/>
  <c r="F494" i="38"/>
  <c r="H494" i="38" s="1"/>
  <c r="AC494" i="38"/>
  <c r="AG496" i="38"/>
  <c r="AC497" i="38"/>
  <c r="F378" i="38"/>
  <c r="J378" i="38" s="1"/>
  <c r="F383" i="38"/>
  <c r="J383" i="38" s="1"/>
  <c r="AK417" i="38"/>
  <c r="F416" i="38"/>
  <c r="J416" i="38" s="1"/>
  <c r="Y364" i="38"/>
  <c r="Y417" i="38"/>
  <c r="AG416" i="38"/>
  <c r="AG417" i="38"/>
  <c r="AK416" i="38"/>
  <c r="Y416" i="38"/>
  <c r="AC416" i="38"/>
  <c r="F417" i="38"/>
  <c r="J417" i="38" s="1"/>
  <c r="AC417" i="38"/>
  <c r="AC388" i="38"/>
  <c r="F388" i="38"/>
  <c r="J388" i="38" s="1"/>
  <c r="Y388" i="38"/>
  <c r="F385" i="38"/>
  <c r="J385" i="38" s="1"/>
  <c r="AG386" i="38"/>
  <c r="AK388" i="38"/>
  <c r="AG388" i="38"/>
  <c r="AK376" i="38"/>
  <c r="Y385" i="38"/>
  <c r="AK386" i="38"/>
  <c r="Y376" i="38"/>
  <c r="AC383" i="38"/>
  <c r="AC385" i="38"/>
  <c r="F386" i="38"/>
  <c r="H386" i="38" s="1"/>
  <c r="Y386" i="38"/>
  <c r="AK385" i="38"/>
  <c r="AG385" i="38"/>
  <c r="AC386" i="38"/>
  <c r="AG380" i="38"/>
  <c r="AG376" i="38"/>
  <c r="AK378" i="38"/>
  <c r="F384" i="38"/>
  <c r="H384" i="38" s="1"/>
  <c r="AC384" i="38"/>
  <c r="AC376" i="38"/>
  <c r="AG383" i="38"/>
  <c r="Y384" i="38"/>
  <c r="AK384" i="38"/>
  <c r="AG384" i="38"/>
  <c r="Y383" i="38"/>
  <c r="AK383" i="38"/>
  <c r="AC364" i="38"/>
  <c r="V375" i="38"/>
  <c r="AA375" i="38"/>
  <c r="AF375" i="38"/>
  <c r="F376" i="38"/>
  <c r="J376" i="38" s="1"/>
  <c r="AG378" i="38"/>
  <c r="W375" i="38"/>
  <c r="AB375" i="38"/>
  <c r="AK377" i="38"/>
  <c r="AK364" i="38"/>
  <c r="X375" i="38"/>
  <c r="AG377" i="38"/>
  <c r="AI375" i="38"/>
  <c r="AG364" i="38"/>
  <c r="AC380" i="38"/>
  <c r="D375" i="38"/>
  <c r="AC377" i="38"/>
  <c r="AE375" i="38"/>
  <c r="AJ375" i="38"/>
  <c r="F379" i="38"/>
  <c r="H379" i="38" s="1"/>
  <c r="F377" i="38"/>
  <c r="H377" i="38" s="1"/>
  <c r="Y377" i="38"/>
  <c r="AH375" i="38"/>
  <c r="AK380" i="38"/>
  <c r="AG379" i="38"/>
  <c r="E375" i="38"/>
  <c r="AD375" i="38"/>
  <c r="Y380" i="38"/>
  <c r="F380" i="38"/>
  <c r="J380" i="38" s="1"/>
  <c r="Z375" i="38"/>
  <c r="AK379" i="38"/>
  <c r="Y379" i="38"/>
  <c r="AC378" i="38"/>
  <c r="AC360" i="38"/>
  <c r="Y361" i="38"/>
  <c r="Y362" i="38"/>
  <c r="Y363" i="38"/>
  <c r="F364" i="38"/>
  <c r="H364" i="38" s="1"/>
  <c r="Y367" i="38"/>
  <c r="F368" i="38"/>
  <c r="J368" i="38" s="1"/>
  <c r="AK368" i="38"/>
  <c r="AK370" i="38"/>
  <c r="Y339" i="38"/>
  <c r="F340" i="38"/>
  <c r="J340" i="38" s="1"/>
  <c r="AC379" i="38"/>
  <c r="Y378" i="38"/>
  <c r="F343" i="38"/>
  <c r="J343" i="38" s="1"/>
  <c r="AK344" i="38"/>
  <c r="F347" i="38"/>
  <c r="H347" i="38" s="1"/>
  <c r="F354" i="38"/>
  <c r="J354" i="38" s="1"/>
  <c r="AK359" i="38"/>
  <c r="Y360" i="38"/>
  <c r="F361" i="38"/>
  <c r="J361" i="38" s="1"/>
  <c r="AK363" i="38"/>
  <c r="F365" i="38"/>
  <c r="J365" i="38" s="1"/>
  <c r="F369" i="38"/>
  <c r="J369" i="38" s="1"/>
  <c r="AG352" i="38"/>
  <c r="F356" i="38"/>
  <c r="J356" i="38" s="1"/>
  <c r="AG356" i="38"/>
  <c r="AK340" i="38"/>
  <c r="F344" i="38"/>
  <c r="J344" i="38" s="1"/>
  <c r="AC348" i="38"/>
  <c r="AK350" i="38"/>
  <c r="Y351" i="38"/>
  <c r="F352" i="38"/>
  <c r="J352" i="38" s="1"/>
  <c r="AK352" i="38"/>
  <c r="AK354" i="38"/>
  <c r="F345" i="38"/>
  <c r="J345" i="38" s="1"/>
  <c r="AC352" i="38"/>
  <c r="Y342" i="38"/>
  <c r="AC343" i="38"/>
  <c r="AG348" i="38"/>
  <c r="Y352" i="38"/>
  <c r="AC353" i="38"/>
  <c r="Y354" i="38"/>
  <c r="AG340" i="38"/>
  <c r="AG344" i="38"/>
  <c r="Y349" i="38"/>
  <c r="AG403" i="38"/>
  <c r="X401" i="38"/>
  <c r="AD401" i="38"/>
  <c r="AI401" i="38"/>
  <c r="AC340" i="38"/>
  <c r="Y344" i="38"/>
  <c r="AC344" i="38"/>
  <c r="AK345" i="38"/>
  <c r="AG346" i="38"/>
  <c r="AK347" i="38"/>
  <c r="Y348" i="38"/>
  <c r="F349" i="38"/>
  <c r="J349" i="38" s="1"/>
  <c r="AG350" i="38"/>
  <c r="F353" i="38"/>
  <c r="J353" i="38" s="1"/>
  <c r="Y370" i="38"/>
  <c r="F339" i="38"/>
  <c r="J339" i="38" s="1"/>
  <c r="AC339" i="38"/>
  <c r="Y340" i="38"/>
  <c r="AG341" i="38"/>
  <c r="AG342" i="38"/>
  <c r="AG343" i="38"/>
  <c r="AC346" i="38"/>
  <c r="AG347" i="38"/>
  <c r="AK348" i="38"/>
  <c r="AG368" i="38"/>
  <c r="AC341" i="38"/>
  <c r="F342" i="38"/>
  <c r="J342" i="38" s="1"/>
  <c r="AC342" i="38"/>
  <c r="AG345" i="38"/>
  <c r="AK349" i="38"/>
  <c r="Y353" i="38"/>
  <c r="Y356" i="38"/>
  <c r="AK360" i="38"/>
  <c r="AC368" i="38"/>
  <c r="AK339" i="38"/>
  <c r="Y343" i="38"/>
  <c r="AC345" i="38"/>
  <c r="AC347" i="38"/>
  <c r="AG349" i="38"/>
  <c r="AC350" i="38"/>
  <c r="AG351" i="38"/>
  <c r="AK353" i="38"/>
  <c r="AG354" i="38"/>
  <c r="AC356" i="38"/>
  <c r="AK357" i="38"/>
  <c r="AK358" i="38"/>
  <c r="AG371" i="38"/>
  <c r="AK372" i="38"/>
  <c r="AG355" i="38"/>
  <c r="AG359" i="38"/>
  <c r="AG372" i="38"/>
  <c r="F355" i="38"/>
  <c r="J355" i="38" s="1"/>
  <c r="AC355" i="38"/>
  <c r="AK356" i="38"/>
  <c r="F359" i="38"/>
  <c r="H359" i="38" s="1"/>
  <c r="AG360" i="38"/>
  <c r="AC365" i="38"/>
  <c r="F366" i="38"/>
  <c r="J366" i="38" s="1"/>
  <c r="AC366" i="38"/>
  <c r="F367" i="38"/>
  <c r="H367" i="38" s="1"/>
  <c r="AC367" i="38"/>
  <c r="Y368" i="38"/>
  <c r="AG369" i="38"/>
  <c r="AC370" i="38"/>
  <c r="AG339" i="38"/>
  <c r="AK342" i="38"/>
  <c r="AK343" i="38"/>
  <c r="Y345" i="38"/>
  <c r="AK346" i="38"/>
  <c r="Y347" i="38"/>
  <c r="F348" i="38"/>
  <c r="J348" i="38" s="1"/>
  <c r="AC349" i="38"/>
  <c r="F350" i="38"/>
  <c r="J350" i="38" s="1"/>
  <c r="Y350" i="38"/>
  <c r="AC351" i="38"/>
  <c r="AG353" i="38"/>
  <c r="AC354" i="38"/>
  <c r="F374" i="38"/>
  <c r="J374" i="38" s="1"/>
  <c r="AG357" i="38"/>
  <c r="AG358" i="38"/>
  <c r="AK361" i="38"/>
  <c r="AK362" i="38"/>
  <c r="Y365" i="38"/>
  <c r="Y366" i="38"/>
  <c r="AC369" i="38"/>
  <c r="F370" i="38"/>
  <c r="J370" i="38" s="1"/>
  <c r="AC372" i="38"/>
  <c r="Y373" i="38"/>
  <c r="AK374" i="38"/>
  <c r="Y355" i="38"/>
  <c r="F358" i="38"/>
  <c r="J358" i="38" s="1"/>
  <c r="AC358" i="38"/>
  <c r="AC359" i="38"/>
  <c r="AG361" i="38"/>
  <c r="AG362" i="38"/>
  <c r="AG363" i="38"/>
  <c r="AK365" i="38"/>
  <c r="AK366" i="38"/>
  <c r="AK367" i="38"/>
  <c r="Y369" i="38"/>
  <c r="AF401" i="38"/>
  <c r="V401" i="38"/>
  <c r="AK371" i="38"/>
  <c r="Y372" i="38"/>
  <c r="F373" i="38"/>
  <c r="J373" i="38" s="1"/>
  <c r="AG374" i="38"/>
  <c r="AK355" i="38"/>
  <c r="Y358" i="38"/>
  <c r="Y359" i="38"/>
  <c r="F360" i="38"/>
  <c r="J360" i="38" s="1"/>
  <c r="AC361" i="38"/>
  <c r="F362" i="38"/>
  <c r="J362" i="38" s="1"/>
  <c r="AC362" i="38"/>
  <c r="F363" i="38"/>
  <c r="H363" i="38" s="1"/>
  <c r="AC363" i="38"/>
  <c r="AG365" i="38"/>
  <c r="AG366" i="38"/>
  <c r="AG367" i="38"/>
  <c r="AK369" i="38"/>
  <c r="AG370" i="38"/>
  <c r="AK373" i="38"/>
  <c r="F371" i="38"/>
  <c r="J371" i="38" s="1"/>
  <c r="AC371" i="38"/>
  <c r="AG373" i="38"/>
  <c r="AC374" i="38"/>
  <c r="Y371" i="38"/>
  <c r="F372" i="38"/>
  <c r="H372" i="38" s="1"/>
  <c r="AC373" i="38"/>
  <c r="Y374" i="38"/>
  <c r="F407" i="38"/>
  <c r="H407" i="38" s="1"/>
  <c r="W401" i="38"/>
  <c r="AB401" i="38"/>
  <c r="AH401" i="38"/>
  <c r="AK406" i="38"/>
  <c r="AG406" i="38"/>
  <c r="AK407" i="38"/>
  <c r="Y406" i="38"/>
  <c r="F406" i="38"/>
  <c r="J406" i="38" s="1"/>
  <c r="AC406" i="38"/>
  <c r="AC402" i="38"/>
  <c r="AG407" i="38"/>
  <c r="AC407" i="38"/>
  <c r="Y407" i="38"/>
  <c r="AK403" i="38"/>
  <c r="D401" i="38"/>
  <c r="AE401" i="38"/>
  <c r="AJ401" i="38"/>
  <c r="Y403" i="38"/>
  <c r="F402" i="38"/>
  <c r="J402" i="38" s="1"/>
  <c r="Y402" i="38"/>
  <c r="F399" i="38"/>
  <c r="J399" i="38" s="1"/>
  <c r="AC399" i="38"/>
  <c r="AC403" i="38"/>
  <c r="F403" i="38"/>
  <c r="H403" i="38" s="1"/>
  <c r="AA401" i="38"/>
  <c r="AK402" i="38"/>
  <c r="E401" i="38"/>
  <c r="AG402" i="38"/>
  <c r="Z401" i="38"/>
  <c r="F398" i="38"/>
  <c r="H398" i="38" s="1"/>
  <c r="AG399" i="38"/>
  <c r="F396" i="38"/>
  <c r="J396" i="38" s="1"/>
  <c r="Y399" i="38"/>
  <c r="AK399" i="38"/>
  <c r="Y396" i="38"/>
  <c r="AC398" i="38"/>
  <c r="Y398" i="38"/>
  <c r="AK398" i="38"/>
  <c r="AG398" i="38"/>
  <c r="AC396" i="38"/>
  <c r="AK396" i="38"/>
  <c r="AG396" i="38"/>
  <c r="F394" i="38"/>
  <c r="J394" i="38" s="1"/>
  <c r="AG395" i="38"/>
  <c r="AK393" i="38"/>
  <c r="AK394" i="38"/>
  <c r="AK395" i="38"/>
  <c r="F393" i="38"/>
  <c r="H393" i="38" s="1"/>
  <c r="Y393" i="38"/>
  <c r="AG393" i="38"/>
  <c r="AC393" i="38"/>
  <c r="AG394" i="38"/>
  <c r="F318" i="38"/>
  <c r="J318" i="38" s="1"/>
  <c r="AC394" i="38"/>
  <c r="F395" i="38"/>
  <c r="H395" i="38" s="1"/>
  <c r="AC395" i="38"/>
  <c r="Y394" i="38"/>
  <c r="Y395" i="38"/>
  <c r="AG317" i="38"/>
  <c r="AG320" i="38"/>
  <c r="AK321" i="38"/>
  <c r="AK315" i="38"/>
  <c r="Y316" i="38"/>
  <c r="F317" i="38"/>
  <c r="J317" i="38" s="1"/>
  <c r="AC317" i="38"/>
  <c r="AK319" i="38"/>
  <c r="Y315" i="38"/>
  <c r="F316" i="38"/>
  <c r="J316" i="38" s="1"/>
  <c r="AC316" i="38"/>
  <c r="AK318" i="38"/>
  <c r="F320" i="38"/>
  <c r="H320" i="38" s="1"/>
  <c r="AG321" i="38"/>
  <c r="F314" i="38"/>
  <c r="J314" i="38" s="1"/>
  <c r="Y317" i="38"/>
  <c r="AG319" i="38"/>
  <c r="AK317" i="38"/>
  <c r="Y321" i="38"/>
  <c r="F322" i="38"/>
  <c r="J322" i="38" s="1"/>
  <c r="AK322" i="38"/>
  <c r="AG323" i="38"/>
  <c r="Y314" i="38"/>
  <c r="F315" i="38"/>
  <c r="J315" i="38" s="1"/>
  <c r="AC315" i="38"/>
  <c r="AG316" i="38"/>
  <c r="Y318" i="38"/>
  <c r="Y319" i="38"/>
  <c r="F325" i="38"/>
  <c r="H325" i="38" s="1"/>
  <c r="F323" i="38"/>
  <c r="H323" i="38" s="1"/>
  <c r="AK314" i="38"/>
  <c r="AG318" i="38"/>
  <c r="AC324" i="38"/>
  <c r="AC321" i="38"/>
  <c r="Y322" i="38"/>
  <c r="AC314" i="38"/>
  <c r="AG314" i="38"/>
  <c r="AG315" i="38"/>
  <c r="AK316" i="38"/>
  <c r="AC318" i="38"/>
  <c r="F319" i="38"/>
  <c r="J319" i="38" s="1"/>
  <c r="AC319" i="38"/>
  <c r="Y325" i="38"/>
  <c r="AC320" i="38"/>
  <c r="AG322" i="38"/>
  <c r="AC323" i="38"/>
  <c r="F326" i="38"/>
  <c r="J326" i="38" s="1"/>
  <c r="AC326" i="38"/>
  <c r="Y320" i="38"/>
  <c r="F321" i="38"/>
  <c r="J321" i="38" s="1"/>
  <c r="AC322" i="38"/>
  <c r="Y323" i="38"/>
  <c r="F305" i="38"/>
  <c r="H305" i="38" s="1"/>
  <c r="F309" i="38"/>
  <c r="H309" i="38" s="1"/>
  <c r="F270" i="38"/>
  <c r="J270" i="38" s="1"/>
  <c r="F274" i="38"/>
  <c r="H274" i="38" s="1"/>
  <c r="F278" i="38"/>
  <c r="H278" i="38" s="1"/>
  <c r="F282" i="38"/>
  <c r="H282" i="38" s="1"/>
  <c r="F286" i="38"/>
  <c r="J286" i="38" s="1"/>
  <c r="F324" i="38"/>
  <c r="J324" i="38" s="1"/>
  <c r="AK320" i="38"/>
  <c r="AK323" i="38"/>
  <c r="Y324" i="38"/>
  <c r="F287" i="38"/>
  <c r="J287" i="38" s="1"/>
  <c r="AK324" i="38"/>
  <c r="AK325" i="38"/>
  <c r="AG326" i="38"/>
  <c r="AG324" i="38"/>
  <c r="AC325" i="38"/>
  <c r="AG325" i="38"/>
  <c r="F271" i="38"/>
  <c r="J271" i="38" s="1"/>
  <c r="F275" i="38"/>
  <c r="J275" i="38" s="1"/>
  <c r="F279" i="38"/>
  <c r="J279" i="38" s="1"/>
  <c r="F283" i="38"/>
  <c r="J283" i="38" s="1"/>
  <c r="Y290" i="38"/>
  <c r="F291" i="38"/>
  <c r="J291" i="38" s="1"/>
  <c r="Y294" i="38"/>
  <c r="F295" i="38"/>
  <c r="J295" i="38" s="1"/>
  <c r="F299" i="38"/>
  <c r="J299" i="38" s="1"/>
  <c r="Y326" i="38"/>
  <c r="AC304" i="38"/>
  <c r="AC308" i="38"/>
  <c r="AK270" i="38"/>
  <c r="AK271" i="38"/>
  <c r="AK275" i="38"/>
  <c r="AK279" i="38"/>
  <c r="AK283" i="38"/>
  <c r="AG286" i="38"/>
  <c r="AG287" i="38"/>
  <c r="AG289" i="38"/>
  <c r="AK326" i="38"/>
  <c r="Y271" i="38"/>
  <c r="F272" i="38"/>
  <c r="H272" i="38" s="1"/>
  <c r="Y274" i="38"/>
  <c r="Y275" i="38"/>
  <c r="F276" i="38"/>
  <c r="J276" i="38" s="1"/>
  <c r="Y278" i="38"/>
  <c r="Y279" i="38"/>
  <c r="F280" i="38"/>
  <c r="J280" i="38" s="1"/>
  <c r="Y282" i="38"/>
  <c r="Y283" i="38"/>
  <c r="F298" i="38"/>
  <c r="J298" i="38" s="1"/>
  <c r="AC298" i="38"/>
  <c r="AK300" i="38"/>
  <c r="AG271" i="38"/>
  <c r="AG275" i="38"/>
  <c r="AG279" i="38"/>
  <c r="AG283" i="38"/>
  <c r="AK284" i="38"/>
  <c r="Y285" i="38"/>
  <c r="AC286" i="38"/>
  <c r="AK290" i="38"/>
  <c r="AK294" i="38"/>
  <c r="AC271" i="38"/>
  <c r="AC275" i="38"/>
  <c r="AC279" i="38"/>
  <c r="AC283" i="38"/>
  <c r="F290" i="38"/>
  <c r="AG298" i="38"/>
  <c r="AK274" i="38"/>
  <c r="AK278" i="38"/>
  <c r="AK282" i="38"/>
  <c r="AC301" i="38"/>
  <c r="AK303" i="38"/>
  <c r="Y304" i="38"/>
  <c r="Y308" i="38"/>
  <c r="Y269" i="38"/>
  <c r="AG270" i="38"/>
  <c r="AK272" i="38"/>
  <c r="Y273" i="38"/>
  <c r="AG274" i="38"/>
  <c r="AK276" i="38"/>
  <c r="Y277" i="38"/>
  <c r="AG278" i="38"/>
  <c r="AK280" i="38"/>
  <c r="Y281" i="38"/>
  <c r="AG282" i="38"/>
  <c r="Y299" i="38"/>
  <c r="F302" i="38"/>
  <c r="J302" i="38" s="1"/>
  <c r="AK304" i="38"/>
  <c r="AK308" i="38"/>
  <c r="AC270" i="38"/>
  <c r="AC274" i="38"/>
  <c r="AC278" i="38"/>
  <c r="AC282" i="38"/>
  <c r="Y286" i="38"/>
  <c r="AG290" i="38"/>
  <c r="AG294" i="38"/>
  <c r="AG295" i="38"/>
  <c r="AG297" i="38"/>
  <c r="Y298" i="38"/>
  <c r="AG300" i="38"/>
  <c r="AG304" i="38"/>
  <c r="AG308" i="38"/>
  <c r="Y270" i="38"/>
  <c r="F284" i="38"/>
  <c r="J284" i="38" s="1"/>
  <c r="AK286" i="38"/>
  <c r="AC290" i="38"/>
  <c r="Y291" i="38"/>
  <c r="Y293" i="38"/>
  <c r="F294" i="38"/>
  <c r="J294" i="38" s="1"/>
  <c r="AC294" i="38"/>
  <c r="F297" i="38"/>
  <c r="H297" i="38" s="1"/>
  <c r="AC297" i="38"/>
  <c r="AK298" i="38"/>
  <c r="AG301" i="38"/>
  <c r="Y302" i="38"/>
  <c r="Y303" i="38"/>
  <c r="AG305" i="38"/>
  <c r="Y306" i="38"/>
  <c r="Y307" i="38"/>
  <c r="AK309" i="38"/>
  <c r="AC310" i="38"/>
  <c r="F311" i="38"/>
  <c r="J311" i="38" s="1"/>
  <c r="AC311" i="38"/>
  <c r="AC269" i="38"/>
  <c r="AC273" i="38"/>
  <c r="AC277" i="38"/>
  <c r="AC281" i="38"/>
  <c r="AC285" i="38"/>
  <c r="AK287" i="38"/>
  <c r="AG288" i="38"/>
  <c r="AK288" i="38"/>
  <c r="AK289" i="38"/>
  <c r="AC291" i="38"/>
  <c r="F292" i="38"/>
  <c r="J292" i="38" s="1"/>
  <c r="F293" i="38"/>
  <c r="H293" i="38" s="1"/>
  <c r="AC293" i="38"/>
  <c r="AK295" i="38"/>
  <c r="AG296" i="38"/>
  <c r="AK296" i="38"/>
  <c r="AK297" i="38"/>
  <c r="AC299" i="38"/>
  <c r="F300" i="38"/>
  <c r="J300" i="38" s="1"/>
  <c r="AK285" i="38"/>
  <c r="AC287" i="38"/>
  <c r="F288" i="38"/>
  <c r="J288" i="38" s="1"/>
  <c r="F289" i="38"/>
  <c r="H289" i="38" s="1"/>
  <c r="AC289" i="38"/>
  <c r="AK291" i="38"/>
  <c r="AG292" i="38"/>
  <c r="AK292" i="38"/>
  <c r="AK293" i="38"/>
  <c r="AC295" i="38"/>
  <c r="F296" i="38"/>
  <c r="H296" i="38" s="1"/>
  <c r="AK299" i="38"/>
  <c r="AG285" i="38"/>
  <c r="Y287" i="38"/>
  <c r="Y289" i="38"/>
  <c r="AG291" i="38"/>
  <c r="AG293" i="38"/>
  <c r="Y295" i="38"/>
  <c r="Y297" i="38"/>
  <c r="AG299" i="38"/>
  <c r="F269" i="38"/>
  <c r="AG269" i="38"/>
  <c r="Y272" i="38"/>
  <c r="F273" i="38"/>
  <c r="AG273" i="38"/>
  <c r="Y276" i="38"/>
  <c r="F277" i="38"/>
  <c r="AG277" i="38"/>
  <c r="Y280" i="38"/>
  <c r="F281" i="38"/>
  <c r="AG281" i="38"/>
  <c r="Y284" i="38"/>
  <c r="F285" i="38"/>
  <c r="Y288" i="38"/>
  <c r="Y292" i="38"/>
  <c r="Y296" i="38"/>
  <c r="Y300" i="38"/>
  <c r="AK305" i="38"/>
  <c r="AC306" i="38"/>
  <c r="F307" i="38"/>
  <c r="J307" i="38" s="1"/>
  <c r="AC307" i="38"/>
  <c r="Y309" i="38"/>
  <c r="F310" i="38"/>
  <c r="J310" i="38" s="1"/>
  <c r="AG310" i="38"/>
  <c r="AG311" i="38"/>
  <c r="AG272" i="38"/>
  <c r="AG276" i="38"/>
  <c r="AG280" i="38"/>
  <c r="AG284" i="38"/>
  <c r="F301" i="38"/>
  <c r="H301" i="38" s="1"/>
  <c r="AK302" i="38"/>
  <c r="F304" i="38"/>
  <c r="J304" i="38" s="1"/>
  <c r="AK269" i="38"/>
  <c r="AC272" i="38"/>
  <c r="AK273" i="38"/>
  <c r="AC276" i="38"/>
  <c r="AK277" i="38"/>
  <c r="AC280" i="38"/>
  <c r="AK281" i="38"/>
  <c r="AC284" i="38"/>
  <c r="AC288" i="38"/>
  <c r="AC292" i="38"/>
  <c r="AC296" i="38"/>
  <c r="AC300" i="38"/>
  <c r="Y301" i="38"/>
  <c r="AG302" i="38"/>
  <c r="AG303" i="38"/>
  <c r="AC305" i="38"/>
  <c r="AK306" i="38"/>
  <c r="AK307" i="38"/>
  <c r="F308" i="38"/>
  <c r="J308" i="38" s="1"/>
  <c r="AG309" i="38"/>
  <c r="Y310" i="38"/>
  <c r="Y311" i="38"/>
  <c r="AK301" i="38"/>
  <c r="AC302" i="38"/>
  <c r="F303" i="38"/>
  <c r="J303" i="38" s="1"/>
  <c r="AC303" i="38"/>
  <c r="Y305" i="38"/>
  <c r="F306" i="38"/>
  <c r="J306" i="38" s="1"/>
  <c r="AG306" i="38"/>
  <c r="AG307" i="38"/>
  <c r="AC309" i="38"/>
  <c r="AK310" i="38"/>
  <c r="AK311" i="38"/>
  <c r="Z260" i="38"/>
  <c r="AE260" i="38"/>
  <c r="AJ260" i="38"/>
  <c r="Y265" i="38"/>
  <c r="F266" i="38"/>
  <c r="H266" i="38" s="1"/>
  <c r="AC266" i="38"/>
  <c r="X260" i="38"/>
  <c r="AD260" i="38"/>
  <c r="AI260" i="38"/>
  <c r="Y263" i="38"/>
  <c r="E260" i="38"/>
  <c r="W260" i="38"/>
  <c r="AC261" i="38"/>
  <c r="AH260" i="38"/>
  <c r="V260" i="38"/>
  <c r="AA260" i="38"/>
  <c r="AF260" i="38"/>
  <c r="D260" i="38"/>
  <c r="F265" i="38"/>
  <c r="J265" i="38" s="1"/>
  <c r="AB260" i="38"/>
  <c r="Y264" i="38"/>
  <c r="AC265" i="38"/>
  <c r="Y261" i="38"/>
  <c r="AC262" i="38"/>
  <c r="F263" i="38"/>
  <c r="J263" i="38" s="1"/>
  <c r="Y266" i="38"/>
  <c r="F261" i="38"/>
  <c r="H261" i="38" s="1"/>
  <c r="AK261" i="38"/>
  <c r="AK263" i="38"/>
  <c r="AG261" i="38"/>
  <c r="F262" i="38"/>
  <c r="J262" i="38" s="1"/>
  <c r="AG263" i="38"/>
  <c r="AC263" i="38"/>
  <c r="F264" i="38"/>
  <c r="J264" i="38" s="1"/>
  <c r="AG264" i="38"/>
  <c r="AK264" i="38"/>
  <c r="AC264" i="38"/>
  <c r="Y262" i="38"/>
  <c r="AK262" i="38"/>
  <c r="AG262" i="38"/>
  <c r="AK265" i="38"/>
  <c r="AK266" i="38"/>
  <c r="AC329" i="38"/>
  <c r="AG265" i="38"/>
  <c r="AG266" i="38"/>
  <c r="AK330" i="38"/>
  <c r="F329" i="38"/>
  <c r="J329" i="38" s="1"/>
  <c r="Y329" i="38"/>
  <c r="AK329" i="38"/>
  <c r="AG330" i="38"/>
  <c r="Y251" i="38"/>
  <c r="AK331" i="38"/>
  <c r="AG329" i="38"/>
  <c r="F330" i="38"/>
  <c r="J330" i="38" s="1"/>
  <c r="Y330" i="38"/>
  <c r="AC330" i="38"/>
  <c r="AG331" i="38"/>
  <c r="F251" i="38"/>
  <c r="H251" i="38" s="1"/>
  <c r="AG251" i="38"/>
  <c r="AK253" i="38"/>
  <c r="F331" i="38"/>
  <c r="J331" i="38" s="1"/>
  <c r="AC331" i="38"/>
  <c r="Y331" i="38"/>
  <c r="AC251" i="38"/>
  <c r="AC245" i="38"/>
  <c r="AG246" i="38"/>
  <c r="AK247" i="38"/>
  <c r="Y256" i="38"/>
  <c r="AK259" i="38"/>
  <c r="AG247" i="38"/>
  <c r="AK251" i="38"/>
  <c r="AC252" i="38"/>
  <c r="F253" i="38"/>
  <c r="J253" i="38" s="1"/>
  <c r="Y253" i="38"/>
  <c r="AK257" i="38"/>
  <c r="AG255" i="38"/>
  <c r="AK256" i="38"/>
  <c r="AC247" i="38"/>
  <c r="AK249" i="38"/>
  <c r="Y250" i="38"/>
  <c r="AG245" i="38"/>
  <c r="AK246" i="38"/>
  <c r="Y247" i="38"/>
  <c r="F248" i="38"/>
  <c r="J248" i="38" s="1"/>
  <c r="AG249" i="38"/>
  <c r="AK250" i="38"/>
  <c r="AG259" i="38"/>
  <c r="F259" i="38"/>
  <c r="J259" i="38" s="1"/>
  <c r="AK258" i="38"/>
  <c r="AG254" i="38"/>
  <c r="F257" i="38"/>
  <c r="J257" i="38" s="1"/>
  <c r="AC255" i="38"/>
  <c r="AG256" i="38"/>
  <c r="AC256" i="38"/>
  <c r="AG253" i="38"/>
  <c r="AC253" i="38"/>
  <c r="AK252" i="38"/>
  <c r="AG252" i="38"/>
  <c r="AG250" i="38"/>
  <c r="F250" i="38"/>
  <c r="H250" i="38" s="1"/>
  <c r="AC250" i="38"/>
  <c r="AC249" i="38"/>
  <c r="F249" i="38"/>
  <c r="H249" i="38" s="1"/>
  <c r="Y249" i="38"/>
  <c r="F247" i="38"/>
  <c r="H247" i="38" s="1"/>
  <c r="F245" i="38"/>
  <c r="J245" i="38" s="1"/>
  <c r="Y245" i="38"/>
  <c r="AC246" i="38"/>
  <c r="AK245" i="38"/>
  <c r="Y248" i="38"/>
  <c r="AK248" i="38"/>
  <c r="AG248" i="38"/>
  <c r="AC248" i="38"/>
  <c r="J251" i="38"/>
  <c r="F254" i="38"/>
  <c r="J254" i="38" s="1"/>
  <c r="AC254" i="38"/>
  <c r="AG257" i="38"/>
  <c r="AG258" i="38"/>
  <c r="Y254" i="38"/>
  <c r="F255" i="38"/>
  <c r="J255" i="38" s="1"/>
  <c r="Y255" i="38"/>
  <c r="F256" i="38"/>
  <c r="H256" i="38" s="1"/>
  <c r="AC257" i="38"/>
  <c r="F258" i="38"/>
  <c r="H258" i="38" s="1"/>
  <c r="AC258" i="38"/>
  <c r="AC259" i="38"/>
  <c r="AK254" i="38"/>
  <c r="AK255" i="38"/>
  <c r="Y257" i="38"/>
  <c r="Y258" i="38"/>
  <c r="Y259" i="38"/>
  <c r="D235" i="38"/>
  <c r="Z235" i="38"/>
  <c r="AE235" i="38"/>
  <c r="AJ235" i="38"/>
  <c r="E235" i="38"/>
  <c r="X235" i="38"/>
  <c r="AD235" i="38"/>
  <c r="AI235" i="38"/>
  <c r="W235" i="38"/>
  <c r="AB235" i="38"/>
  <c r="AH235" i="38"/>
  <c r="V235" i="38"/>
  <c r="AA235" i="38"/>
  <c r="AF235" i="38"/>
  <c r="AG237" i="38"/>
  <c r="AC237" i="38"/>
  <c r="AC240" i="38"/>
  <c r="Y237" i="38"/>
  <c r="AC238" i="38"/>
  <c r="F239" i="38"/>
  <c r="J239" i="38" s="1"/>
  <c r="Y239" i="38"/>
  <c r="AK241" i="38"/>
  <c r="Y236" i="38"/>
  <c r="F237" i="38"/>
  <c r="J237" i="38" s="1"/>
  <c r="AK237" i="38"/>
  <c r="AK239" i="38"/>
  <c r="Y240" i="38"/>
  <c r="F240" i="38"/>
  <c r="J240" i="38" s="1"/>
  <c r="AK240" i="38"/>
  <c r="AG241" i="38"/>
  <c r="AK236" i="38"/>
  <c r="F238" i="38"/>
  <c r="J238" i="38" s="1"/>
  <c r="AG240" i="38"/>
  <c r="F241" i="38"/>
  <c r="J241" i="38" s="1"/>
  <c r="Y238" i="38"/>
  <c r="AG236" i="38"/>
  <c r="AK238" i="38"/>
  <c r="AG239" i="38"/>
  <c r="F242" i="38"/>
  <c r="J242" i="38" s="1"/>
  <c r="AC242" i="38"/>
  <c r="F236" i="38"/>
  <c r="H236" i="38" s="1"/>
  <c r="AC236" i="38"/>
  <c r="AG238" i="38"/>
  <c r="AC239" i="38"/>
  <c r="AC241" i="38"/>
  <c r="Y241" i="38"/>
  <c r="AG242" i="38"/>
  <c r="AK232" i="38"/>
  <c r="AC234" i="38"/>
  <c r="AG229" i="38"/>
  <c r="AK230" i="38"/>
  <c r="Y242" i="38"/>
  <c r="AK242" i="38"/>
  <c r="F231" i="38"/>
  <c r="H231" i="38" s="1"/>
  <c r="Y229" i="38"/>
  <c r="AK229" i="38"/>
  <c r="AG230" i="38"/>
  <c r="F233" i="38"/>
  <c r="J233" i="38" s="1"/>
  <c r="AK233" i="38"/>
  <c r="F230" i="38"/>
  <c r="J230" i="38" s="1"/>
  <c r="Y232" i="38"/>
  <c r="Y230" i="38"/>
  <c r="AC231" i="38"/>
  <c r="AG233" i="38"/>
  <c r="AG232" i="38"/>
  <c r="AC232" i="38"/>
  <c r="AC230" i="38"/>
  <c r="AG231" i="38"/>
  <c r="AG234" i="38"/>
  <c r="Y231" i="38"/>
  <c r="F232" i="38"/>
  <c r="H232" i="38" s="1"/>
  <c r="AC233" i="38"/>
  <c r="F234" i="38"/>
  <c r="J234" i="38" s="1"/>
  <c r="Y234" i="38"/>
  <c r="AK231" i="38"/>
  <c r="Y233" i="38"/>
  <c r="AK234" i="38"/>
  <c r="F202" i="38"/>
  <c r="J202" i="38" s="1"/>
  <c r="AG202" i="38"/>
  <c r="AK203" i="38"/>
  <c r="AC202" i="38"/>
  <c r="AG203" i="38"/>
  <c r="F197" i="38"/>
  <c r="H197" i="38" s="1"/>
  <c r="F207" i="38"/>
  <c r="J207" i="38" s="1"/>
  <c r="Y202" i="38"/>
  <c r="AC203" i="38"/>
  <c r="AG204" i="38"/>
  <c r="F205" i="38"/>
  <c r="J205" i="38" s="1"/>
  <c r="AK202" i="38"/>
  <c r="AC204" i="38"/>
  <c r="AG205" i="38"/>
  <c r="Y206" i="38"/>
  <c r="AG207" i="38"/>
  <c r="Y205" i="38"/>
  <c r="AC205" i="38"/>
  <c r="F206" i="38"/>
  <c r="H206" i="38" s="1"/>
  <c r="AC206" i="38"/>
  <c r="AK205" i="38"/>
  <c r="AK206" i="38"/>
  <c r="AG206" i="38"/>
  <c r="AC207" i="38"/>
  <c r="Y207" i="38"/>
  <c r="AK196" i="38"/>
  <c r="AK207" i="38"/>
  <c r="Y197" i="38"/>
  <c r="F196" i="38"/>
  <c r="J196" i="38" s="1"/>
  <c r="Y196" i="38"/>
  <c r="AC195" i="38"/>
  <c r="AC197" i="38"/>
  <c r="AG197" i="38"/>
  <c r="AG196" i="38"/>
  <c r="AG198" i="38"/>
  <c r="AK197" i="38"/>
  <c r="AC196" i="38"/>
  <c r="F198" i="38"/>
  <c r="H198" i="38" s="1"/>
  <c r="F199" i="38"/>
  <c r="J199" i="38" s="1"/>
  <c r="AG195" i="38"/>
  <c r="AK198" i="38"/>
  <c r="AK199" i="38"/>
  <c r="F195" i="38"/>
  <c r="H195" i="38" s="1"/>
  <c r="Y195" i="38"/>
  <c r="AC198" i="38"/>
  <c r="AG199" i="38"/>
  <c r="AK195" i="38"/>
  <c r="Y198" i="38"/>
  <c r="AC199" i="38"/>
  <c r="Y199" i="38"/>
  <c r="F220" i="38"/>
  <c r="J220" i="38" s="1"/>
  <c r="F223" i="38"/>
  <c r="J223" i="38" s="1"/>
  <c r="AC211" i="38"/>
  <c r="Y220" i="38"/>
  <c r="F221" i="38"/>
  <c r="J221" i="38" s="1"/>
  <c r="AG222" i="38"/>
  <c r="Y223" i="38"/>
  <c r="AK220" i="38"/>
  <c r="AK223" i="38"/>
  <c r="F212" i="38"/>
  <c r="J212" i="38" s="1"/>
  <c r="AG220" i="38"/>
  <c r="AG223" i="38"/>
  <c r="AC220" i="38"/>
  <c r="AC223" i="38"/>
  <c r="AG221" i="38"/>
  <c r="AK222" i="38"/>
  <c r="F224" i="38"/>
  <c r="H224" i="38" s="1"/>
  <c r="F222" i="38"/>
  <c r="J222" i="38" s="1"/>
  <c r="AC222" i="38"/>
  <c r="AK221" i="38"/>
  <c r="Y222" i="38"/>
  <c r="Y211" i="38"/>
  <c r="AC224" i="38"/>
  <c r="AK211" i="38"/>
  <c r="AC221" i="38"/>
  <c r="AG211" i="38"/>
  <c r="Y221" i="38"/>
  <c r="F211" i="38"/>
  <c r="H211" i="38" s="1"/>
  <c r="AG213" i="38"/>
  <c r="AK212" i="38"/>
  <c r="AG224" i="38"/>
  <c r="F172" i="38"/>
  <c r="J172" i="38" s="1"/>
  <c r="Y224" i="38"/>
  <c r="AK224" i="38"/>
  <c r="AK213" i="38"/>
  <c r="Y212" i="38"/>
  <c r="Y214" i="38"/>
  <c r="F213" i="38"/>
  <c r="J213" i="38" s="1"/>
  <c r="AG212" i="38"/>
  <c r="F215" i="38"/>
  <c r="J215" i="38" s="1"/>
  <c r="AC212" i="38"/>
  <c r="AK214" i="38"/>
  <c r="Y215" i="38"/>
  <c r="Y171" i="38"/>
  <c r="Y175" i="38"/>
  <c r="AC216" i="38"/>
  <c r="F214" i="38"/>
  <c r="H214" i="38" s="1"/>
  <c r="AG214" i="38"/>
  <c r="AC213" i="38"/>
  <c r="AC214" i="38"/>
  <c r="AG215" i="38"/>
  <c r="Y213" i="38"/>
  <c r="AK215" i="38"/>
  <c r="AC215" i="38"/>
  <c r="F216" i="38"/>
  <c r="H216" i="38" s="1"/>
  <c r="AG216" i="38"/>
  <c r="Y216" i="38"/>
  <c r="AK216" i="38"/>
  <c r="AC171" i="38"/>
  <c r="AC175" i="38"/>
  <c r="Y182" i="38"/>
  <c r="F183" i="38"/>
  <c r="H183" i="38" s="1"/>
  <c r="AC183" i="38"/>
  <c r="AG184" i="38"/>
  <c r="AK171" i="38"/>
  <c r="F167" i="38"/>
  <c r="J167" i="38" s="1"/>
  <c r="AG171" i="38"/>
  <c r="AG187" i="38"/>
  <c r="AG172" i="38"/>
  <c r="AG173" i="38"/>
  <c r="AG174" i="38"/>
  <c r="AK175" i="38"/>
  <c r="F177" i="38"/>
  <c r="J177" i="38" s="1"/>
  <c r="AK177" i="38"/>
  <c r="AK178" i="38"/>
  <c r="F181" i="38"/>
  <c r="J181" i="38" s="1"/>
  <c r="F171" i="38"/>
  <c r="H171" i="38" s="1"/>
  <c r="F174" i="38"/>
  <c r="H174" i="38" s="1"/>
  <c r="AC174" i="38"/>
  <c r="AG175" i="38"/>
  <c r="AC184" i="38"/>
  <c r="Y184" i="38"/>
  <c r="AK185" i="38"/>
  <c r="AG186" i="38"/>
  <c r="AK187" i="38"/>
  <c r="F179" i="38"/>
  <c r="H179" i="38" s="1"/>
  <c r="AG181" i="38"/>
  <c r="AC182" i="38"/>
  <c r="AG183" i="38"/>
  <c r="AK184" i="38"/>
  <c r="F185" i="38"/>
  <c r="J185" i="38" s="1"/>
  <c r="AC186" i="38"/>
  <c r="AC181" i="38"/>
  <c r="F182" i="38"/>
  <c r="J182" i="38" s="1"/>
  <c r="AG185" i="38"/>
  <c r="AC187" i="38"/>
  <c r="Y188" i="38"/>
  <c r="AC189" i="38"/>
  <c r="F190" i="38"/>
  <c r="H190" i="38" s="1"/>
  <c r="AC190" i="38"/>
  <c r="AK179" i="38"/>
  <c r="Y180" i="38"/>
  <c r="Y181" i="38"/>
  <c r="AK182" i="38"/>
  <c r="Y183" i="38"/>
  <c r="F184" i="38"/>
  <c r="H184" i="38" s="1"/>
  <c r="AC185" i="38"/>
  <c r="F186" i="38"/>
  <c r="J186" i="38" s="1"/>
  <c r="Y186" i="38"/>
  <c r="Y187" i="38"/>
  <c r="F188" i="38"/>
  <c r="J188" i="38" s="1"/>
  <c r="AK181" i="38"/>
  <c r="AG182" i="38"/>
  <c r="AK183" i="38"/>
  <c r="Y185" i="38"/>
  <c r="AL185" i="38" s="1"/>
  <c r="AK186" i="38"/>
  <c r="AC178" i="38"/>
  <c r="AC173" i="38"/>
  <c r="Y172" i="38"/>
  <c r="Y173" i="38"/>
  <c r="Y174" i="38"/>
  <c r="F175" i="38"/>
  <c r="J175" i="38" s="1"/>
  <c r="AC172" i="38"/>
  <c r="F173" i="38"/>
  <c r="H173" i="38" s="1"/>
  <c r="AK172" i="38"/>
  <c r="AK173" i="38"/>
  <c r="AK174" i="38"/>
  <c r="AK180" i="38"/>
  <c r="AG180" i="38"/>
  <c r="AC176" i="38"/>
  <c r="F178" i="38"/>
  <c r="J178" i="38" s="1"/>
  <c r="F176" i="38"/>
  <c r="J176" i="38" s="1"/>
  <c r="AC180" i="38"/>
  <c r="Y176" i="38"/>
  <c r="AG177" i="38"/>
  <c r="AG178" i="38"/>
  <c r="AG179" i="38"/>
  <c r="AK176" i="38"/>
  <c r="AC177" i="38"/>
  <c r="AC179" i="38"/>
  <c r="AG176" i="38"/>
  <c r="Y177" i="38"/>
  <c r="Y178" i="38"/>
  <c r="Y179" i="38"/>
  <c r="F180" i="38"/>
  <c r="H180" i="38" s="1"/>
  <c r="AK188" i="38"/>
  <c r="Y189" i="38"/>
  <c r="Y190" i="38"/>
  <c r="AG188" i="38"/>
  <c r="AK189" i="38"/>
  <c r="AK190" i="38"/>
  <c r="F187" i="38"/>
  <c r="J187" i="38" s="1"/>
  <c r="AC188" i="38"/>
  <c r="F189" i="38"/>
  <c r="H189" i="38" s="1"/>
  <c r="AG189" i="38"/>
  <c r="AG190" i="38"/>
  <c r="AK167" i="38"/>
  <c r="AG168" i="38"/>
  <c r="Y167" i="38"/>
  <c r="F159" i="38"/>
  <c r="H159" i="38" s="1"/>
  <c r="F168" i="38"/>
  <c r="J168" i="38" s="1"/>
  <c r="AG167" i="38"/>
  <c r="AC167" i="38"/>
  <c r="F170" i="38"/>
  <c r="J170" i="38" s="1"/>
  <c r="AG169" i="38"/>
  <c r="AK168" i="38"/>
  <c r="AC168" i="38"/>
  <c r="AK169" i="38"/>
  <c r="Y168" i="38"/>
  <c r="AG157" i="38"/>
  <c r="Y170" i="38"/>
  <c r="F169" i="38"/>
  <c r="J169" i="38" s="1"/>
  <c r="AC169" i="38"/>
  <c r="Y169" i="38"/>
  <c r="F155" i="38"/>
  <c r="J155" i="38" s="1"/>
  <c r="AK170" i="38"/>
  <c r="AG170" i="38"/>
  <c r="F160" i="38"/>
  <c r="J160" i="38" s="1"/>
  <c r="F152" i="38"/>
  <c r="H152" i="38" s="1"/>
  <c r="AC170" i="38"/>
  <c r="AK152" i="38"/>
  <c r="F154" i="38"/>
  <c r="J154" i="38" s="1"/>
  <c r="Y156" i="38"/>
  <c r="F157" i="38"/>
  <c r="J157" i="38" s="1"/>
  <c r="AK157" i="38"/>
  <c r="AK159" i="38"/>
  <c r="AC157" i="38"/>
  <c r="AK162" i="38"/>
  <c r="Y152" i="38"/>
  <c r="Y154" i="38"/>
  <c r="AG155" i="38"/>
  <c r="Y157" i="38"/>
  <c r="AC158" i="38"/>
  <c r="Y159" i="38"/>
  <c r="AK154" i="38"/>
  <c r="AG154" i="38"/>
  <c r="F158" i="38"/>
  <c r="J158" i="38" s="1"/>
  <c r="AC154" i="38"/>
  <c r="AG159" i="38"/>
  <c r="AC159" i="38"/>
  <c r="AK158" i="38"/>
  <c r="Y158" i="38"/>
  <c r="AG158" i="38"/>
  <c r="AC156" i="38"/>
  <c r="AC155" i="38"/>
  <c r="F156" i="38"/>
  <c r="J156" i="38" s="1"/>
  <c r="AG152" i="38"/>
  <c r="AK153" i="38"/>
  <c r="Y155" i="38"/>
  <c r="AK156" i="38"/>
  <c r="AC152" i="38"/>
  <c r="AG153" i="38"/>
  <c r="AK155" i="38"/>
  <c r="AG156" i="38"/>
  <c r="AK160" i="38"/>
  <c r="AK161" i="38"/>
  <c r="AG162" i="38"/>
  <c r="Y162" i="38"/>
  <c r="AG161" i="38"/>
  <c r="F161" i="38"/>
  <c r="H161" i="38" s="1"/>
  <c r="Y161" i="38"/>
  <c r="AC161" i="38"/>
  <c r="F162" i="38"/>
  <c r="J162" i="38" s="1"/>
  <c r="AC162" i="38"/>
  <c r="F144" i="38"/>
  <c r="J144" i="38" s="1"/>
  <c r="F141" i="38"/>
  <c r="J141" i="38" s="1"/>
  <c r="Y160" i="38"/>
  <c r="AG160" i="38"/>
  <c r="AC160" i="38"/>
  <c r="AC143" i="38"/>
  <c r="AC140" i="38"/>
  <c r="Y141" i="38"/>
  <c r="F139" i="38"/>
  <c r="J139" i="38" s="1"/>
  <c r="AK143" i="38"/>
  <c r="AK140" i="38"/>
  <c r="AK141" i="38"/>
  <c r="Y143" i="38"/>
  <c r="AK142" i="38"/>
  <c r="F140" i="38"/>
  <c r="H140" i="38" s="1"/>
  <c r="AG140" i="38"/>
  <c r="AG143" i="38"/>
  <c r="Y140" i="38"/>
  <c r="F143" i="38"/>
  <c r="H143" i="38" s="1"/>
  <c r="Y142" i="38"/>
  <c r="AC145" i="38"/>
  <c r="AC139" i="38"/>
  <c r="AK144" i="38"/>
  <c r="AC142" i="38"/>
  <c r="F142" i="38"/>
  <c r="H142" i="38" s="1"/>
  <c r="AG141" i="38"/>
  <c r="AG142" i="38"/>
  <c r="AC141" i="38"/>
  <c r="AG139" i="38"/>
  <c r="Y144" i="38"/>
  <c r="Y145" i="38"/>
  <c r="AK146" i="38"/>
  <c r="Y139" i="38"/>
  <c r="AG144" i="38"/>
  <c r="F130" i="38"/>
  <c r="J130" i="38" s="1"/>
  <c r="F145" i="38"/>
  <c r="J145" i="38" s="1"/>
  <c r="AK139" i="38"/>
  <c r="AC144" i="38"/>
  <c r="AC147" i="38"/>
  <c r="AK145" i="38"/>
  <c r="AG146" i="38"/>
  <c r="AG147" i="38"/>
  <c r="AG145" i="38"/>
  <c r="AC146" i="38"/>
  <c r="F138" i="38"/>
  <c r="J138" i="38" s="1"/>
  <c r="AG137" i="38"/>
  <c r="AK138" i="38"/>
  <c r="F147" i="38"/>
  <c r="H147" i="38" s="1"/>
  <c r="Y147" i="38"/>
  <c r="AG138" i="38"/>
  <c r="AK147" i="38"/>
  <c r="AC138" i="38"/>
  <c r="AG124" i="38"/>
  <c r="AG136" i="38"/>
  <c r="AK137" i="38"/>
  <c r="Y138" i="38"/>
  <c r="F136" i="38"/>
  <c r="J136" i="38" s="1"/>
  <c r="AC137" i="38"/>
  <c r="AK124" i="38"/>
  <c r="AK136" i="38"/>
  <c r="F137" i="38"/>
  <c r="H137" i="38" s="1"/>
  <c r="Y137" i="38"/>
  <c r="AC121" i="38"/>
  <c r="AC136" i="38"/>
  <c r="F121" i="38"/>
  <c r="J121" i="38" s="1"/>
  <c r="Y136" i="38"/>
  <c r="Y124" i="38"/>
  <c r="AK126" i="38"/>
  <c r="AC148" i="38"/>
  <c r="Y148" i="38"/>
  <c r="AK148" i="38"/>
  <c r="F148" i="38"/>
  <c r="J148" i="38" s="1"/>
  <c r="AG148" i="38"/>
  <c r="Y127" i="38"/>
  <c r="F128" i="38"/>
  <c r="J128" i="38" s="1"/>
  <c r="AC129" i="38"/>
  <c r="Y121" i="38"/>
  <c r="Y122" i="38"/>
  <c r="Y123" i="38"/>
  <c r="F124" i="38"/>
  <c r="H124" i="38" s="1"/>
  <c r="F125" i="38"/>
  <c r="J125" i="38" s="1"/>
  <c r="AK123" i="38"/>
  <c r="AC124" i="38"/>
  <c r="AC125" i="38"/>
  <c r="F126" i="38"/>
  <c r="J126" i="38" s="1"/>
  <c r="Y126" i="38"/>
  <c r="AC131" i="38"/>
  <c r="AG130" i="38"/>
  <c r="AK127" i="38"/>
  <c r="F127" i="38"/>
  <c r="H127" i="38" s="1"/>
  <c r="AG127" i="38"/>
  <c r="AG123" i="38"/>
  <c r="AK125" i="38"/>
  <c r="AG126" i="38"/>
  <c r="Y125" i="38"/>
  <c r="AC127" i="38"/>
  <c r="AK128" i="38"/>
  <c r="AG129" i="38"/>
  <c r="F123" i="38"/>
  <c r="H123" i="38" s="1"/>
  <c r="AC123" i="38"/>
  <c r="AG125" i="38"/>
  <c r="AC126" i="38"/>
  <c r="AG122" i="38"/>
  <c r="AK122" i="38"/>
  <c r="F122" i="38"/>
  <c r="J122" i="38" s="1"/>
  <c r="AC122" i="38"/>
  <c r="AK121" i="38"/>
  <c r="AG121" i="38"/>
  <c r="AC130" i="38"/>
  <c r="AG128" i="38"/>
  <c r="Y130" i="38"/>
  <c r="F131" i="38"/>
  <c r="J131" i="38" s="1"/>
  <c r="Y131" i="38"/>
  <c r="AC128" i="38"/>
  <c r="F129" i="38"/>
  <c r="H129" i="38" s="1"/>
  <c r="Y129" i="38"/>
  <c r="AK130" i="38"/>
  <c r="Y128" i="38"/>
  <c r="AK129" i="38"/>
  <c r="AK131" i="38"/>
  <c r="AG131" i="38"/>
  <c r="F114" i="38"/>
  <c r="J114" i="38" s="1"/>
  <c r="F112" i="38"/>
  <c r="J112" i="38" s="1"/>
  <c r="F115" i="38"/>
  <c r="J115" i="38" s="1"/>
  <c r="F113" i="38"/>
  <c r="H113" i="38" s="1"/>
  <c r="F110" i="38"/>
  <c r="J110" i="38" s="1"/>
  <c r="AK110" i="38"/>
  <c r="Y111" i="38"/>
  <c r="AK111" i="38"/>
  <c r="AK114" i="38"/>
  <c r="Y115" i="38"/>
  <c r="AG111" i="38"/>
  <c r="AC112" i="38"/>
  <c r="Y113" i="38"/>
  <c r="F117" i="38"/>
  <c r="H117" i="38" s="1"/>
  <c r="AG114" i="38"/>
  <c r="AK115" i="38"/>
  <c r="AC111" i="38"/>
  <c r="AK113" i="38"/>
  <c r="AG115" i="38"/>
  <c r="AG113" i="38"/>
  <c r="AC115" i="38"/>
  <c r="AC113" i="38"/>
  <c r="AK112" i="38"/>
  <c r="Y112" i="38"/>
  <c r="AG112" i="38"/>
  <c r="Y110" i="38"/>
  <c r="F111" i="38"/>
  <c r="J111" i="38" s="1"/>
  <c r="AG110" i="38"/>
  <c r="AC110" i="38"/>
  <c r="AC114" i="38"/>
  <c r="F76" i="38"/>
  <c r="J76" i="38" s="1"/>
  <c r="Y114" i="38"/>
  <c r="H114" i="38"/>
  <c r="AK116" i="38"/>
  <c r="AG117" i="38"/>
  <c r="Y109" i="38"/>
  <c r="Y116" i="38"/>
  <c r="AK109" i="38"/>
  <c r="AG109" i="38"/>
  <c r="AG116" i="38"/>
  <c r="AK117" i="38"/>
  <c r="F109" i="38"/>
  <c r="J109" i="38" s="1"/>
  <c r="AC109" i="38"/>
  <c r="F116" i="38"/>
  <c r="H116" i="38" s="1"/>
  <c r="AC116" i="38"/>
  <c r="AG76" i="38"/>
  <c r="AK74" i="38"/>
  <c r="F75" i="38"/>
  <c r="H75" i="38" s="1"/>
  <c r="Y75" i="38"/>
  <c r="AC117" i="38"/>
  <c r="Y117" i="38"/>
  <c r="AC76" i="38"/>
  <c r="AG74" i="38"/>
  <c r="AK75" i="38"/>
  <c r="AK81" i="38"/>
  <c r="Y76" i="38"/>
  <c r="AC74" i="38"/>
  <c r="AG75" i="38"/>
  <c r="AK76" i="38"/>
  <c r="F74" i="38"/>
  <c r="J74" i="38" s="1"/>
  <c r="Y74" i="38"/>
  <c r="AC75" i="38"/>
  <c r="F82" i="38"/>
  <c r="H82" i="38" s="1"/>
  <c r="AC79" i="38"/>
  <c r="AC82" i="38"/>
  <c r="Y81" i="38"/>
  <c r="AG81" i="38"/>
  <c r="AG79" i="38"/>
  <c r="F81" i="38"/>
  <c r="H81" i="38" s="1"/>
  <c r="AC81" i="38"/>
  <c r="AK82" i="38"/>
  <c r="AG82" i="38"/>
  <c r="Y82" i="38"/>
  <c r="F77" i="38"/>
  <c r="J77" i="38" s="1"/>
  <c r="AG78" i="38"/>
  <c r="AK77" i="38"/>
  <c r="F79" i="38"/>
  <c r="H79" i="38" s="1"/>
  <c r="Y79" i="38"/>
  <c r="AK79" i="38"/>
  <c r="F78" i="38"/>
  <c r="H78" i="38" s="1"/>
  <c r="AK78" i="38"/>
  <c r="Y77" i="38"/>
  <c r="AG77" i="38"/>
  <c r="AC77" i="38"/>
  <c r="AC78" i="38"/>
  <c r="Y78" i="38"/>
  <c r="AG71" i="38"/>
  <c r="F71" i="38"/>
  <c r="H71" i="38" s="1"/>
  <c r="AG70" i="38"/>
  <c r="F68" i="38"/>
  <c r="J68" i="38" s="1"/>
  <c r="AG69" i="38"/>
  <c r="F97" i="38"/>
  <c r="J97" i="38" s="1"/>
  <c r="F101" i="38"/>
  <c r="J101" i="38" s="1"/>
  <c r="AC69" i="38"/>
  <c r="AK70" i="38"/>
  <c r="Y71" i="38"/>
  <c r="AC71" i="38"/>
  <c r="F70" i="38"/>
  <c r="H70" i="38" s="1"/>
  <c r="Y70" i="38"/>
  <c r="AK72" i="38"/>
  <c r="AK71" i="38"/>
  <c r="AC70" i="38"/>
  <c r="F69" i="38"/>
  <c r="H69" i="38" s="1"/>
  <c r="Y69" i="38"/>
  <c r="Y68" i="38"/>
  <c r="AK69" i="38"/>
  <c r="AC68" i="38"/>
  <c r="AK68" i="38"/>
  <c r="AG68" i="38"/>
  <c r="Y72" i="38"/>
  <c r="AC72" i="38"/>
  <c r="F72" i="38"/>
  <c r="J72" i="38" s="1"/>
  <c r="AG63" i="38"/>
  <c r="AG72" i="38"/>
  <c r="F61" i="38"/>
  <c r="J61" i="38" s="1"/>
  <c r="AG64" i="38"/>
  <c r="AK63" i="38"/>
  <c r="AC63" i="38"/>
  <c r="F102" i="38"/>
  <c r="J102" i="38" s="1"/>
  <c r="AC97" i="38"/>
  <c r="AG98" i="38"/>
  <c r="AK99" i="38"/>
  <c r="Y100" i="38"/>
  <c r="AG61" i="38"/>
  <c r="F63" i="38"/>
  <c r="J63" i="38" s="1"/>
  <c r="Y63" i="38"/>
  <c r="AK64" i="38"/>
  <c r="AC64" i="38"/>
  <c r="AK61" i="38"/>
  <c r="F64" i="38"/>
  <c r="J64" i="38" s="1"/>
  <c r="Y64" i="38"/>
  <c r="AC61" i="38"/>
  <c r="Y61" i="38"/>
  <c r="F100" i="38"/>
  <c r="J100" i="38" s="1"/>
  <c r="AC100" i="38"/>
  <c r="AK100" i="38"/>
  <c r="AG100" i="38"/>
  <c r="Y101" i="38"/>
  <c r="AG102" i="38"/>
  <c r="Y97" i="38"/>
  <c r="F98" i="38"/>
  <c r="J98" i="38" s="1"/>
  <c r="AC98" i="38"/>
  <c r="AG99" i="38"/>
  <c r="AK101" i="38"/>
  <c r="Y98" i="38"/>
  <c r="F99" i="38"/>
  <c r="H99" i="38" s="1"/>
  <c r="AC99" i="38"/>
  <c r="AG101" i="38"/>
  <c r="AG97" i="38"/>
  <c r="AK97" i="38"/>
  <c r="AK98" i="38"/>
  <c r="Y99" i="38"/>
  <c r="AC101" i="38"/>
  <c r="AG103" i="38"/>
  <c r="AK102" i="38"/>
  <c r="F103" i="38"/>
  <c r="H103" i="38" s="1"/>
  <c r="AC102" i="38"/>
  <c r="F105" i="38"/>
  <c r="J105" i="38" s="1"/>
  <c r="AG104" i="38"/>
  <c r="AK103" i="38"/>
  <c r="Y102" i="38"/>
  <c r="F53" i="38"/>
  <c r="H53" i="38" s="1"/>
  <c r="F104" i="38"/>
  <c r="J104" i="38" s="1"/>
  <c r="AC103" i="38"/>
  <c r="AG105" i="38"/>
  <c r="AK104" i="38"/>
  <c r="Y103" i="38"/>
  <c r="E95" i="38"/>
  <c r="E94" i="38" s="1"/>
  <c r="F106" i="38"/>
  <c r="J106" i="38" s="1"/>
  <c r="AC104" i="38"/>
  <c r="AK105" i="38"/>
  <c r="Y104" i="38"/>
  <c r="AG96" i="38"/>
  <c r="Y106" i="38"/>
  <c r="AC105" i="38"/>
  <c r="Y105" i="38"/>
  <c r="F51" i="38"/>
  <c r="J51" i="38" s="1"/>
  <c r="AC51" i="38"/>
  <c r="AK96" i="38"/>
  <c r="AC106" i="38"/>
  <c r="AC96" i="38"/>
  <c r="AK106" i="38"/>
  <c r="F52" i="38"/>
  <c r="J52" i="38" s="1"/>
  <c r="AG106" i="38"/>
  <c r="AG51" i="38"/>
  <c r="Y51" i="38"/>
  <c r="AK51" i="38"/>
  <c r="AG52" i="38"/>
  <c r="AK52" i="38"/>
  <c r="AC52" i="38"/>
  <c r="F54" i="38"/>
  <c r="J54" i="38" s="1"/>
  <c r="AG53" i="38"/>
  <c r="Y52" i="38"/>
  <c r="F55" i="38"/>
  <c r="J55" i="38" s="1"/>
  <c r="AK53" i="38"/>
  <c r="AC53" i="38"/>
  <c r="Y53" i="38"/>
  <c r="AK54" i="38"/>
  <c r="AC54" i="38"/>
  <c r="AG54" i="38"/>
  <c r="AG55" i="38"/>
  <c r="Y54" i="38"/>
  <c r="AK55" i="38"/>
  <c r="AC55" i="38"/>
  <c r="AG56" i="38"/>
  <c r="Y55" i="38"/>
  <c r="F58" i="38"/>
  <c r="J58" i="38" s="1"/>
  <c r="AC58" i="38"/>
  <c r="AG57" i="38"/>
  <c r="AK56" i="38"/>
  <c r="AC56" i="38"/>
  <c r="F43" i="38"/>
  <c r="J43" i="38" s="1"/>
  <c r="F59" i="38"/>
  <c r="H59" i="38" s="1"/>
  <c r="AG58" i="38"/>
  <c r="AK57" i="38"/>
  <c r="F56" i="38"/>
  <c r="H56" i="38" s="1"/>
  <c r="Y56" i="38"/>
  <c r="AG59" i="38"/>
  <c r="Y58" i="38"/>
  <c r="AC57" i="38"/>
  <c r="AK58" i="38"/>
  <c r="AK59" i="38"/>
  <c r="Y59" i="38"/>
  <c r="AG45" i="38"/>
  <c r="Y43" i="38"/>
  <c r="AC59" i="38"/>
  <c r="AG43" i="38"/>
  <c r="AC43" i="38"/>
  <c r="AK43" i="38"/>
  <c r="F44" i="38"/>
  <c r="J44" i="38" s="1"/>
  <c r="AK44" i="38"/>
  <c r="F45" i="38"/>
  <c r="J45" i="38" s="1"/>
  <c r="AG44" i="38"/>
  <c r="AG46" i="38"/>
  <c r="AK45" i="38"/>
  <c r="Y44" i="38"/>
  <c r="AC44" i="38"/>
  <c r="F46" i="38"/>
  <c r="J46" i="38" s="1"/>
  <c r="AC45" i="38"/>
  <c r="F48" i="38"/>
  <c r="J48" i="38" s="1"/>
  <c r="AG47" i="38"/>
  <c r="AK46" i="38"/>
  <c r="Y45" i="38"/>
  <c r="F40" i="38"/>
  <c r="J40" i="38" s="1"/>
  <c r="AC46" i="38"/>
  <c r="Y48" i="38"/>
  <c r="AK47" i="38"/>
  <c r="Y46" i="38"/>
  <c r="AK48" i="38"/>
  <c r="AG49" i="38"/>
  <c r="AG48" i="38"/>
  <c r="AC47" i="38"/>
  <c r="AG41" i="38"/>
  <c r="F49" i="38"/>
  <c r="J49" i="38" s="1"/>
  <c r="AC49" i="38"/>
  <c r="AC48" i="38"/>
  <c r="F47" i="38"/>
  <c r="J47" i="38" s="1"/>
  <c r="Y47" i="38"/>
  <c r="AG40" i="38"/>
  <c r="H48" i="38"/>
  <c r="F41" i="38"/>
  <c r="J41" i="38" s="1"/>
  <c r="AC41" i="38"/>
  <c r="Y49" i="38"/>
  <c r="AK49" i="38"/>
  <c r="F38" i="38"/>
  <c r="H38" i="38" s="1"/>
  <c r="AC40" i="38"/>
  <c r="Y40" i="38"/>
  <c r="AK40" i="38"/>
  <c r="AK41" i="38"/>
  <c r="Y41" i="38"/>
  <c r="AC37" i="38"/>
  <c r="AG36" i="38"/>
  <c r="AK38" i="38"/>
  <c r="AC33" i="38"/>
  <c r="AG37" i="38"/>
  <c r="AK36" i="38"/>
  <c r="Y38" i="38"/>
  <c r="AG38" i="38"/>
  <c r="AC38" i="38"/>
  <c r="Y37" i="38"/>
  <c r="AK37" i="38"/>
  <c r="AC36" i="38"/>
  <c r="Y33" i="38"/>
  <c r="F37" i="38"/>
  <c r="J37" i="38" s="1"/>
  <c r="AG89" i="38"/>
  <c r="F89" i="38"/>
  <c r="H89" i="38" s="1"/>
  <c r="AG33" i="38"/>
  <c r="AG87" i="38"/>
  <c r="AK86" i="38"/>
  <c r="AK89" i="38"/>
  <c r="AC89" i="38"/>
  <c r="Y89" i="38"/>
  <c r="AK90" i="38"/>
  <c r="AC91" i="38"/>
  <c r="AG90" i="38"/>
  <c r="F90" i="38"/>
  <c r="H90" i="38" s="1"/>
  <c r="AC90" i="38"/>
  <c r="Y90" i="38"/>
  <c r="AG92" i="38"/>
  <c r="AK91" i="38"/>
  <c r="AG91" i="38"/>
  <c r="F92" i="38"/>
  <c r="H92" i="38" s="1"/>
  <c r="AK92" i="38"/>
  <c r="F91" i="38"/>
  <c r="J91" i="38" s="1"/>
  <c r="Y91" i="38"/>
  <c r="F86" i="38"/>
  <c r="J86" i="38" s="1"/>
  <c r="AC92" i="38"/>
  <c r="Y92" i="38"/>
  <c r="F87" i="38"/>
  <c r="H87" i="38" s="1"/>
  <c r="AK87" i="38"/>
  <c r="Y86" i="38"/>
  <c r="AC88" i="38"/>
  <c r="F88" i="38"/>
  <c r="H88" i="38" s="1"/>
  <c r="AG86" i="38"/>
  <c r="AC86" i="38"/>
  <c r="AG88" i="38"/>
  <c r="F32" i="38"/>
  <c r="H32" i="38" s="1"/>
  <c r="AK88" i="38"/>
  <c r="AC87" i="38"/>
  <c r="AC31" i="38"/>
  <c r="Y88" i="38"/>
  <c r="Y87" i="38"/>
  <c r="AG29" i="38"/>
  <c r="AC29" i="38"/>
  <c r="Y31" i="38"/>
  <c r="AC32" i="38"/>
  <c r="AK31" i="38"/>
  <c r="F31" i="38"/>
  <c r="H31" i="38" s="1"/>
  <c r="AG31" i="38"/>
  <c r="AG32" i="38"/>
  <c r="AK32" i="38"/>
  <c r="Y32" i="38"/>
  <c r="F28" i="38"/>
  <c r="H28" i="38" s="1"/>
  <c r="AG27" i="38"/>
  <c r="F27" i="38"/>
  <c r="H27" i="38" s="1"/>
  <c r="AG30" i="38"/>
  <c r="AK29" i="38"/>
  <c r="AK30" i="38"/>
  <c r="F30" i="38"/>
  <c r="J30" i="38" s="1"/>
  <c r="AC30" i="38"/>
  <c r="AK27" i="38"/>
  <c r="Y30" i="38"/>
  <c r="AC27" i="38"/>
  <c r="AC28" i="38"/>
  <c r="Y27" i="38"/>
  <c r="AK28" i="38"/>
  <c r="AG28" i="38"/>
  <c r="Y28" i="38"/>
  <c r="AK24" i="38"/>
  <c r="AG24" i="38"/>
  <c r="AK26" i="38"/>
  <c r="AG26" i="38"/>
  <c r="AC26" i="38"/>
  <c r="F22" i="38"/>
  <c r="H22" i="38" s="1"/>
  <c r="AK22" i="38"/>
  <c r="F23" i="38"/>
  <c r="J23" i="38" s="1"/>
  <c r="Y23" i="38"/>
  <c r="AC24" i="38"/>
  <c r="AK23" i="38"/>
  <c r="AG23" i="38"/>
  <c r="AC23" i="38"/>
  <c r="F16" i="38"/>
  <c r="J16" i="38" s="1"/>
  <c r="F21" i="38"/>
  <c r="J21" i="38" s="1"/>
  <c r="AK21" i="38"/>
  <c r="Y22" i="38"/>
  <c r="AG22" i="38"/>
  <c r="AC22" i="38"/>
  <c r="AC16" i="38"/>
  <c r="AK19" i="38"/>
  <c r="Y19" i="38"/>
  <c r="Y21" i="38"/>
  <c r="AG21" i="38"/>
  <c r="AC21" i="38"/>
  <c r="AC19" i="38"/>
  <c r="F19" i="38"/>
  <c r="J19" i="38" s="1"/>
  <c r="AK17" i="38"/>
  <c r="AG19" i="38"/>
  <c r="F17" i="38"/>
  <c r="H17" i="38" s="1"/>
  <c r="Y17" i="38"/>
  <c r="AG17" i="38"/>
  <c r="AC17" i="38"/>
  <c r="AG16" i="38"/>
  <c r="AK16" i="38"/>
  <c r="Y16" i="38"/>
  <c r="AG14" i="38"/>
  <c r="AK15" i="38"/>
  <c r="AG15" i="38"/>
  <c r="F20" i="38"/>
  <c r="J20" i="38" s="1"/>
  <c r="F14" i="38"/>
  <c r="J14" i="38" s="1"/>
  <c r="F15" i="38"/>
  <c r="J15" i="38" s="1"/>
  <c r="Y15" i="38"/>
  <c r="AC15" i="38"/>
  <c r="AG13" i="38"/>
  <c r="AK14" i="38"/>
  <c r="AC20" i="38"/>
  <c r="AK13" i="38"/>
  <c r="Y14" i="38"/>
  <c r="AC14" i="38"/>
  <c r="AG20" i="38"/>
  <c r="AK20" i="38"/>
  <c r="F13" i="38"/>
  <c r="J13" i="38" s="1"/>
  <c r="Y20" i="38"/>
  <c r="Y13" i="38"/>
  <c r="AC13" i="38"/>
  <c r="AK12" i="38"/>
  <c r="AG12" i="38"/>
  <c r="AJ558" i="38"/>
  <c r="AJ557" i="38" s="1"/>
  <c r="AI558" i="38"/>
  <c r="AI557" i="38" s="1"/>
  <c r="AH558" i="38"/>
  <c r="AH557" i="38" s="1"/>
  <c r="AF558" i="38"/>
  <c r="AF557" i="38" s="1"/>
  <c r="AE558" i="38"/>
  <c r="AE557" i="38" s="1"/>
  <c r="AD558" i="38"/>
  <c r="AD557" i="38" s="1"/>
  <c r="AB558" i="38"/>
  <c r="AB557" i="38" s="1"/>
  <c r="AA558" i="38"/>
  <c r="AA557" i="38" s="1"/>
  <c r="Z558" i="38"/>
  <c r="Z557" i="38" s="1"/>
  <c r="X558" i="38"/>
  <c r="X557" i="38" s="1"/>
  <c r="W558" i="38"/>
  <c r="W557" i="38" s="1"/>
  <c r="V558" i="38"/>
  <c r="V557" i="38" s="1"/>
  <c r="E558" i="38"/>
  <c r="D558" i="38"/>
  <c r="D557" i="38" s="1"/>
  <c r="AJ544" i="38"/>
  <c r="AI544" i="38"/>
  <c r="AH544" i="38"/>
  <c r="AF544" i="38"/>
  <c r="AE544" i="38"/>
  <c r="AD544" i="38"/>
  <c r="AB544" i="38"/>
  <c r="AA544" i="38"/>
  <c r="Z544" i="38"/>
  <c r="Z543" i="38" s="1"/>
  <c r="X544" i="38"/>
  <c r="W544" i="38"/>
  <c r="V544" i="38"/>
  <c r="E544" i="38"/>
  <c r="D544" i="38"/>
  <c r="AJ525" i="38"/>
  <c r="AI525" i="38"/>
  <c r="AH525" i="38"/>
  <c r="AF525" i="38"/>
  <c r="AE525" i="38"/>
  <c r="AD525" i="38"/>
  <c r="AB525" i="38"/>
  <c r="AA525" i="38"/>
  <c r="Z525" i="38"/>
  <c r="X525" i="38"/>
  <c r="W525" i="38"/>
  <c r="V525" i="38"/>
  <c r="E525" i="38"/>
  <c r="D525" i="38"/>
  <c r="AJ517" i="38"/>
  <c r="AI517" i="38"/>
  <c r="AH517" i="38"/>
  <c r="AH516" i="38" s="1"/>
  <c r="AF517" i="38"/>
  <c r="AE517" i="38"/>
  <c r="AD517" i="38"/>
  <c r="AB517" i="38"/>
  <c r="AB516" i="38" s="1"/>
  <c r="AA517" i="38"/>
  <c r="Z517" i="38"/>
  <c r="Z516" i="38" s="1"/>
  <c r="X517" i="38"/>
  <c r="W517" i="38"/>
  <c r="W516" i="38" s="1"/>
  <c r="V517" i="38"/>
  <c r="V516" i="38" s="1"/>
  <c r="E517" i="38"/>
  <c r="D517" i="38"/>
  <c r="AJ448" i="38"/>
  <c r="AI448" i="38"/>
  <c r="AH448" i="38"/>
  <c r="AH447" i="38" s="1"/>
  <c r="AH446" i="38" s="1"/>
  <c r="AF448" i="38"/>
  <c r="AF447" i="38" s="1"/>
  <c r="AF446" i="38" s="1"/>
  <c r="AE448" i="38"/>
  <c r="AD448" i="38"/>
  <c r="AD447" i="38" s="1"/>
  <c r="AD446" i="38" s="1"/>
  <c r="AB448" i="38"/>
  <c r="AA448" i="38"/>
  <c r="AA447" i="38" s="1"/>
  <c r="AA446" i="38" s="1"/>
  <c r="Z448" i="38"/>
  <c r="Z447" i="38" s="1"/>
  <c r="Z446" i="38" s="1"/>
  <c r="X448" i="38"/>
  <c r="W448" i="38"/>
  <c r="V448" i="38"/>
  <c r="E448" i="38"/>
  <c r="D448" i="38"/>
  <c r="D447" i="38" s="1"/>
  <c r="D446" i="38" s="1"/>
  <c r="AJ445" i="38"/>
  <c r="AJ436" i="38" s="1"/>
  <c r="AI445" i="38"/>
  <c r="AI436" i="38" s="1"/>
  <c r="AH445" i="38"/>
  <c r="AH436" i="38" s="1"/>
  <c r="AF445" i="38"/>
  <c r="AF436" i="38" s="1"/>
  <c r="AE445" i="38"/>
  <c r="AE436" i="38" s="1"/>
  <c r="AD445" i="38"/>
  <c r="AD436" i="38" s="1"/>
  <c r="AB445" i="38"/>
  <c r="AB436" i="38" s="1"/>
  <c r="AA445" i="38"/>
  <c r="AA436" i="38" s="1"/>
  <c r="Z445" i="38"/>
  <c r="Z436" i="38" s="1"/>
  <c r="X445" i="38"/>
  <c r="X436" i="38" s="1"/>
  <c r="W445" i="38"/>
  <c r="W436" i="38" s="1"/>
  <c r="V445" i="38"/>
  <c r="V436" i="38" s="1"/>
  <c r="E445" i="38"/>
  <c r="E436" i="38" s="1"/>
  <c r="D445" i="38"/>
  <c r="D436" i="38" s="1"/>
  <c r="AJ435" i="38"/>
  <c r="AJ432" i="38" s="1"/>
  <c r="AI435" i="38"/>
  <c r="AI432" i="38" s="1"/>
  <c r="AH435" i="38"/>
  <c r="AH432" i="38" s="1"/>
  <c r="AF435" i="38"/>
  <c r="AF432" i="38" s="1"/>
  <c r="AE435" i="38"/>
  <c r="AE432" i="38" s="1"/>
  <c r="AD435" i="38"/>
  <c r="AD432" i="38" s="1"/>
  <c r="AB435" i="38"/>
  <c r="AB432" i="38" s="1"/>
  <c r="AA435" i="38"/>
  <c r="AA432" i="38" s="1"/>
  <c r="Z435" i="38"/>
  <c r="Z432" i="38" s="1"/>
  <c r="X435" i="38"/>
  <c r="X432" i="38" s="1"/>
  <c r="W435" i="38"/>
  <c r="W432" i="38" s="1"/>
  <c r="V435" i="38"/>
  <c r="V432" i="38" s="1"/>
  <c r="E435" i="38"/>
  <c r="E432" i="38" s="1"/>
  <c r="D435" i="38"/>
  <c r="D432" i="38" s="1"/>
  <c r="AJ431" i="38"/>
  <c r="AJ429" i="38" s="1"/>
  <c r="AI431" i="38"/>
  <c r="AI429" i="38" s="1"/>
  <c r="AH431" i="38"/>
  <c r="AH429" i="38" s="1"/>
  <c r="AF431" i="38"/>
  <c r="AF429" i="38" s="1"/>
  <c r="AE431" i="38"/>
  <c r="AE429" i="38" s="1"/>
  <c r="AD431" i="38"/>
  <c r="AD429" i="38" s="1"/>
  <c r="AB431" i="38"/>
  <c r="AB429" i="38" s="1"/>
  <c r="AA431" i="38"/>
  <c r="AA429" i="38" s="1"/>
  <c r="Z431" i="38"/>
  <c r="Z429" i="38" s="1"/>
  <c r="X431" i="38"/>
  <c r="X429" i="38" s="1"/>
  <c r="W431" i="38"/>
  <c r="W429" i="38" s="1"/>
  <c r="V431" i="38"/>
  <c r="V429" i="38" s="1"/>
  <c r="E431" i="38"/>
  <c r="E429" i="38" s="1"/>
  <c r="D431" i="38"/>
  <c r="D429" i="38" s="1"/>
  <c r="AJ428" i="38"/>
  <c r="AJ421" i="38" s="1"/>
  <c r="AI428" i="38"/>
  <c r="AI421" i="38" s="1"/>
  <c r="AH428" i="38"/>
  <c r="AH421" i="38" s="1"/>
  <c r="AF428" i="38"/>
  <c r="AF421" i="38" s="1"/>
  <c r="AE428" i="38"/>
  <c r="AE421" i="38" s="1"/>
  <c r="AD428" i="38"/>
  <c r="AD421" i="38" s="1"/>
  <c r="AB428" i="38"/>
  <c r="AB421" i="38" s="1"/>
  <c r="AA428" i="38"/>
  <c r="AA421" i="38" s="1"/>
  <c r="Z428" i="38"/>
  <c r="Z421" i="38" s="1"/>
  <c r="X428" i="38"/>
  <c r="X421" i="38" s="1"/>
  <c r="W428" i="38"/>
  <c r="W421" i="38" s="1"/>
  <c r="V428" i="38"/>
  <c r="V421" i="38" s="1"/>
  <c r="E428" i="38"/>
  <c r="E421" i="38" s="1"/>
  <c r="D428" i="38"/>
  <c r="D421" i="38" s="1"/>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411" i="38"/>
  <c r="AI411" i="38"/>
  <c r="AH411" i="38"/>
  <c r="AF411" i="38"/>
  <c r="AE411" i="38"/>
  <c r="AD411" i="38"/>
  <c r="AB411" i="38"/>
  <c r="AA411" i="38"/>
  <c r="Z411" i="38"/>
  <c r="X411" i="38"/>
  <c r="W411" i="38"/>
  <c r="V411" i="38"/>
  <c r="E411" i="38"/>
  <c r="D411" i="38"/>
  <c r="AJ408" i="38"/>
  <c r="AJ405" i="38" s="1"/>
  <c r="AI408" i="38"/>
  <c r="AI405" i="38" s="1"/>
  <c r="AH408" i="38"/>
  <c r="AH405" i="38" s="1"/>
  <c r="AH404" i="38" s="1"/>
  <c r="AF408" i="38"/>
  <c r="AF405" i="38" s="1"/>
  <c r="AF404" i="38" s="1"/>
  <c r="AE408" i="38"/>
  <c r="AD408" i="38"/>
  <c r="AD405" i="38" s="1"/>
  <c r="AD404" i="38" s="1"/>
  <c r="AB408" i="38"/>
  <c r="AB405" i="38" s="1"/>
  <c r="AB404" i="38" s="1"/>
  <c r="AA408" i="38"/>
  <c r="Z408" i="38"/>
  <c r="Z405" i="38" s="1"/>
  <c r="X408" i="38"/>
  <c r="X405" i="38" s="1"/>
  <c r="X404" i="38" s="1"/>
  <c r="W408" i="38"/>
  <c r="V408" i="38"/>
  <c r="V405" i="38" s="1"/>
  <c r="V404" i="38" s="1"/>
  <c r="E408" i="38"/>
  <c r="D408" i="38"/>
  <c r="AJ400" i="38"/>
  <c r="AI400" i="38"/>
  <c r="AH400" i="38"/>
  <c r="AF400" i="38"/>
  <c r="AE400" i="38"/>
  <c r="AD400" i="38"/>
  <c r="AB400" i="38"/>
  <c r="AA400" i="38"/>
  <c r="Z400" i="38"/>
  <c r="X400" i="38"/>
  <c r="W400" i="38"/>
  <c r="V400" i="38"/>
  <c r="E400" i="38"/>
  <c r="D400" i="38"/>
  <c r="AJ397" i="38"/>
  <c r="AI397" i="38"/>
  <c r="AH397" i="38"/>
  <c r="AF397" i="38"/>
  <c r="AE397" i="38"/>
  <c r="AD397" i="38"/>
  <c r="AB397" i="38"/>
  <c r="AA397" i="38"/>
  <c r="Z397" i="38"/>
  <c r="X397" i="38"/>
  <c r="W397" i="38"/>
  <c r="V397" i="38"/>
  <c r="E397" i="38"/>
  <c r="D397" i="38"/>
  <c r="AJ392" i="38"/>
  <c r="AI392" i="38"/>
  <c r="AH392" i="38"/>
  <c r="AF392" i="38"/>
  <c r="AE392" i="38"/>
  <c r="AD392" i="38"/>
  <c r="AB392" i="38"/>
  <c r="AA392" i="38"/>
  <c r="Z392" i="38"/>
  <c r="X392" i="38"/>
  <c r="W392" i="38"/>
  <c r="V392" i="38"/>
  <c r="E392" i="38"/>
  <c r="D392" i="38"/>
  <c r="AJ389" i="38"/>
  <c r="AI389" i="38"/>
  <c r="AH389" i="38"/>
  <c r="AF389" i="38"/>
  <c r="AE389" i="38"/>
  <c r="AD389" i="38"/>
  <c r="AB389" i="38"/>
  <c r="AA389" i="38"/>
  <c r="Z389" i="38"/>
  <c r="X389" i="38"/>
  <c r="W389" i="38"/>
  <c r="V389" i="38"/>
  <c r="E389" i="38"/>
  <c r="D389" i="38"/>
  <c r="AJ387" i="38"/>
  <c r="AI387" i="38"/>
  <c r="AH387" i="38"/>
  <c r="AF387" i="38"/>
  <c r="AE387" i="38"/>
  <c r="AD387" i="38"/>
  <c r="AB387" i="38"/>
  <c r="AA387" i="38"/>
  <c r="Z387" i="38"/>
  <c r="X387" i="38"/>
  <c r="W387" i="38"/>
  <c r="V387" i="38"/>
  <c r="E387" i="38"/>
  <c r="D387" i="38"/>
  <c r="AJ382" i="38"/>
  <c r="AI382" i="38"/>
  <c r="AH382" i="38"/>
  <c r="AF382" i="38"/>
  <c r="AE382" i="38"/>
  <c r="AD382" i="38"/>
  <c r="AB382" i="38"/>
  <c r="AA382" i="38"/>
  <c r="Z382" i="38"/>
  <c r="X382" i="38"/>
  <c r="D382" i="38"/>
  <c r="AJ338" i="38"/>
  <c r="AI338" i="38"/>
  <c r="AH338" i="38"/>
  <c r="AF338" i="38"/>
  <c r="AE338" i="38"/>
  <c r="AD338" i="38"/>
  <c r="AB338" i="38"/>
  <c r="AA338" i="38"/>
  <c r="Z338" i="38"/>
  <c r="X338" i="38"/>
  <c r="W338" i="38"/>
  <c r="V338" i="38"/>
  <c r="E338" i="38"/>
  <c r="D338" i="38"/>
  <c r="AJ336" i="38"/>
  <c r="AI336" i="38"/>
  <c r="AH336" i="38"/>
  <c r="AF336" i="38"/>
  <c r="AE336" i="38"/>
  <c r="AD336" i="38"/>
  <c r="AB336" i="38"/>
  <c r="AA336" i="38"/>
  <c r="Z336" i="38"/>
  <c r="X336" i="38"/>
  <c r="W336" i="38"/>
  <c r="V336" i="38"/>
  <c r="E336" i="38"/>
  <c r="D336" i="38"/>
  <c r="AJ335" i="38"/>
  <c r="AI335" i="38"/>
  <c r="AH335" i="38"/>
  <c r="AF335" i="38"/>
  <c r="AE335" i="38"/>
  <c r="AD335" i="38"/>
  <c r="AB335" i="38"/>
  <c r="AA335" i="38"/>
  <c r="Z335" i="38"/>
  <c r="X335" i="38"/>
  <c r="W335" i="38"/>
  <c r="V335" i="38"/>
  <c r="E335" i="38"/>
  <c r="D335" i="38"/>
  <c r="AJ332" i="38"/>
  <c r="AI332" i="38"/>
  <c r="AH332" i="38"/>
  <c r="AH328" i="38" s="1"/>
  <c r="AF332" i="38"/>
  <c r="AE332" i="38"/>
  <c r="AE328" i="38" s="1"/>
  <c r="AD332" i="38"/>
  <c r="AD328" i="38" s="1"/>
  <c r="AB332" i="38"/>
  <c r="AB328" i="38" s="1"/>
  <c r="AA332" i="38"/>
  <c r="Z332" i="38"/>
  <c r="Z328" i="38" s="1"/>
  <c r="X332" i="38"/>
  <c r="W332" i="38"/>
  <c r="V332" i="38"/>
  <c r="V328" i="38" s="1"/>
  <c r="E332" i="38"/>
  <c r="E328" i="38" s="1"/>
  <c r="D332" i="38"/>
  <c r="D328" i="38" s="1"/>
  <c r="AJ313" i="38"/>
  <c r="AI313" i="38"/>
  <c r="AH313" i="38"/>
  <c r="AF313" i="38"/>
  <c r="AE313" i="38"/>
  <c r="AD313" i="38"/>
  <c r="AB313" i="38"/>
  <c r="AA313" i="38"/>
  <c r="Z313" i="38"/>
  <c r="X313" i="38"/>
  <c r="W313" i="38"/>
  <c r="V313" i="38"/>
  <c r="E313" i="38"/>
  <c r="D313" i="38"/>
  <c r="AJ268" i="38"/>
  <c r="AI268" i="38"/>
  <c r="AH268" i="38"/>
  <c r="AF268" i="38"/>
  <c r="AE268" i="38"/>
  <c r="AD268" i="38"/>
  <c r="AB268" i="38"/>
  <c r="AA268" i="38"/>
  <c r="Z268" i="38"/>
  <c r="X268" i="38"/>
  <c r="W268" i="38"/>
  <c r="V268" i="38"/>
  <c r="E268" i="38"/>
  <c r="D268" i="38"/>
  <c r="AJ244" i="38"/>
  <c r="AI244" i="38"/>
  <c r="AH244" i="38"/>
  <c r="AF244" i="38"/>
  <c r="AE244" i="38"/>
  <c r="AD244" i="38"/>
  <c r="AB244" i="38"/>
  <c r="AA244" i="38"/>
  <c r="Z244" i="38"/>
  <c r="X244" i="38"/>
  <c r="W244" i="38"/>
  <c r="V244" i="38"/>
  <c r="E244" i="38"/>
  <c r="D244" i="38"/>
  <c r="AJ228" i="38"/>
  <c r="AI228" i="38"/>
  <c r="AH228" i="38"/>
  <c r="AF228" i="38"/>
  <c r="AE228" i="38"/>
  <c r="AD228" i="38"/>
  <c r="AB228" i="38"/>
  <c r="AA228" i="38"/>
  <c r="Z228" i="38"/>
  <c r="X228" i="38"/>
  <c r="W228" i="38"/>
  <c r="V228" i="38"/>
  <c r="E228" i="38"/>
  <c r="D228" i="38"/>
  <c r="AJ225" i="38"/>
  <c r="AI225" i="38"/>
  <c r="AH225" i="38"/>
  <c r="AF225" i="38"/>
  <c r="AE225" i="38"/>
  <c r="AD225" i="38"/>
  <c r="AB225" i="38"/>
  <c r="AA225" i="38"/>
  <c r="Z225" i="38"/>
  <c r="X225" i="38"/>
  <c r="W225" i="38"/>
  <c r="V225" i="38"/>
  <c r="E225" i="38"/>
  <c r="D225" i="38"/>
  <c r="AJ219" i="38"/>
  <c r="AI219" i="38"/>
  <c r="AH219" i="38"/>
  <c r="AF219" i="38"/>
  <c r="AE219" i="38"/>
  <c r="AD219" i="38"/>
  <c r="AB219" i="38"/>
  <c r="AA219" i="38"/>
  <c r="Z219" i="38"/>
  <c r="X219" i="38"/>
  <c r="W219" i="38"/>
  <c r="V219" i="38"/>
  <c r="E219" i="38"/>
  <c r="D219" i="38"/>
  <c r="AJ217" i="38"/>
  <c r="AJ210" i="38" s="1"/>
  <c r="AI217" i="38"/>
  <c r="AI210" i="38" s="1"/>
  <c r="AH217" i="38"/>
  <c r="AH210" i="38" s="1"/>
  <c r="AF217" i="38"/>
  <c r="AF210" i="38" s="1"/>
  <c r="AE217" i="38"/>
  <c r="AE210" i="38" s="1"/>
  <c r="AD217" i="38"/>
  <c r="AD210" i="38" s="1"/>
  <c r="AB217" i="38"/>
  <c r="AB210" i="38" s="1"/>
  <c r="AA217" i="38"/>
  <c r="AA210" i="38" s="1"/>
  <c r="Z217" i="38"/>
  <c r="Z210" i="38" s="1"/>
  <c r="X217" i="38"/>
  <c r="X210" i="38" s="1"/>
  <c r="W217" i="38"/>
  <c r="W210" i="38" s="1"/>
  <c r="V217" i="38"/>
  <c r="V210" i="38" s="1"/>
  <c r="E217" i="38"/>
  <c r="E210" i="38" s="1"/>
  <c r="D217" i="38"/>
  <c r="D210" i="38" s="1"/>
  <c r="AJ208" i="38"/>
  <c r="AJ201" i="38" s="1"/>
  <c r="AI208" i="38"/>
  <c r="AH208" i="38"/>
  <c r="AH201" i="38" s="1"/>
  <c r="AF208" i="38"/>
  <c r="AF201" i="38" s="1"/>
  <c r="AE208" i="38"/>
  <c r="AE201" i="38" s="1"/>
  <c r="AD208" i="38"/>
  <c r="AD201" i="38" s="1"/>
  <c r="AB208" i="38"/>
  <c r="AB201" i="38" s="1"/>
  <c r="AA208" i="38"/>
  <c r="AA201" i="38" s="1"/>
  <c r="Z208" i="38"/>
  <c r="Z201" i="38" s="1"/>
  <c r="X208" i="38"/>
  <c r="X201" i="38" s="1"/>
  <c r="W208" i="38"/>
  <c r="V208" i="38"/>
  <c r="V201" i="38" s="1"/>
  <c r="E208" i="38"/>
  <c r="D208" i="38"/>
  <c r="D201" i="38" s="1"/>
  <c r="AJ200" i="38"/>
  <c r="AJ194" i="38" s="1"/>
  <c r="AI200" i="38"/>
  <c r="AI194" i="38" s="1"/>
  <c r="AH200" i="38"/>
  <c r="AH194" i="38" s="1"/>
  <c r="AF200" i="38"/>
  <c r="AF194" i="38" s="1"/>
  <c r="AE200" i="38"/>
  <c r="AE194" i="38" s="1"/>
  <c r="AD200" i="38"/>
  <c r="AD194" i="38" s="1"/>
  <c r="AB200" i="38"/>
  <c r="AB194" i="38" s="1"/>
  <c r="AA200" i="38"/>
  <c r="AA194" i="38" s="1"/>
  <c r="Z200" i="38"/>
  <c r="Z194" i="38" s="1"/>
  <c r="X200" i="38"/>
  <c r="X194" i="38" s="1"/>
  <c r="W200" i="38"/>
  <c r="W194" i="38" s="1"/>
  <c r="V200" i="38"/>
  <c r="V194" i="38" s="1"/>
  <c r="E200" i="38"/>
  <c r="E194" i="38" s="1"/>
  <c r="D200" i="38"/>
  <c r="D194" i="38" s="1"/>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66" i="38"/>
  <c r="AI166" i="38"/>
  <c r="AH166" i="38"/>
  <c r="AF166" i="38"/>
  <c r="AE166" i="38"/>
  <c r="AD166" i="38"/>
  <c r="AB166" i="38"/>
  <c r="AA166" i="38"/>
  <c r="Z166" i="38"/>
  <c r="X166" i="38"/>
  <c r="W166" i="38"/>
  <c r="V166" i="38"/>
  <c r="E166" i="38"/>
  <c r="D166"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51" i="38"/>
  <c r="AI151" i="38"/>
  <c r="AH151" i="38"/>
  <c r="AF151" i="38"/>
  <c r="AE151" i="38"/>
  <c r="AD151" i="38"/>
  <c r="AB151" i="38"/>
  <c r="AA151" i="38"/>
  <c r="Z151" i="38"/>
  <c r="X151" i="38"/>
  <c r="W151" i="38"/>
  <c r="V151" i="38"/>
  <c r="E151" i="38"/>
  <c r="D151" i="38"/>
  <c r="AJ149" i="38"/>
  <c r="AI149" i="38"/>
  <c r="AH149" i="38"/>
  <c r="AF149" i="38"/>
  <c r="AE149" i="38"/>
  <c r="AD149" i="38"/>
  <c r="AB149" i="38"/>
  <c r="AA149" i="38"/>
  <c r="Z149" i="38"/>
  <c r="X149" i="38"/>
  <c r="W149" i="38"/>
  <c r="V149" i="38"/>
  <c r="E149" i="38"/>
  <c r="D149" i="38"/>
  <c r="AJ135" i="38"/>
  <c r="AI135" i="38"/>
  <c r="AH135" i="38"/>
  <c r="AF135" i="38"/>
  <c r="AE135" i="38"/>
  <c r="AD135" i="38"/>
  <c r="AB135" i="38"/>
  <c r="AA135" i="38"/>
  <c r="Z135" i="38"/>
  <c r="X135" i="38"/>
  <c r="V135" i="38"/>
  <c r="D135" i="38"/>
  <c r="AJ133" i="38"/>
  <c r="AI133" i="38"/>
  <c r="AH133" i="38"/>
  <c r="AF133" i="38"/>
  <c r="AE133" i="38"/>
  <c r="AD133" i="38"/>
  <c r="AB133" i="38"/>
  <c r="AA133" i="38"/>
  <c r="Z133" i="38"/>
  <c r="X133" i="38"/>
  <c r="W133" i="38"/>
  <c r="V133" i="38"/>
  <c r="E133" i="38"/>
  <c r="D133" i="38"/>
  <c r="AJ132" i="38"/>
  <c r="AI132" i="38"/>
  <c r="AH132" i="38"/>
  <c r="AF132" i="38"/>
  <c r="AE132" i="38"/>
  <c r="AD132" i="38"/>
  <c r="AB132" i="38"/>
  <c r="AA132" i="38"/>
  <c r="Z132" i="38"/>
  <c r="X132" i="38"/>
  <c r="W132" i="38"/>
  <c r="V132" i="38"/>
  <c r="E132" i="38"/>
  <c r="D132" i="38"/>
  <c r="AJ120" i="38"/>
  <c r="AI120" i="38"/>
  <c r="AH120" i="38"/>
  <c r="AF120" i="38"/>
  <c r="AE120" i="38"/>
  <c r="AD120" i="38"/>
  <c r="AB120" i="38"/>
  <c r="AA120" i="38"/>
  <c r="Z120" i="38"/>
  <c r="X120" i="38"/>
  <c r="W120" i="38"/>
  <c r="V120" i="38"/>
  <c r="E120" i="38"/>
  <c r="D120" i="38"/>
  <c r="AJ118" i="38"/>
  <c r="AJ108" i="38" s="1"/>
  <c r="AI118" i="38"/>
  <c r="AI108" i="38" s="1"/>
  <c r="AH118" i="38"/>
  <c r="AH108" i="38" s="1"/>
  <c r="AF118" i="38"/>
  <c r="AF108" i="38" s="1"/>
  <c r="AE118" i="38"/>
  <c r="AE108" i="38" s="1"/>
  <c r="AD118" i="38"/>
  <c r="AD108" i="38" s="1"/>
  <c r="AB118" i="38"/>
  <c r="AB108" i="38" s="1"/>
  <c r="AA118" i="38"/>
  <c r="AA108" i="38" s="1"/>
  <c r="Z118" i="38"/>
  <c r="Z108" i="38" s="1"/>
  <c r="X118" i="38"/>
  <c r="X108" i="38" s="1"/>
  <c r="W118" i="38"/>
  <c r="W108" i="38" s="1"/>
  <c r="V118" i="38"/>
  <c r="V108" i="38" s="1"/>
  <c r="E118" i="38"/>
  <c r="E108" i="38" s="1"/>
  <c r="D118" i="38"/>
  <c r="D108" i="38" s="1"/>
  <c r="AJ95" i="38"/>
  <c r="AJ94" i="38" s="1"/>
  <c r="AI95" i="38"/>
  <c r="AI94" i="38" s="1"/>
  <c r="AH95" i="38"/>
  <c r="AH94" i="38" s="1"/>
  <c r="AF95" i="38"/>
  <c r="AF94" i="38" s="1"/>
  <c r="AE95" i="38"/>
  <c r="AE94" i="38" s="1"/>
  <c r="AD95" i="38"/>
  <c r="AB95" i="38"/>
  <c r="AB94" i="38" s="1"/>
  <c r="AA95" i="38"/>
  <c r="AA94" i="38" s="1"/>
  <c r="Z95" i="38"/>
  <c r="X95" i="38"/>
  <c r="X94" i="38" s="1"/>
  <c r="V95" i="38"/>
  <c r="AJ93" i="38"/>
  <c r="AI93" i="38"/>
  <c r="AH93" i="38"/>
  <c r="AF93" i="38"/>
  <c r="AE93" i="38"/>
  <c r="AD93" i="38"/>
  <c r="AB93" i="38"/>
  <c r="AA93" i="38"/>
  <c r="Z93" i="38"/>
  <c r="X93" i="38"/>
  <c r="W93" i="38"/>
  <c r="V93" i="38"/>
  <c r="E93" i="38"/>
  <c r="D93" i="38"/>
  <c r="AJ85" i="38"/>
  <c r="AI85" i="38"/>
  <c r="AH85" i="38"/>
  <c r="AF85" i="38"/>
  <c r="AE85" i="38"/>
  <c r="AD85" i="38"/>
  <c r="AB85" i="38"/>
  <c r="AA85" i="38"/>
  <c r="Z85" i="38"/>
  <c r="X85" i="38"/>
  <c r="W85" i="38"/>
  <c r="V85" i="38"/>
  <c r="E85" i="38"/>
  <c r="D85" i="38"/>
  <c r="AJ80" i="38"/>
  <c r="AI80" i="38"/>
  <c r="AH80" i="38"/>
  <c r="AF80" i="38"/>
  <c r="AE80" i="38"/>
  <c r="AD80" i="38"/>
  <c r="AB80" i="38"/>
  <c r="AA80" i="38"/>
  <c r="Z80" i="38"/>
  <c r="X80" i="38"/>
  <c r="W80" i="38"/>
  <c r="V80" i="38"/>
  <c r="E80" i="38"/>
  <c r="D80" i="38"/>
  <c r="AJ67" i="38"/>
  <c r="AI67" i="38"/>
  <c r="AH67" i="38"/>
  <c r="AF67" i="38"/>
  <c r="AE67" i="38"/>
  <c r="AD67" i="38"/>
  <c r="AB67" i="38"/>
  <c r="AA67" i="38"/>
  <c r="Z67" i="38"/>
  <c r="X67" i="38"/>
  <c r="W67" i="38"/>
  <c r="V67" i="38"/>
  <c r="E67" i="38"/>
  <c r="D67" i="38"/>
  <c r="AJ65" i="38"/>
  <c r="AI65" i="38"/>
  <c r="AH65" i="38"/>
  <c r="AF65" i="38"/>
  <c r="AE65" i="38"/>
  <c r="AD65" i="38"/>
  <c r="AB65" i="38"/>
  <c r="AA65" i="38"/>
  <c r="Z65" i="38"/>
  <c r="X65" i="38"/>
  <c r="W65" i="38"/>
  <c r="V65" i="38"/>
  <c r="E65" i="38"/>
  <c r="D65" i="38"/>
  <c r="AJ62" i="38"/>
  <c r="AI62" i="38"/>
  <c r="AH62" i="38"/>
  <c r="AF62" i="38"/>
  <c r="AE62" i="38"/>
  <c r="AD62" i="38"/>
  <c r="AB62" i="38"/>
  <c r="AA62" i="38"/>
  <c r="Z62" i="38"/>
  <c r="X62" i="38"/>
  <c r="W62" i="38"/>
  <c r="V62" i="38"/>
  <c r="E62" i="38"/>
  <c r="D62" i="38"/>
  <c r="AJ50" i="38"/>
  <c r="AI50" i="38"/>
  <c r="AH50" i="38"/>
  <c r="AF50" i="38"/>
  <c r="AE50" i="38"/>
  <c r="AD50" i="38"/>
  <c r="AB50" i="38"/>
  <c r="AA50" i="38"/>
  <c r="Z50" i="38"/>
  <c r="X50" i="38"/>
  <c r="W50" i="38"/>
  <c r="V50" i="38"/>
  <c r="E50" i="38"/>
  <c r="D50" i="38"/>
  <c r="AJ42" i="38"/>
  <c r="AI42" i="38"/>
  <c r="AH42" i="38"/>
  <c r="AF42" i="38"/>
  <c r="AE42" i="38"/>
  <c r="AD42" i="38"/>
  <c r="AB42" i="38"/>
  <c r="AA42" i="38"/>
  <c r="Z42" i="38"/>
  <c r="X42" i="38"/>
  <c r="W42" i="38"/>
  <c r="V42" i="38"/>
  <c r="E42" i="38"/>
  <c r="D42" i="38"/>
  <c r="AJ39" i="38"/>
  <c r="AI39" i="38"/>
  <c r="AH39" i="38"/>
  <c r="AF39" i="38"/>
  <c r="AE39" i="38"/>
  <c r="AD39" i="38"/>
  <c r="AB39" i="38"/>
  <c r="AA39" i="38"/>
  <c r="Z39" i="38"/>
  <c r="X39" i="38"/>
  <c r="W39" i="38"/>
  <c r="V39" i="38"/>
  <c r="E39" i="38"/>
  <c r="D39" i="38"/>
  <c r="AJ34" i="38"/>
  <c r="AI34" i="38"/>
  <c r="AH34" i="38"/>
  <c r="AF34" i="38"/>
  <c r="AE34" i="38"/>
  <c r="AD34" i="38"/>
  <c r="AB34" i="38"/>
  <c r="AA34" i="38"/>
  <c r="Z34" i="38"/>
  <c r="X34" i="38"/>
  <c r="W34" i="38"/>
  <c r="V34" i="38"/>
  <c r="E34" i="38"/>
  <c r="D34" i="38"/>
  <c r="AJ25" i="38"/>
  <c r="AI25" i="38"/>
  <c r="AH25" i="38"/>
  <c r="AF25" i="38"/>
  <c r="AE25" i="38"/>
  <c r="AD25" i="38"/>
  <c r="AB25" i="38"/>
  <c r="AA25" i="38"/>
  <c r="Z25" i="38"/>
  <c r="X25" i="38"/>
  <c r="W25" i="38"/>
  <c r="V25" i="38"/>
  <c r="E25" i="38"/>
  <c r="D25" i="38"/>
  <c r="AJ18" i="38"/>
  <c r="AI18" i="38"/>
  <c r="AH18" i="38"/>
  <c r="AF18" i="38"/>
  <c r="AE18" i="38"/>
  <c r="AD18" i="38"/>
  <c r="AB18" i="38"/>
  <c r="AA18" i="38"/>
  <c r="Z18" i="38"/>
  <c r="X18" i="38"/>
  <c r="G10" i="38"/>
  <c r="I10" i="38"/>
  <c r="W11" i="38"/>
  <c r="Z11" i="38"/>
  <c r="AA11" i="38"/>
  <c r="AB11" i="38"/>
  <c r="AD11" i="38"/>
  <c r="AE11" i="38"/>
  <c r="AF11" i="38"/>
  <c r="AH11" i="38"/>
  <c r="AI11" i="38"/>
  <c r="AJ11" i="38"/>
  <c r="G66" i="38"/>
  <c r="I66" i="38"/>
  <c r="G73" i="38"/>
  <c r="I73" i="38"/>
  <c r="G84" i="38"/>
  <c r="G83" i="38" s="1"/>
  <c r="I84" i="38"/>
  <c r="I83" i="38" s="1"/>
  <c r="G95" i="38"/>
  <c r="G94" i="38" s="1"/>
  <c r="I95" i="38"/>
  <c r="I94" i="38" s="1"/>
  <c r="G119" i="38"/>
  <c r="I119" i="38"/>
  <c r="G134" i="38"/>
  <c r="I134" i="38"/>
  <c r="G150" i="38"/>
  <c r="I150" i="38"/>
  <c r="G165" i="38"/>
  <c r="I165" i="38"/>
  <c r="G191" i="38"/>
  <c r="I191" i="38"/>
  <c r="G218" i="38"/>
  <c r="I218" i="38"/>
  <c r="G227" i="38"/>
  <c r="I227" i="38"/>
  <c r="G243" i="38"/>
  <c r="I243" i="38"/>
  <c r="G267" i="38"/>
  <c r="I267" i="38"/>
  <c r="G312" i="38"/>
  <c r="I312" i="38"/>
  <c r="G327" i="38"/>
  <c r="I327" i="38"/>
  <c r="G334" i="38"/>
  <c r="I334" i="38"/>
  <c r="G337" i="38"/>
  <c r="I337" i="38"/>
  <c r="G381" i="38"/>
  <c r="I381" i="38"/>
  <c r="G391" i="38"/>
  <c r="I391" i="38"/>
  <c r="G404" i="38"/>
  <c r="I404" i="38"/>
  <c r="G410" i="38"/>
  <c r="I410" i="38"/>
  <c r="G447" i="38"/>
  <c r="G446" i="38" s="1"/>
  <c r="I447" i="38"/>
  <c r="I446" i="38" s="1"/>
  <c r="G498" i="38"/>
  <c r="I498" i="38"/>
  <c r="W498" i="38"/>
  <c r="G516" i="38"/>
  <c r="I516" i="38"/>
  <c r="AD516" i="38"/>
  <c r="G543" i="38"/>
  <c r="I543" i="38"/>
  <c r="AD543" i="38"/>
  <c r="G557" i="38"/>
  <c r="I557" i="38"/>
  <c r="H339" i="38" l="1"/>
  <c r="J395" i="38"/>
  <c r="H175" i="38"/>
  <c r="H102" i="38"/>
  <c r="J393" i="38"/>
  <c r="J99" i="38"/>
  <c r="J147" i="38"/>
  <c r="J17" i="38"/>
  <c r="H371" i="38"/>
  <c r="H109" i="38"/>
  <c r="J425" i="38"/>
  <c r="J407" i="38"/>
  <c r="H378" i="38"/>
  <c r="AC560" i="38"/>
  <c r="J567" i="38"/>
  <c r="J564" i="38"/>
  <c r="J565" i="38"/>
  <c r="J569" i="38"/>
  <c r="J561" i="38"/>
  <c r="H580" i="38"/>
  <c r="H563" i="38"/>
  <c r="J581" i="38"/>
  <c r="H530" i="38"/>
  <c r="H548" i="38"/>
  <c r="H555" i="38"/>
  <c r="H572" i="38"/>
  <c r="H550" i="38"/>
  <c r="J546" i="38"/>
  <c r="AL569" i="38"/>
  <c r="AL561" i="38"/>
  <c r="H566" i="38"/>
  <c r="H549" i="38"/>
  <c r="H553" i="38"/>
  <c r="J577" i="38"/>
  <c r="AL570" i="38"/>
  <c r="J551" i="38"/>
  <c r="H575" i="38"/>
  <c r="AL565" i="38"/>
  <c r="H568" i="38"/>
  <c r="H579" i="38"/>
  <c r="J576" i="38"/>
  <c r="AL566" i="38"/>
  <c r="J562" i="38"/>
  <c r="AL576" i="38"/>
  <c r="AL568" i="38"/>
  <c r="J573" i="38"/>
  <c r="AL573" i="38"/>
  <c r="AL554" i="38"/>
  <c r="AL580" i="38"/>
  <c r="AL574" i="38"/>
  <c r="AL563" i="38"/>
  <c r="AL571" i="38"/>
  <c r="J570" i="38"/>
  <c r="AL555" i="38"/>
  <c r="AL572" i="38"/>
  <c r="AL564" i="38"/>
  <c r="AL567" i="38"/>
  <c r="J574" i="38"/>
  <c r="H574" i="38"/>
  <c r="AL582" i="38"/>
  <c r="AL579" i="38"/>
  <c r="AL552" i="38"/>
  <c r="AL581" i="38"/>
  <c r="AL562" i="38"/>
  <c r="AL575" i="38"/>
  <c r="AL577" i="38"/>
  <c r="J582" i="38"/>
  <c r="H582" i="38"/>
  <c r="H545" i="38"/>
  <c r="AL551" i="38"/>
  <c r="AL553" i="38"/>
  <c r="H556" i="38"/>
  <c r="J552" i="38"/>
  <c r="J554" i="38"/>
  <c r="AL529" i="38"/>
  <c r="AL548" i="38"/>
  <c r="AL556" i="38"/>
  <c r="AL549" i="38"/>
  <c r="J532" i="38"/>
  <c r="AL546" i="38"/>
  <c r="AL547" i="38"/>
  <c r="AL550" i="38"/>
  <c r="H547" i="38"/>
  <c r="AL530" i="38"/>
  <c r="AL534" i="38"/>
  <c r="J541" i="38"/>
  <c r="AL545" i="38"/>
  <c r="AL531" i="38"/>
  <c r="H529" i="38"/>
  <c r="H537" i="38"/>
  <c r="H524" i="38"/>
  <c r="H540" i="38"/>
  <c r="H528" i="38"/>
  <c r="AL533" i="38"/>
  <c r="AL528" i="38"/>
  <c r="H536" i="38"/>
  <c r="H533" i="38"/>
  <c r="AL532" i="38"/>
  <c r="AL527" i="38"/>
  <c r="J527" i="38"/>
  <c r="AL526" i="38"/>
  <c r="AL536" i="38"/>
  <c r="H433" i="38"/>
  <c r="J443" i="38"/>
  <c r="H440" i="38"/>
  <c r="H521" i="38"/>
  <c r="H526" i="38"/>
  <c r="H518" i="38"/>
  <c r="H531" i="38"/>
  <c r="W543" i="38"/>
  <c r="W542" i="38" s="1"/>
  <c r="AH543" i="38"/>
  <c r="AH542" i="38" s="1"/>
  <c r="AL524" i="38"/>
  <c r="AL521" i="38"/>
  <c r="H538" i="38"/>
  <c r="AL537" i="38"/>
  <c r="AL539" i="38"/>
  <c r="AB543" i="38"/>
  <c r="AB542" i="38" s="1"/>
  <c r="E543" i="38"/>
  <c r="V543" i="38"/>
  <c r="V542" i="38" s="1"/>
  <c r="AL538" i="38"/>
  <c r="H539" i="38"/>
  <c r="AL535" i="38"/>
  <c r="AL540" i="38"/>
  <c r="J522" i="38"/>
  <c r="AL520" i="38"/>
  <c r="H535" i="38"/>
  <c r="H523" i="38"/>
  <c r="H442" i="38"/>
  <c r="AL519" i="38"/>
  <c r="AL442" i="38"/>
  <c r="AL523" i="38"/>
  <c r="AL541" i="38"/>
  <c r="AL518" i="38"/>
  <c r="AL522" i="38"/>
  <c r="H437" i="38"/>
  <c r="H444" i="38"/>
  <c r="H441" i="38"/>
  <c r="J347" i="38"/>
  <c r="AL439" i="38"/>
  <c r="AL440" i="38"/>
  <c r="J519" i="38"/>
  <c r="H434" i="38"/>
  <c r="H439" i="38"/>
  <c r="H482" i="38"/>
  <c r="H473" i="38"/>
  <c r="AL437" i="38"/>
  <c r="H438" i="38"/>
  <c r="AL438" i="38"/>
  <c r="AL441" i="38"/>
  <c r="AL501" i="38"/>
  <c r="AL444" i="38"/>
  <c r="AL443" i="38"/>
  <c r="H493" i="38"/>
  <c r="AC432" i="38"/>
  <c r="AL511" i="38"/>
  <c r="J508" i="38"/>
  <c r="H506" i="38"/>
  <c r="H511" i="38"/>
  <c r="AL506" i="38"/>
  <c r="AL433" i="38"/>
  <c r="AK432" i="38"/>
  <c r="Y432" i="38"/>
  <c r="J503" i="38"/>
  <c r="AL509" i="38"/>
  <c r="AL434" i="38"/>
  <c r="AL423" i="38"/>
  <c r="H512" i="38"/>
  <c r="J500" i="38"/>
  <c r="H505" i="38"/>
  <c r="AL414" i="38"/>
  <c r="H423" i="38"/>
  <c r="AL512" i="38"/>
  <c r="H510" i="38"/>
  <c r="H509" i="38"/>
  <c r="H502" i="38"/>
  <c r="AL502" i="38"/>
  <c r="AL505" i="38"/>
  <c r="AL500" i="38"/>
  <c r="J454" i="38"/>
  <c r="J451" i="38"/>
  <c r="H424" i="38"/>
  <c r="AL508" i="38"/>
  <c r="H472" i="38"/>
  <c r="J466" i="38"/>
  <c r="H514" i="38"/>
  <c r="AL493" i="38"/>
  <c r="AL514" i="38"/>
  <c r="AL510" i="38"/>
  <c r="J501" i="38"/>
  <c r="H430" i="38"/>
  <c r="AL503" i="38"/>
  <c r="J513" i="38"/>
  <c r="AL507" i="38"/>
  <c r="J504" i="38"/>
  <c r="AL513" i="38"/>
  <c r="AL504" i="38"/>
  <c r="V334" i="38"/>
  <c r="AH410" i="38"/>
  <c r="AH409" i="38" s="1"/>
  <c r="H480" i="38"/>
  <c r="J418" i="38"/>
  <c r="H477" i="38"/>
  <c r="AL430" i="38"/>
  <c r="AL422" i="38"/>
  <c r="H497" i="38"/>
  <c r="J495" i="38"/>
  <c r="H488" i="38"/>
  <c r="H475" i="38"/>
  <c r="J450" i="38"/>
  <c r="H479" i="38"/>
  <c r="H456" i="38"/>
  <c r="J449" i="38"/>
  <c r="J458" i="38"/>
  <c r="J455" i="38"/>
  <c r="AL475" i="38"/>
  <c r="AL458" i="38"/>
  <c r="H422" i="38"/>
  <c r="H452" i="38"/>
  <c r="J463" i="38"/>
  <c r="H459" i="38"/>
  <c r="AL466" i="38"/>
  <c r="AL461" i="38"/>
  <c r="AL456" i="38"/>
  <c r="AL449" i="38"/>
  <c r="H427" i="38"/>
  <c r="H426" i="38"/>
  <c r="AL425" i="38"/>
  <c r="AL427" i="38"/>
  <c r="AL426" i="38"/>
  <c r="AL424" i="38"/>
  <c r="H469" i="38"/>
  <c r="H461" i="38"/>
  <c r="H368" i="38"/>
  <c r="AL469" i="38"/>
  <c r="AL485" i="38"/>
  <c r="AL474" i="38"/>
  <c r="J414" i="38"/>
  <c r="AL413" i="38"/>
  <c r="AL488" i="38"/>
  <c r="AL483" i="38"/>
  <c r="H340" i="38"/>
  <c r="H496" i="38"/>
  <c r="H481" i="38"/>
  <c r="J478" i="38"/>
  <c r="H460" i="38"/>
  <c r="J465" i="38"/>
  <c r="J462" i="38"/>
  <c r="J471" i="38"/>
  <c r="H413" i="38"/>
  <c r="J364" i="38"/>
  <c r="H492" i="38"/>
  <c r="J491" i="38"/>
  <c r="H484" i="38"/>
  <c r="J483" i="38"/>
  <c r="AL489" i="38"/>
  <c r="AL418" i="38"/>
  <c r="AL412" i="38"/>
  <c r="H353" i="38"/>
  <c r="H352" i="38"/>
  <c r="H376" i="38"/>
  <c r="H485" i="38"/>
  <c r="H453" i="38"/>
  <c r="AL467" i="38"/>
  <c r="H476" i="38"/>
  <c r="H468" i="38"/>
  <c r="H415" i="38"/>
  <c r="J412" i="38"/>
  <c r="AL415" i="38"/>
  <c r="AL450" i="38"/>
  <c r="AL463" i="38"/>
  <c r="H416" i="38"/>
  <c r="J474" i="38"/>
  <c r="AL477" i="38"/>
  <c r="J467" i="38"/>
  <c r="AL484" i="38"/>
  <c r="E410" i="38"/>
  <c r="AL472" i="38"/>
  <c r="AL468" i="38"/>
  <c r="AL452" i="38"/>
  <c r="AL465" i="38"/>
  <c r="AL481" i="38"/>
  <c r="AL459" i="38"/>
  <c r="H489" i="38"/>
  <c r="AL497" i="38"/>
  <c r="H464" i="38"/>
  <c r="AL495" i="38"/>
  <c r="AL479" i="38"/>
  <c r="AL490" i="38"/>
  <c r="J486" i="38"/>
  <c r="H487" i="38"/>
  <c r="J470" i="38"/>
  <c r="AL471" i="38"/>
  <c r="H374" i="38"/>
  <c r="AL487" i="38"/>
  <c r="AL491" i="38"/>
  <c r="AL482" i="38"/>
  <c r="AL455" i="38"/>
  <c r="AL451" i="38"/>
  <c r="AL478" i="38"/>
  <c r="AL460" i="38"/>
  <c r="AL470" i="38"/>
  <c r="AL473" i="38"/>
  <c r="AL454" i="38"/>
  <c r="J490" i="38"/>
  <c r="AL496" i="38"/>
  <c r="AL492" i="38"/>
  <c r="AL462" i="38"/>
  <c r="AL453" i="38"/>
  <c r="J494" i="38"/>
  <c r="AL486" i="38"/>
  <c r="AL476" i="38"/>
  <c r="AL464" i="38"/>
  <c r="AL494" i="38"/>
  <c r="AL480" i="38"/>
  <c r="H361" i="38"/>
  <c r="H326" i="38"/>
  <c r="J367" i="38"/>
  <c r="H380" i="38"/>
  <c r="H383" i="38"/>
  <c r="AL376" i="38"/>
  <c r="AL417" i="38"/>
  <c r="J282" i="38"/>
  <c r="H369" i="38"/>
  <c r="AL380" i="38"/>
  <c r="AL383" i="38"/>
  <c r="H385" i="38"/>
  <c r="H417" i="38"/>
  <c r="H355" i="38"/>
  <c r="H348" i="38"/>
  <c r="AL416" i="38"/>
  <c r="AL350" i="38"/>
  <c r="H365" i="38"/>
  <c r="J384" i="38"/>
  <c r="J386" i="38"/>
  <c r="H388" i="38"/>
  <c r="AL388" i="38"/>
  <c r="AL385" i="38"/>
  <c r="AL386" i="38"/>
  <c r="J379" i="38"/>
  <c r="J377" i="38"/>
  <c r="AL384" i="38"/>
  <c r="H287" i="38"/>
  <c r="H315" i="38"/>
  <c r="AL378" i="38"/>
  <c r="AL364" i="38"/>
  <c r="H360" i="38"/>
  <c r="H316" i="38"/>
  <c r="H370" i="38"/>
  <c r="H354" i="38"/>
  <c r="AL377" i="38"/>
  <c r="H322" i="38"/>
  <c r="AL379" i="38"/>
  <c r="H343" i="38"/>
  <c r="AL348" i="38"/>
  <c r="H366" i="38"/>
  <c r="J363" i="38"/>
  <c r="H356" i="38"/>
  <c r="AL370" i="38"/>
  <c r="H349" i="38"/>
  <c r="H350" i="38"/>
  <c r="AL360" i="38"/>
  <c r="AL340" i="38"/>
  <c r="AL371" i="38"/>
  <c r="AL363" i="38"/>
  <c r="AL361" i="38"/>
  <c r="AL354" i="38"/>
  <c r="AL347" i="38"/>
  <c r="AL369" i="38"/>
  <c r="AL356" i="38"/>
  <c r="H279" i="38"/>
  <c r="AL359" i="38"/>
  <c r="AL349" i="38"/>
  <c r="AL345" i="38"/>
  <c r="AL352" i="38"/>
  <c r="H311" i="38"/>
  <c r="H288" i="38"/>
  <c r="H345" i="38"/>
  <c r="H344" i="38"/>
  <c r="H358" i="38"/>
  <c r="H342" i="38"/>
  <c r="AL339" i="38"/>
  <c r="H373" i="38"/>
  <c r="AL362" i="38"/>
  <c r="AL342" i="38"/>
  <c r="AL344" i="38"/>
  <c r="AL374" i="38"/>
  <c r="AL368" i="38"/>
  <c r="AL353" i="38"/>
  <c r="H402" i="38"/>
  <c r="H362" i="38"/>
  <c r="J372" i="38"/>
  <c r="AL355" i="38"/>
  <c r="AL343" i="38"/>
  <c r="AL373" i="38"/>
  <c r="AL358" i="38"/>
  <c r="J359" i="38"/>
  <c r="AL367" i="38"/>
  <c r="AL372" i="38"/>
  <c r="AL365" i="38"/>
  <c r="AL403" i="38"/>
  <c r="AL366" i="38"/>
  <c r="H283" i="38"/>
  <c r="H284" i="38"/>
  <c r="H295" i="38"/>
  <c r="H286" i="38"/>
  <c r="H270" i="38"/>
  <c r="H298" i="38"/>
  <c r="H396" i="38"/>
  <c r="AL406" i="38"/>
  <c r="AA405" i="38"/>
  <c r="AA404" i="38" s="1"/>
  <c r="E405" i="38"/>
  <c r="E404" i="38" s="1"/>
  <c r="AL402" i="38"/>
  <c r="AI404" i="38"/>
  <c r="D405" i="38"/>
  <c r="D404" i="38" s="1"/>
  <c r="Z404" i="38"/>
  <c r="AJ404" i="38"/>
  <c r="J296" i="38"/>
  <c r="J398" i="38"/>
  <c r="W405" i="38"/>
  <c r="W404" i="38" s="1"/>
  <c r="Y404" i="38" s="1"/>
  <c r="AE405" i="38"/>
  <c r="AE404" i="38" s="1"/>
  <c r="AG404" i="38" s="1"/>
  <c r="H406" i="38"/>
  <c r="H310" i="38"/>
  <c r="AL407" i="38"/>
  <c r="J274" i="38"/>
  <c r="AL399" i="38"/>
  <c r="J289" i="38"/>
  <c r="H399" i="38"/>
  <c r="J403" i="38"/>
  <c r="AL396" i="38"/>
  <c r="AL294" i="38"/>
  <c r="J320" i="38"/>
  <c r="H394" i="38"/>
  <c r="J272" i="38"/>
  <c r="J305" i="38"/>
  <c r="AL306" i="38"/>
  <c r="J297" i="38"/>
  <c r="J325" i="38"/>
  <c r="H318" i="38"/>
  <c r="AL398" i="38"/>
  <c r="H306" i="38"/>
  <c r="AI391" i="38"/>
  <c r="AI390" i="38" s="1"/>
  <c r="E391" i="38"/>
  <c r="E390" i="38" s="1"/>
  <c r="AL394" i="38"/>
  <c r="AL393" i="38"/>
  <c r="AL395" i="38"/>
  <c r="J232" i="38"/>
  <c r="H291" i="38"/>
  <c r="H276" i="38"/>
  <c r="H314" i="38"/>
  <c r="J309" i="38"/>
  <c r="H302" i="38"/>
  <c r="H321" i="38"/>
  <c r="H275" i="38"/>
  <c r="AL322" i="38"/>
  <c r="H317" i="38"/>
  <c r="AL317" i="38"/>
  <c r="AL274" i="38"/>
  <c r="AL307" i="38"/>
  <c r="J278" i="38"/>
  <c r="H319" i="38"/>
  <c r="H304" i="38"/>
  <c r="AL271" i="38"/>
  <c r="AL279" i="38"/>
  <c r="AL282" i="38"/>
  <c r="AL324" i="38"/>
  <c r="AL315" i="38"/>
  <c r="AL316" i="38"/>
  <c r="H324" i="38"/>
  <c r="J323" i="38"/>
  <c r="AL318" i="38"/>
  <c r="AL314" i="38"/>
  <c r="AL321" i="38"/>
  <c r="AL325" i="38"/>
  <c r="AL319" i="38"/>
  <c r="AL323" i="38"/>
  <c r="AL305" i="38"/>
  <c r="AL320" i="38"/>
  <c r="AL275" i="38"/>
  <c r="AL308" i="38"/>
  <c r="AL304" i="38"/>
  <c r="H257" i="38"/>
  <c r="H307" i="38"/>
  <c r="AL301" i="38"/>
  <c r="H299" i="38"/>
  <c r="H271" i="38"/>
  <c r="AL283" i="38"/>
  <c r="AL278" i="38"/>
  <c r="AL311" i="38"/>
  <c r="AL326" i="38"/>
  <c r="H230" i="38"/>
  <c r="J261" i="38"/>
  <c r="H303" i="38"/>
  <c r="J293" i="38"/>
  <c r="AL297" i="38"/>
  <c r="AL289" i="38"/>
  <c r="AL310" i="38"/>
  <c r="AL290" i="38"/>
  <c r="J290" i="38"/>
  <c r="H290" i="38"/>
  <c r="H240" i="38"/>
  <c r="J247" i="38"/>
  <c r="H280" i="38"/>
  <c r="AL295" i="38"/>
  <c r="AL286" i="38"/>
  <c r="H239" i="38"/>
  <c r="H292" i="38"/>
  <c r="H237" i="38"/>
  <c r="J266" i="38"/>
  <c r="J301" i="38"/>
  <c r="AL291" i="38"/>
  <c r="AL281" i="38"/>
  <c r="H294" i="38"/>
  <c r="AL287" i="38"/>
  <c r="AL270" i="38"/>
  <c r="AL298" i="38"/>
  <c r="J236" i="38"/>
  <c r="H300" i="38"/>
  <c r="AL299" i="38"/>
  <c r="AL293" i="38"/>
  <c r="AL285" i="38"/>
  <c r="H308" i="38"/>
  <c r="AL273" i="38"/>
  <c r="AL302" i="38"/>
  <c r="AL296" i="38"/>
  <c r="AL276" i="38"/>
  <c r="AL269" i="38"/>
  <c r="AL303" i="38"/>
  <c r="AL277" i="38"/>
  <c r="AL309" i="38"/>
  <c r="H273" i="38"/>
  <c r="J273" i="38"/>
  <c r="H265" i="38"/>
  <c r="AL300" i="38"/>
  <c r="H285" i="38"/>
  <c r="J285" i="38"/>
  <c r="AL272" i="38"/>
  <c r="H269" i="38"/>
  <c r="J269" i="38"/>
  <c r="H263" i="38"/>
  <c r="AL288" i="38"/>
  <c r="AL284" i="38"/>
  <c r="H281" i="38"/>
  <c r="J281" i="38"/>
  <c r="H238" i="38"/>
  <c r="AL292" i="38"/>
  <c r="AL280" i="38"/>
  <c r="H277" i="38"/>
  <c r="J277" i="38"/>
  <c r="J198" i="38"/>
  <c r="H331" i="38"/>
  <c r="H330" i="38"/>
  <c r="H262" i="38"/>
  <c r="H264" i="38"/>
  <c r="AL263" i="38"/>
  <c r="AL266" i="38"/>
  <c r="AL261" i="38"/>
  <c r="AL264" i="38"/>
  <c r="AL262" i="38"/>
  <c r="AL265" i="38"/>
  <c r="J197" i="38"/>
  <c r="H254" i="38"/>
  <c r="J258" i="38"/>
  <c r="AL251" i="38"/>
  <c r="H248" i="38"/>
  <c r="H329" i="38"/>
  <c r="AL329" i="38"/>
  <c r="H233" i="38"/>
  <c r="H255" i="38"/>
  <c r="J249" i="38"/>
  <c r="AA328" i="38"/>
  <c r="AA327" i="38" s="1"/>
  <c r="AB327" i="38"/>
  <c r="H253" i="38"/>
  <c r="AL249" i="38"/>
  <c r="X328" i="38"/>
  <c r="X327" i="38" s="1"/>
  <c r="AI328" i="38"/>
  <c r="AI327" i="38" s="1"/>
  <c r="W328" i="38"/>
  <c r="W327" i="38" s="1"/>
  <c r="AE327" i="38"/>
  <c r="H259" i="38"/>
  <c r="AL255" i="38"/>
  <c r="AF328" i="38"/>
  <c r="AF327" i="38" s="1"/>
  <c r="AJ328" i="38"/>
  <c r="AJ327" i="38" s="1"/>
  <c r="AL331" i="38"/>
  <c r="AL330" i="38"/>
  <c r="AL253" i="38"/>
  <c r="H234" i="38"/>
  <c r="J256" i="38"/>
  <c r="H245" i="38"/>
  <c r="AL256" i="38"/>
  <c r="AL254" i="38"/>
  <c r="AL245" i="38"/>
  <c r="AL250" i="38"/>
  <c r="AL247" i="38"/>
  <c r="AL259" i="38"/>
  <c r="AL257" i="38"/>
  <c r="J250" i="38"/>
  <c r="AL248" i="38"/>
  <c r="AL258" i="38"/>
  <c r="AL241" i="38"/>
  <c r="H241" i="38"/>
  <c r="AL242" i="38"/>
  <c r="H205" i="38"/>
  <c r="J231" i="38"/>
  <c r="AL236" i="38"/>
  <c r="AL237" i="38"/>
  <c r="H221" i="38"/>
  <c r="AL239" i="38"/>
  <c r="AL238" i="38"/>
  <c r="AL240" i="38"/>
  <c r="H242" i="38"/>
  <c r="H207" i="38"/>
  <c r="AL233" i="38"/>
  <c r="AL230" i="38"/>
  <c r="AL234" i="38"/>
  <c r="AL232" i="38"/>
  <c r="AL202" i="38"/>
  <c r="AL231" i="38"/>
  <c r="H202" i="38"/>
  <c r="AL206" i="38"/>
  <c r="J206" i="38"/>
  <c r="AL205" i="38"/>
  <c r="H215" i="38"/>
  <c r="AL207" i="38"/>
  <c r="AL197" i="38"/>
  <c r="H196" i="38"/>
  <c r="H212" i="38"/>
  <c r="J224" i="38"/>
  <c r="AL196" i="38"/>
  <c r="J195" i="38"/>
  <c r="H220" i="38"/>
  <c r="H199" i="38"/>
  <c r="AL199" i="38"/>
  <c r="H223" i="38"/>
  <c r="AL198" i="38"/>
  <c r="H213" i="38"/>
  <c r="AL195" i="38"/>
  <c r="AL220" i="38"/>
  <c r="AL223" i="38"/>
  <c r="AL221" i="38"/>
  <c r="H222" i="38"/>
  <c r="AL222" i="38"/>
  <c r="AL211" i="38"/>
  <c r="AL224" i="38"/>
  <c r="J214" i="38"/>
  <c r="J211" i="38"/>
  <c r="H172" i="38"/>
  <c r="AL212" i="38"/>
  <c r="AL215" i="38"/>
  <c r="AL214" i="38"/>
  <c r="J216" i="38"/>
  <c r="AL213" i="38"/>
  <c r="AL216" i="38"/>
  <c r="AL171" i="38"/>
  <c r="J152" i="38"/>
  <c r="J183" i="38"/>
  <c r="AL188" i="38"/>
  <c r="H186" i="38"/>
  <c r="J174" i="38"/>
  <c r="AL173" i="38"/>
  <c r="AL175" i="38"/>
  <c r="H167" i="38"/>
  <c r="H154" i="38"/>
  <c r="J159" i="38"/>
  <c r="H170" i="38"/>
  <c r="AL152" i="38"/>
  <c r="H157" i="38"/>
  <c r="H177" i="38"/>
  <c r="H176" i="38"/>
  <c r="J173" i="38"/>
  <c r="AL176" i="38"/>
  <c r="AL174" i="38"/>
  <c r="AL187" i="38"/>
  <c r="AL143" i="38"/>
  <c r="H160" i="38"/>
  <c r="H155" i="38"/>
  <c r="H156" i="38"/>
  <c r="H168" i="38"/>
  <c r="AL167" i="38"/>
  <c r="J171" i="38"/>
  <c r="AL172" i="38"/>
  <c r="H139" i="38"/>
  <c r="H181" i="38"/>
  <c r="AL181" i="38"/>
  <c r="AL184" i="38"/>
  <c r="H188" i="38"/>
  <c r="H185" i="38"/>
  <c r="J179" i="38"/>
  <c r="AL182" i="38"/>
  <c r="J190" i="38"/>
  <c r="J189" i="38"/>
  <c r="AL180" i="38"/>
  <c r="H187" i="38"/>
  <c r="J184" i="38"/>
  <c r="H182" i="38"/>
  <c r="AL186" i="38"/>
  <c r="AL183" i="38"/>
  <c r="H178" i="38"/>
  <c r="J180" i="38"/>
  <c r="AL177" i="38"/>
  <c r="AL179" i="38"/>
  <c r="AL178" i="38"/>
  <c r="AL190" i="38"/>
  <c r="AL189" i="38"/>
  <c r="H141" i="38"/>
  <c r="AL168" i="38"/>
  <c r="H169" i="38"/>
  <c r="AL155" i="38"/>
  <c r="AL170" i="38"/>
  <c r="AL169" i="38"/>
  <c r="AL154" i="38"/>
  <c r="H144" i="38"/>
  <c r="AL156" i="38"/>
  <c r="H158" i="38"/>
  <c r="AL159" i="38"/>
  <c r="AL157" i="38"/>
  <c r="AL139" i="38"/>
  <c r="AL158" i="38"/>
  <c r="J143" i="38"/>
  <c r="J127" i="38"/>
  <c r="H138" i="38"/>
  <c r="H145" i="38"/>
  <c r="H162" i="38"/>
  <c r="J161" i="38"/>
  <c r="AL161" i="38"/>
  <c r="AL162" i="38"/>
  <c r="AL141" i="38"/>
  <c r="J142" i="38"/>
  <c r="AL124" i="38"/>
  <c r="AL160" i="38"/>
  <c r="J140" i="38"/>
  <c r="AL140" i="38"/>
  <c r="H130" i="38"/>
  <c r="AL145" i="38"/>
  <c r="H136" i="38"/>
  <c r="AL142" i="38"/>
  <c r="AL144" i="38"/>
  <c r="AL138" i="38"/>
  <c r="AL147" i="38"/>
  <c r="AL137" i="38"/>
  <c r="J137" i="38"/>
  <c r="AL136" i="38"/>
  <c r="J113" i="38"/>
  <c r="H128" i="38"/>
  <c r="H121" i="38"/>
  <c r="AL125" i="38"/>
  <c r="H125" i="38"/>
  <c r="H126" i="38"/>
  <c r="AL111" i="38"/>
  <c r="AL148" i="38"/>
  <c r="J123" i="38"/>
  <c r="J124" i="38"/>
  <c r="AL74" i="38"/>
  <c r="J129" i="38"/>
  <c r="H148" i="38"/>
  <c r="H110" i="38"/>
  <c r="AL131" i="38"/>
  <c r="AL121" i="38"/>
  <c r="AL123" i="38"/>
  <c r="AL127" i="38"/>
  <c r="H111" i="38"/>
  <c r="AL130" i="38"/>
  <c r="AL122" i="38"/>
  <c r="AL126" i="38"/>
  <c r="AL129" i="38"/>
  <c r="H122" i="38"/>
  <c r="H131" i="38"/>
  <c r="H112" i="38"/>
  <c r="AL128" i="38"/>
  <c r="AL75" i="38"/>
  <c r="AL115" i="38"/>
  <c r="J117" i="38"/>
  <c r="H76" i="38"/>
  <c r="H115" i="38"/>
  <c r="AL82" i="38"/>
  <c r="AL112" i="38"/>
  <c r="J116" i="38"/>
  <c r="AL113" i="38"/>
  <c r="AL110" i="38"/>
  <c r="J53" i="38"/>
  <c r="AL116" i="38"/>
  <c r="AL114" i="38"/>
  <c r="AL81" i="38"/>
  <c r="H68" i="38"/>
  <c r="J75" i="38"/>
  <c r="AL109" i="38"/>
  <c r="J103" i="38"/>
  <c r="H101" i="38"/>
  <c r="AL117" i="38"/>
  <c r="AL76" i="38"/>
  <c r="J79" i="38"/>
  <c r="H74" i="38"/>
  <c r="J82" i="38"/>
  <c r="J81" i="38"/>
  <c r="J78" i="38"/>
  <c r="I390" i="38"/>
  <c r="AL79" i="38"/>
  <c r="I542" i="38"/>
  <c r="X60" i="38"/>
  <c r="AD60" i="38"/>
  <c r="AI60" i="38"/>
  <c r="H77" i="38"/>
  <c r="H61" i="38"/>
  <c r="H97" i="38"/>
  <c r="AL78" i="38"/>
  <c r="AL77" i="38"/>
  <c r="J69" i="38"/>
  <c r="D60" i="38"/>
  <c r="Z60" i="38"/>
  <c r="AE60" i="38"/>
  <c r="AJ60" i="38"/>
  <c r="H100" i="38"/>
  <c r="AL99" i="38"/>
  <c r="AL63" i="38"/>
  <c r="J71" i="38"/>
  <c r="G542" i="38"/>
  <c r="G209" i="38"/>
  <c r="G390" i="38"/>
  <c r="E60" i="38"/>
  <c r="V60" i="38"/>
  <c r="AA60" i="38"/>
  <c r="AF60" i="38"/>
  <c r="AL71" i="38"/>
  <c r="H63" i="38"/>
  <c r="J70" i="38"/>
  <c r="AL70" i="38"/>
  <c r="H72" i="38"/>
  <c r="AL72" i="38"/>
  <c r="AL68" i="38"/>
  <c r="AL69" i="38"/>
  <c r="AL61" i="38"/>
  <c r="W60" i="38"/>
  <c r="AB60" i="38"/>
  <c r="AH60" i="38"/>
  <c r="AL64" i="38"/>
  <c r="AL101" i="38"/>
  <c r="AL100" i="38"/>
  <c r="D35" i="38"/>
  <c r="Z35" i="38"/>
  <c r="AE35" i="38"/>
  <c r="AJ35" i="38"/>
  <c r="H104" i="38"/>
  <c r="AL103" i="38"/>
  <c r="AL102" i="38"/>
  <c r="H64" i="38"/>
  <c r="H105" i="38"/>
  <c r="AL104" i="38"/>
  <c r="AL98" i="38"/>
  <c r="AA35" i="38"/>
  <c r="AF35" i="38"/>
  <c r="H106" i="38"/>
  <c r="AL105" i="38"/>
  <c r="H98" i="38"/>
  <c r="AL97" i="38"/>
  <c r="AL106" i="38"/>
  <c r="H52" i="38"/>
  <c r="AL52" i="38"/>
  <c r="X35" i="38"/>
  <c r="AD35" i="38"/>
  <c r="AI35" i="38"/>
  <c r="H58" i="38"/>
  <c r="AB35" i="38"/>
  <c r="AH35" i="38"/>
  <c r="H51" i="38"/>
  <c r="J59" i="38"/>
  <c r="AL51" i="38"/>
  <c r="AL53" i="38"/>
  <c r="H55" i="38"/>
  <c r="H43" i="38"/>
  <c r="H54" i="38"/>
  <c r="AL54" i="38"/>
  <c r="J56" i="38"/>
  <c r="AL56" i="38"/>
  <c r="AL58" i="38"/>
  <c r="AL55" i="38"/>
  <c r="AL43" i="38"/>
  <c r="AL59" i="38"/>
  <c r="H44" i="38"/>
  <c r="AL46" i="38"/>
  <c r="AL45" i="38"/>
  <c r="AL44" i="38"/>
  <c r="H49" i="38"/>
  <c r="H45" i="38"/>
  <c r="H46" i="38"/>
  <c r="H40" i="38"/>
  <c r="AL49" i="38"/>
  <c r="H37" i="38"/>
  <c r="H47" i="38"/>
  <c r="AL48" i="38"/>
  <c r="AL47" i="38"/>
  <c r="J38" i="38"/>
  <c r="AL40" i="38"/>
  <c r="H41" i="38"/>
  <c r="AL41" i="38"/>
  <c r="AL38" i="38"/>
  <c r="AL89" i="38"/>
  <c r="AL37" i="38"/>
  <c r="J87" i="38"/>
  <c r="H86" i="38"/>
  <c r="J89" i="38"/>
  <c r="J88" i="38"/>
  <c r="J92" i="38"/>
  <c r="AL91" i="38"/>
  <c r="J32" i="38"/>
  <c r="AL92" i="38"/>
  <c r="J90" i="38"/>
  <c r="AL90" i="38"/>
  <c r="H91" i="38"/>
  <c r="AL86" i="38"/>
  <c r="AD227" i="38"/>
  <c r="AL87" i="38"/>
  <c r="AH334" i="38"/>
  <c r="AL88" i="38"/>
  <c r="E334" i="38"/>
  <c r="J28" i="38"/>
  <c r="J31" i="38"/>
  <c r="AL31" i="38"/>
  <c r="AL30" i="38"/>
  <c r="J27" i="38"/>
  <c r="AL32" i="38"/>
  <c r="AL28" i="38"/>
  <c r="H30" i="38"/>
  <c r="AL27" i="38"/>
  <c r="W391" i="38"/>
  <c r="W390" i="38" s="1"/>
  <c r="W410" i="38"/>
  <c r="W409" i="38" s="1"/>
  <c r="H19" i="38"/>
  <c r="J22" i="38"/>
  <c r="H23" i="38"/>
  <c r="AA218" i="38"/>
  <c r="AA209" i="38" s="1"/>
  <c r="V66" i="38"/>
  <c r="AF134" i="38"/>
  <c r="AI312" i="38"/>
  <c r="Z334" i="38"/>
  <c r="AH381" i="38"/>
  <c r="V391" i="38"/>
  <c r="V390" i="38" s="1"/>
  <c r="AB410" i="38"/>
  <c r="AB409" i="38" s="1"/>
  <c r="H15" i="38"/>
  <c r="AL22" i="38"/>
  <c r="AL23" i="38"/>
  <c r="W218" i="38"/>
  <c r="H21" i="38"/>
  <c r="AL21" i="38"/>
  <c r="AI218" i="38"/>
  <c r="AH312" i="38"/>
  <c r="AI381" i="38"/>
  <c r="V410" i="38"/>
  <c r="V409" i="38" s="1"/>
  <c r="H16" i="38"/>
  <c r="AD134" i="38"/>
  <c r="AD191" i="38"/>
  <c r="AH218" i="38"/>
  <c r="AH209" i="38" s="1"/>
  <c r="F228" i="38"/>
  <c r="H228" i="38" s="1"/>
  <c r="V312" i="38"/>
  <c r="AL19" i="38"/>
  <c r="X312" i="38"/>
  <c r="X381" i="38"/>
  <c r="AF391" i="38"/>
  <c r="AF390" i="38" s="1"/>
  <c r="AA191" i="38"/>
  <c r="AF191" i="38"/>
  <c r="AE218" i="38"/>
  <c r="AE209" i="38" s="1"/>
  <c r="AA267" i="38"/>
  <c r="AD312" i="38"/>
  <c r="AD381" i="38"/>
  <c r="AA391" i="38"/>
  <c r="AA390" i="38" s="1"/>
  <c r="H20" i="38"/>
  <c r="AG210" i="38"/>
  <c r="AL16" i="38"/>
  <c r="AL17" i="38"/>
  <c r="E191" i="38"/>
  <c r="V191" i="38"/>
  <c r="V218" i="38"/>
  <c r="V209" i="38" s="1"/>
  <c r="AH227" i="38"/>
  <c r="AD243" i="38"/>
  <c r="Z312" i="38"/>
  <c r="V337" i="38"/>
  <c r="AE391" i="38"/>
  <c r="AE390" i="38" s="1"/>
  <c r="H14" i="38"/>
  <c r="AA84" i="38"/>
  <c r="AA83" i="38" s="1"/>
  <c r="AI227" i="38"/>
  <c r="D66" i="38"/>
  <c r="Z66" i="38"/>
  <c r="AD84" i="38"/>
  <c r="AD83" i="38" s="1"/>
  <c r="V267" i="38"/>
  <c r="AD334" i="38"/>
  <c r="AF337" i="38"/>
  <c r="F25" i="38"/>
  <c r="J25" i="38" s="1"/>
  <c r="F132" i="38"/>
  <c r="H132" i="38" s="1"/>
  <c r="AF334" i="38"/>
  <c r="F387" i="38"/>
  <c r="J387" i="38" s="1"/>
  <c r="F420" i="38"/>
  <c r="J420" i="38" s="1"/>
  <c r="AL13" i="38"/>
  <c r="AL15" i="38"/>
  <c r="AK210" i="38"/>
  <c r="F335" i="38"/>
  <c r="H335" i="38" s="1"/>
  <c r="X391" i="38"/>
  <c r="X390" i="38" s="1"/>
  <c r="AC411" i="38"/>
  <c r="F428" i="38"/>
  <c r="J428" i="38" s="1"/>
  <c r="H13" i="38"/>
  <c r="AG25" i="38"/>
  <c r="AC34" i="38"/>
  <c r="AG39" i="38"/>
  <c r="AK42" i="38"/>
  <c r="X73" i="38"/>
  <c r="AD73" i="38"/>
  <c r="AI73" i="38"/>
  <c r="Z84" i="38"/>
  <c r="Z83" i="38" s="1"/>
  <c r="AG93" i="38"/>
  <c r="Y118" i="38"/>
  <c r="F120" i="38"/>
  <c r="J120" i="38" s="1"/>
  <c r="Y133" i="38"/>
  <c r="Z134" i="38"/>
  <c r="AG163" i="38"/>
  <c r="F164" i="38"/>
  <c r="J164" i="38" s="1"/>
  <c r="X165" i="38"/>
  <c r="AD165" i="38"/>
  <c r="Z191" i="38"/>
  <c r="AK194" i="38"/>
  <c r="AD218" i="38"/>
  <c r="AD209" i="38" s="1"/>
  <c r="V227" i="38"/>
  <c r="Y268" i="38"/>
  <c r="AF267" i="38"/>
  <c r="AK411" i="38"/>
  <c r="F544" i="38"/>
  <c r="H544" i="38" s="1"/>
  <c r="E84" i="38"/>
  <c r="E83" i="38" s="1"/>
  <c r="Z218" i="38"/>
  <c r="Z209" i="38" s="1"/>
  <c r="AG411" i="38"/>
  <c r="AL20" i="38"/>
  <c r="AL14" i="38"/>
  <c r="Y85" i="38"/>
  <c r="W84" i="38"/>
  <c r="W83" i="38" s="1"/>
  <c r="Y120" i="38"/>
  <c r="AA119" i="38"/>
  <c r="AG132" i="38"/>
  <c r="AH134" i="38"/>
  <c r="AK163" i="38"/>
  <c r="AG166" i="38"/>
  <c r="AH191" i="38"/>
  <c r="X227" i="38"/>
  <c r="V243" i="38"/>
  <c r="Z243" i="38"/>
  <c r="AC268" i="38"/>
  <c r="D312" i="38"/>
  <c r="AE312" i="38"/>
  <c r="AG332" i="38"/>
  <c r="AC336" i="38"/>
  <c r="AE334" i="38"/>
  <c r="AG338" i="38"/>
  <c r="AJ381" i="38"/>
  <c r="AB391" i="38"/>
  <c r="AB390" i="38" s="1"/>
  <c r="Y411" i="38"/>
  <c r="AA10" i="38"/>
  <c r="F67" i="38"/>
  <c r="H67" i="38" s="1"/>
  <c r="AH73" i="38"/>
  <c r="Z119" i="38"/>
  <c r="AF119" i="38"/>
  <c r="AI165" i="38"/>
  <c r="Z267" i="38"/>
  <c r="AC80" i="38"/>
  <c r="AA73" i="38"/>
  <c r="AK120" i="38"/>
  <c r="AH243" i="38"/>
  <c r="AG268" i="38"/>
  <c r="Z381" i="38"/>
  <c r="AC397" i="38"/>
  <c r="AG400" i="38"/>
  <c r="Y408" i="38"/>
  <c r="F411" i="38"/>
  <c r="J411" i="38" s="1"/>
  <c r="X410" i="38"/>
  <c r="X409" i="38" s="1"/>
  <c r="AK420" i="38"/>
  <c r="Y428" i="38"/>
  <c r="AC431" i="38"/>
  <c r="AG435" i="38"/>
  <c r="AE191" i="38"/>
  <c r="F217" i="38"/>
  <c r="J217" i="38" s="1"/>
  <c r="AE227" i="38"/>
  <c r="AK382" i="38"/>
  <c r="W447" i="38"/>
  <c r="W446" i="38" s="1"/>
  <c r="AI516" i="38"/>
  <c r="AI515" i="38" s="1"/>
  <c r="Y194" i="38"/>
  <c r="AC25" i="38"/>
  <c r="AG228" i="38"/>
  <c r="F93" i="38"/>
  <c r="J93" i="38" s="1"/>
  <c r="AF84" i="38"/>
  <c r="AF83" i="38" s="1"/>
  <c r="AA134" i="38"/>
  <c r="AK166" i="38"/>
  <c r="AB191" i="38"/>
  <c r="F193" i="38"/>
  <c r="J193" i="38" s="1"/>
  <c r="Y193" i="38"/>
  <c r="AC200" i="38"/>
  <c r="AG208" i="38"/>
  <c r="AK217" i="38"/>
  <c r="AK268" i="38"/>
  <c r="AG382" i="38"/>
  <c r="F389" i="38"/>
  <c r="J389" i="38" s="1"/>
  <c r="AA381" i="38"/>
  <c r="AC419" i="38"/>
  <c r="AA410" i="38"/>
  <c r="AA409" i="38" s="1"/>
  <c r="AK448" i="38"/>
  <c r="AI447" i="38"/>
  <c r="AI446" i="38" s="1"/>
  <c r="AF516" i="38"/>
  <c r="AF515" i="38" s="1"/>
  <c r="AE543" i="38"/>
  <c r="AE542" i="38" s="1"/>
  <c r="AG34" i="38"/>
  <c r="Y42" i="38"/>
  <c r="F50" i="38"/>
  <c r="J50" i="38" s="1"/>
  <c r="AK50" i="38"/>
  <c r="X66" i="38"/>
  <c r="AD66" i="38"/>
  <c r="Z73" i="38"/>
  <c r="F80" i="38"/>
  <c r="H80" i="38" s="1"/>
  <c r="AC120" i="38"/>
  <c r="AB134" i="38"/>
  <c r="Y149" i="38"/>
  <c r="F151" i="38"/>
  <c r="J151" i="38" s="1"/>
  <c r="AC151" i="38"/>
  <c r="AE150" i="38"/>
  <c r="Y163" i="38"/>
  <c r="AG164" i="38"/>
  <c r="Y166" i="38"/>
  <c r="F192" i="38"/>
  <c r="H192" i="38" s="1"/>
  <c r="Y313" i="38"/>
  <c r="X334" i="38"/>
  <c r="AC387" i="38"/>
  <c r="Y389" i="38"/>
  <c r="F392" i="38"/>
  <c r="H392" i="38" s="1"/>
  <c r="Z391" i="38"/>
  <c r="Z390" i="38" s="1"/>
  <c r="AK397" i="38"/>
  <c r="F517" i="38"/>
  <c r="J517" i="38" s="1"/>
  <c r="AJ516" i="38"/>
  <c r="AJ515" i="38" s="1"/>
  <c r="AG544" i="38"/>
  <c r="AG558" i="38"/>
  <c r="AE73" i="38"/>
  <c r="V119" i="38"/>
  <c r="AC133" i="38"/>
  <c r="AE119" i="38"/>
  <c r="AK149" i="38"/>
  <c r="Y151" i="38"/>
  <c r="F163" i="38"/>
  <c r="J163" i="38" s="1"/>
  <c r="F166" i="38"/>
  <c r="J166" i="38" s="1"/>
  <c r="F219" i="38"/>
  <c r="H219" i="38" s="1"/>
  <c r="AJ218" i="38"/>
  <c r="AJ209" i="38" s="1"/>
  <c r="AG225" i="38"/>
  <c r="AB243" i="38"/>
  <c r="F268" i="38"/>
  <c r="H268" i="38" s="1"/>
  <c r="AB267" i="38"/>
  <c r="F313" i="38"/>
  <c r="J313" i="38" s="1"/>
  <c r="AC382" i="38"/>
  <c r="AK389" i="38"/>
  <c r="Y392" i="38"/>
  <c r="F397" i="38"/>
  <c r="F448" i="38"/>
  <c r="J448" i="38" s="1"/>
  <c r="F558" i="38"/>
  <c r="J558" i="38" s="1"/>
  <c r="AE66" i="38"/>
  <c r="Y108" i="38"/>
  <c r="AC42" i="38"/>
  <c r="Y50" i="38"/>
  <c r="Y62" i="38"/>
  <c r="F65" i="38"/>
  <c r="J65" i="38" s="1"/>
  <c r="AC65" i="38"/>
  <c r="AB66" i="38"/>
  <c r="AH66" i="38"/>
  <c r="AA66" i="38"/>
  <c r="AG120" i="38"/>
  <c r="AE134" i="38"/>
  <c r="AI150" i="38"/>
  <c r="AC163" i="38"/>
  <c r="AC166" i="38"/>
  <c r="AK193" i="38"/>
  <c r="Y200" i="38"/>
  <c r="AC208" i="38"/>
  <c r="W227" i="38"/>
  <c r="AC313" i="38"/>
  <c r="AC332" i="38"/>
  <c r="AB334" i="38"/>
  <c r="Y336" i="38"/>
  <c r="AC338" i="38"/>
  <c r="AC400" i="38"/>
  <c r="AK408" i="38"/>
  <c r="Z410" i="38"/>
  <c r="Z409" i="38" s="1"/>
  <c r="F419" i="38"/>
  <c r="H419" i="38" s="1"/>
  <c r="AK544" i="38"/>
  <c r="AI543" i="38"/>
  <c r="AK62" i="38"/>
  <c r="E73" i="38"/>
  <c r="AG62" i="38"/>
  <c r="AK93" i="38"/>
  <c r="AH84" i="38"/>
  <c r="AH83" i="38" s="1"/>
  <c r="AG42" i="38"/>
  <c r="AC62" i="38"/>
  <c r="F85" i="38"/>
  <c r="H85" i="38" s="1"/>
  <c r="D84" i="38"/>
  <c r="D83" i="38" s="1"/>
  <c r="AK39" i="38"/>
  <c r="AG65" i="38"/>
  <c r="AF66" i="38"/>
  <c r="AF73" i="38"/>
  <c r="AB84" i="38"/>
  <c r="AB83" i="38" s="1"/>
  <c r="Y93" i="38"/>
  <c r="AK118" i="38"/>
  <c r="AK132" i="38"/>
  <c r="AG133" i="38"/>
  <c r="AI119" i="38"/>
  <c r="AG135" i="38"/>
  <c r="AC149" i="38"/>
  <c r="AG151" i="38"/>
  <c r="AK164" i="38"/>
  <c r="AE165" i="38"/>
  <c r="AJ165" i="38"/>
  <c r="AH165" i="38"/>
  <c r="AG192" i="38"/>
  <c r="AC193" i="38"/>
  <c r="AG200" i="38"/>
  <c r="AK208" i="38"/>
  <c r="Y217" i="38"/>
  <c r="X218" i="38"/>
  <c r="X209" i="38" s="1"/>
  <c r="AK225" i="38"/>
  <c r="AJ227" i="38"/>
  <c r="AA243" i="38"/>
  <c r="AF243" i="38"/>
  <c r="AE267" i="38"/>
  <c r="AA312" i="38"/>
  <c r="F336" i="38"/>
  <c r="H336" i="38" s="1"/>
  <c r="AA334" i="38"/>
  <c r="AE337" i="38"/>
  <c r="Y397" i="38"/>
  <c r="F400" i="38"/>
  <c r="J400" i="38" s="1"/>
  <c r="AJ391" i="38"/>
  <c r="AJ390" i="38" s="1"/>
  <c r="AD410" i="38"/>
  <c r="AD409" i="38" s="1"/>
  <c r="AF165" i="38"/>
  <c r="Y34" i="38"/>
  <c r="Y65" i="38"/>
  <c r="W66" i="38"/>
  <c r="V73" i="38"/>
  <c r="Y80" i="38"/>
  <c r="W73" i="38"/>
  <c r="AC118" i="38"/>
  <c r="AB119" i="38"/>
  <c r="F133" i="38"/>
  <c r="J133" i="38" s="1"/>
  <c r="AC164" i="38"/>
  <c r="AB165" i="38"/>
  <c r="Y192" i="38"/>
  <c r="W191" i="38"/>
  <c r="AG217" i="38"/>
  <c r="AF218" i="38"/>
  <c r="AC225" i="38"/>
  <c r="AC228" i="38"/>
  <c r="Y387" i="38"/>
  <c r="AG397" i="38"/>
  <c r="Y25" i="38"/>
  <c r="F34" i="38"/>
  <c r="H34" i="38" s="1"/>
  <c r="AC39" i="38"/>
  <c r="AG50" i="38"/>
  <c r="AK85" i="38"/>
  <c r="AI84" i="38"/>
  <c r="AI83" i="38" s="1"/>
  <c r="AA150" i="38"/>
  <c r="E119" i="38"/>
  <c r="V84" i="38"/>
  <c r="V83" i="38" s="1"/>
  <c r="AK25" i="38"/>
  <c r="AK34" i="38"/>
  <c r="Y39" i="38"/>
  <c r="F42" i="38"/>
  <c r="J42" i="38" s="1"/>
  <c r="F62" i="38"/>
  <c r="J62" i="38" s="1"/>
  <c r="AK65" i="38"/>
  <c r="E66" i="38"/>
  <c r="AJ66" i="38"/>
  <c r="AI66" i="38"/>
  <c r="AJ73" i="38"/>
  <c r="AG85" i="38"/>
  <c r="AC93" i="38"/>
  <c r="AE84" i="38"/>
  <c r="AE83" i="38" s="1"/>
  <c r="AD119" i="38"/>
  <c r="AH119" i="38"/>
  <c r="X119" i="38"/>
  <c r="W119" i="38"/>
  <c r="AK133" i="38"/>
  <c r="AK135" i="38"/>
  <c r="AG149" i="38"/>
  <c r="AI134" i="38"/>
  <c r="AK151" i="38"/>
  <c r="Y164" i="38"/>
  <c r="E165" i="38"/>
  <c r="V165" i="38"/>
  <c r="Z165" i="38"/>
  <c r="AK192" i="38"/>
  <c r="AG193" i="38"/>
  <c r="AI191" i="38"/>
  <c r="AK200" i="38"/>
  <c r="F208" i="38"/>
  <c r="J208" i="38" s="1"/>
  <c r="Y208" i="38"/>
  <c r="AC201" i="38"/>
  <c r="AC217" i="38"/>
  <c r="AB218" i="38"/>
  <c r="E218" i="38"/>
  <c r="Y225" i="38"/>
  <c r="Y228" i="38"/>
  <c r="AE243" i="38"/>
  <c r="AJ243" i="38"/>
  <c r="AJ267" i="38"/>
  <c r="AI267" i="38"/>
  <c r="AG313" i="38"/>
  <c r="AG429" i="38"/>
  <c r="Y436" i="38"/>
  <c r="Y420" i="38"/>
  <c r="AC428" i="38"/>
  <c r="AG431" i="38"/>
  <c r="AK429" i="38"/>
  <c r="AK435" i="38"/>
  <c r="Y445" i="38"/>
  <c r="AC436" i="38"/>
  <c r="X447" i="38"/>
  <c r="X446" i="38" s="1"/>
  <c r="X516" i="38"/>
  <c r="X515" i="38" s="1"/>
  <c r="AK558" i="38"/>
  <c r="W312" i="38"/>
  <c r="F332" i="38"/>
  <c r="J332" i="38" s="1"/>
  <c r="Y332" i="38"/>
  <c r="W334" i="38"/>
  <c r="AK336" i="38"/>
  <c r="F338" i="38"/>
  <c r="J338" i="38" s="1"/>
  <c r="Y338" i="38"/>
  <c r="AG389" i="38"/>
  <c r="AK392" i="38"/>
  <c r="Y400" i="38"/>
  <c r="AG408" i="38"/>
  <c r="AJ410" i="38"/>
  <c r="AG420" i="38"/>
  <c r="AI410" i="38"/>
  <c r="AK428" i="38"/>
  <c r="Y431" i="38"/>
  <c r="AC429" i="38"/>
  <c r="AC435" i="38"/>
  <c r="AG445" i="38"/>
  <c r="AK445" i="38"/>
  <c r="AG448" i="38"/>
  <c r="AE447" i="38"/>
  <c r="AE446" i="38" s="1"/>
  <c r="AG446" i="38" s="1"/>
  <c r="Y517" i="38"/>
  <c r="AE516" i="38"/>
  <c r="AE515" i="38" s="1"/>
  <c r="AC544" i="38"/>
  <c r="AA543" i="38"/>
  <c r="AA542" i="38" s="1"/>
  <c r="AC558" i="38"/>
  <c r="AA227" i="38"/>
  <c r="X243" i="38"/>
  <c r="AI243" i="38"/>
  <c r="AD267" i="38"/>
  <c r="AH267" i="38"/>
  <c r="X267" i="38"/>
  <c r="W267" i="38"/>
  <c r="E312" i="38"/>
  <c r="AJ312" i="38"/>
  <c r="AK332" i="38"/>
  <c r="AJ334" i="38"/>
  <c r="AG336" i="38"/>
  <c r="AI334" i="38"/>
  <c r="AB337" i="38"/>
  <c r="AK338" i="38"/>
  <c r="AG387" i="38"/>
  <c r="AC389" i="38"/>
  <c r="AE381" i="38"/>
  <c r="AD391" i="38"/>
  <c r="AD390" i="38" s="1"/>
  <c r="AK400" i="38"/>
  <c r="AC408" i="38"/>
  <c r="AG419" i="38"/>
  <c r="AC420" i="38"/>
  <c r="AE410" i="38"/>
  <c r="AE409" i="38" s="1"/>
  <c r="AG428" i="38"/>
  <c r="Y429" i="38"/>
  <c r="AK431" i="38"/>
  <c r="Y435" i="38"/>
  <c r="AC445" i="38"/>
  <c r="AG436" i="38"/>
  <c r="AB447" i="38"/>
  <c r="AB446" i="38" s="1"/>
  <c r="AC446" i="38" s="1"/>
  <c r="AC517" i="38"/>
  <c r="E516" i="38"/>
  <c r="E515" i="38" s="1"/>
  <c r="AA516" i="38"/>
  <c r="AC516" i="38" s="1"/>
  <c r="X543" i="38"/>
  <c r="X542" i="38" s="1"/>
  <c r="Y558" i="38"/>
  <c r="AC18" i="38"/>
  <c r="AK18" i="38"/>
  <c r="AG18" i="38"/>
  <c r="AE10" i="38"/>
  <c r="AG557" i="38"/>
  <c r="E557" i="38"/>
  <c r="AK557" i="38"/>
  <c r="AC557" i="38"/>
  <c r="AJ543" i="38"/>
  <c r="AJ542" i="38" s="1"/>
  <c r="AF543" i="38"/>
  <c r="AF542" i="38" s="1"/>
  <c r="Y544" i="38"/>
  <c r="F525" i="38"/>
  <c r="H525" i="38" s="1"/>
  <c r="Z515" i="38"/>
  <c r="G515" i="38"/>
  <c r="W515" i="38"/>
  <c r="AG525" i="38"/>
  <c r="Y525" i="38"/>
  <c r="AK525" i="38"/>
  <c r="AG517" i="38"/>
  <c r="AK517" i="38"/>
  <c r="AB515" i="38"/>
  <c r="I515" i="38"/>
  <c r="Y498" i="38"/>
  <c r="AC498" i="38"/>
  <c r="F499" i="38"/>
  <c r="H499" i="38" s="1"/>
  <c r="AK498" i="38"/>
  <c r="AG498" i="38"/>
  <c r="AJ447" i="38"/>
  <c r="AJ446" i="38" s="1"/>
  <c r="Y448" i="38"/>
  <c r="AC448" i="38"/>
  <c r="F445" i="38"/>
  <c r="AK436" i="38"/>
  <c r="AG432" i="38"/>
  <c r="F435" i="38"/>
  <c r="F431" i="38"/>
  <c r="I409" i="38"/>
  <c r="F421" i="38"/>
  <c r="G409" i="38"/>
  <c r="AF410" i="38"/>
  <c r="AF409" i="38" s="1"/>
  <c r="Y419" i="38"/>
  <c r="AK419" i="38"/>
  <c r="F408" i="38"/>
  <c r="AH391" i="38"/>
  <c r="AH390" i="38" s="1"/>
  <c r="AC392" i="38"/>
  <c r="AG392" i="38"/>
  <c r="AF381" i="38"/>
  <c r="AB381" i="38"/>
  <c r="AK387" i="38"/>
  <c r="AK375" i="38"/>
  <c r="AJ337" i="38"/>
  <c r="Z337" i="38"/>
  <c r="AD337" i="38"/>
  <c r="AH337" i="38"/>
  <c r="Y335" i="38"/>
  <c r="AC335" i="38"/>
  <c r="AG335" i="38"/>
  <c r="AK335" i="38"/>
  <c r="E327" i="38"/>
  <c r="AB312" i="38"/>
  <c r="AF312" i="38"/>
  <c r="AK313" i="38"/>
  <c r="AK260" i="38"/>
  <c r="F260" i="38"/>
  <c r="H260" i="38" s="1"/>
  <c r="Y260" i="38"/>
  <c r="AC260" i="38"/>
  <c r="AG260" i="38"/>
  <c r="F244" i="38"/>
  <c r="Y244" i="38"/>
  <c r="AC244" i="38"/>
  <c r="AG244" i="38"/>
  <c r="AK244" i="38"/>
  <c r="I226" i="38"/>
  <c r="F235" i="38"/>
  <c r="J235" i="38" s="1"/>
  <c r="AF227" i="38"/>
  <c r="AB227" i="38"/>
  <c r="AK228" i="38"/>
  <c r="I209" i="38"/>
  <c r="Y219" i="38"/>
  <c r="AC219" i="38"/>
  <c r="AG219" i="38"/>
  <c r="AK219" i="38"/>
  <c r="F225" i="38"/>
  <c r="AC210" i="38"/>
  <c r="Y210" i="38"/>
  <c r="F210" i="38"/>
  <c r="J210" i="38" s="1"/>
  <c r="AG201" i="38"/>
  <c r="AG194" i="38"/>
  <c r="AC194" i="38"/>
  <c r="F200" i="38"/>
  <c r="X191" i="38"/>
  <c r="AJ191" i="38"/>
  <c r="AC192" i="38"/>
  <c r="AA165" i="38"/>
  <c r="W165" i="38"/>
  <c r="AJ150" i="38"/>
  <c r="AF150" i="38"/>
  <c r="AB150" i="38"/>
  <c r="X150" i="38"/>
  <c r="D150" i="38"/>
  <c r="AH150" i="38"/>
  <c r="AD150" i="38"/>
  <c r="V150" i="38"/>
  <c r="AJ134" i="38"/>
  <c r="AC135" i="38"/>
  <c r="F149" i="38"/>
  <c r="AJ119" i="38"/>
  <c r="Y132" i="38"/>
  <c r="AC132" i="38"/>
  <c r="F118" i="38"/>
  <c r="AG118" i="38"/>
  <c r="AK94" i="38"/>
  <c r="AK95" i="38"/>
  <c r="W95" i="38"/>
  <c r="W94" i="38" s="1"/>
  <c r="X84" i="38"/>
  <c r="X83" i="38" s="1"/>
  <c r="AJ84" i="38"/>
  <c r="AJ83" i="38" s="1"/>
  <c r="AC85" i="38"/>
  <c r="AB73" i="38"/>
  <c r="AG80" i="38"/>
  <c r="AK80" i="38"/>
  <c r="Y67" i="38"/>
  <c r="AC67" i="38"/>
  <c r="AG67" i="38"/>
  <c r="AK67" i="38"/>
  <c r="F39" i="38"/>
  <c r="AC50" i="38"/>
  <c r="G9" i="38"/>
  <c r="D516" i="38"/>
  <c r="D337" i="38"/>
  <c r="Y557" i="38"/>
  <c r="AD542" i="38"/>
  <c r="AH515" i="38"/>
  <c r="F401" i="38"/>
  <c r="Y375" i="38"/>
  <c r="D267" i="38"/>
  <c r="D243" i="38"/>
  <c r="AK235" i="38"/>
  <c r="D543" i="38"/>
  <c r="D391" i="38"/>
  <c r="D381" i="38"/>
  <c r="Y235" i="38"/>
  <c r="AF10" i="38"/>
  <c r="F429" i="38"/>
  <c r="D134" i="38"/>
  <c r="AK499" i="38"/>
  <c r="AG499" i="38"/>
  <c r="AC499" i="38"/>
  <c r="Y499" i="38"/>
  <c r="D227" i="38"/>
  <c r="D165" i="38"/>
  <c r="F498" i="38"/>
  <c r="F436" i="38"/>
  <c r="D410" i="38"/>
  <c r="AC375" i="38"/>
  <c r="D334" i="38"/>
  <c r="G333" i="38"/>
  <c r="V327" i="38"/>
  <c r="Z542" i="38"/>
  <c r="AD515" i="38"/>
  <c r="V515" i="38"/>
  <c r="F432" i="38"/>
  <c r="AK421" i="38"/>
  <c r="AG421" i="38"/>
  <c r="AC421" i="38"/>
  <c r="Y421" i="38"/>
  <c r="AK405" i="38"/>
  <c r="AK401" i="38"/>
  <c r="AG401" i="38"/>
  <c r="AC401" i="38"/>
  <c r="Y401" i="38"/>
  <c r="AG375" i="38"/>
  <c r="AH327" i="38"/>
  <c r="G226" i="38"/>
  <c r="D191" i="38"/>
  <c r="D119" i="38"/>
  <c r="D73" i="38"/>
  <c r="I333" i="38"/>
  <c r="AC235" i="38"/>
  <c r="Z94" i="38"/>
  <c r="AC94" i="38" s="1"/>
  <c r="AC95" i="38"/>
  <c r="F194" i="38"/>
  <c r="AB10" i="38"/>
  <c r="Z327" i="38"/>
  <c r="E267" i="38"/>
  <c r="AG235" i="38"/>
  <c r="D218" i="38"/>
  <c r="V94" i="38"/>
  <c r="AK108" i="38"/>
  <c r="G107" i="38"/>
  <c r="I107" i="38"/>
  <c r="AG108" i="38"/>
  <c r="AD94" i="38"/>
  <c r="AG94" i="38" s="1"/>
  <c r="AG95" i="38"/>
  <c r="AI10" i="38"/>
  <c r="AD10" i="38"/>
  <c r="AG11" i="38"/>
  <c r="AH10" i="38"/>
  <c r="AK11" i="38"/>
  <c r="AC11" i="38"/>
  <c r="I9" i="38"/>
  <c r="F56" i="8"/>
  <c r="F53" i="8"/>
  <c r="G53" i="8" s="1"/>
  <c r="F50" i="8"/>
  <c r="F47" i="8"/>
  <c r="F44" i="8"/>
  <c r="F41" i="8"/>
  <c r="F38" i="8"/>
  <c r="F35" i="8"/>
  <c r="F32" i="8"/>
  <c r="F29" i="8"/>
  <c r="F26" i="8"/>
  <c r="F23" i="8"/>
  <c r="F20" i="8"/>
  <c r="F17" i="8"/>
  <c r="J55" i="8"/>
  <c r="J54" i="8"/>
  <c r="J53" i="8"/>
  <c r="V36" i="38" l="1"/>
  <c r="E36" i="38"/>
  <c r="E542" i="38"/>
  <c r="AC328" i="38"/>
  <c r="AG405" i="38"/>
  <c r="AL432" i="38"/>
  <c r="Y405" i="38"/>
  <c r="AC405" i="38"/>
  <c r="AK404" i="38"/>
  <c r="F405" i="38"/>
  <c r="H405" i="38" s="1"/>
  <c r="F404" i="38"/>
  <c r="J404" i="38" s="1"/>
  <c r="AC404" i="38"/>
  <c r="AG328" i="38"/>
  <c r="AK328" i="38"/>
  <c r="Y328" i="38"/>
  <c r="AK327" i="38"/>
  <c r="AC327" i="38"/>
  <c r="Y327" i="38"/>
  <c r="J392" i="38"/>
  <c r="J268" i="38"/>
  <c r="H151" i="38"/>
  <c r="F60" i="38"/>
  <c r="H60" i="38" s="1"/>
  <c r="J192" i="38"/>
  <c r="AG312" i="38"/>
  <c r="Y312" i="38"/>
  <c r="H420" i="38"/>
  <c r="J228" i="38"/>
  <c r="J80" i="38"/>
  <c r="AC267" i="38"/>
  <c r="H208" i="38"/>
  <c r="J34" i="38"/>
  <c r="F66" i="38"/>
  <c r="J66" i="38" s="1"/>
  <c r="AK516" i="38"/>
  <c r="H193" i="38"/>
  <c r="H387" i="38"/>
  <c r="J335" i="38"/>
  <c r="AG60" i="38"/>
  <c r="F73" i="38"/>
  <c r="H73" i="38" s="1"/>
  <c r="AD327" i="38"/>
  <c r="AG327" i="38" s="1"/>
  <c r="J419" i="38"/>
  <c r="H558" i="38"/>
  <c r="Y119" i="38"/>
  <c r="AG191" i="38"/>
  <c r="AL85" i="38"/>
  <c r="J132" i="38"/>
  <c r="J260" i="38"/>
  <c r="H42" i="38"/>
  <c r="AG119" i="38"/>
  <c r="H62" i="38"/>
  <c r="H163" i="38"/>
  <c r="AC543" i="38"/>
  <c r="AC119" i="38"/>
  <c r="AC334" i="38"/>
  <c r="AG35" i="38"/>
  <c r="AK381" i="38"/>
  <c r="J67" i="38"/>
  <c r="AL118" i="38"/>
  <c r="AH333" i="38"/>
  <c r="H428" i="38"/>
  <c r="J544" i="38"/>
  <c r="AC391" i="38"/>
  <c r="AI9" i="38"/>
  <c r="AF9" i="38"/>
  <c r="H164" i="38"/>
  <c r="Y191" i="38"/>
  <c r="H400" i="38"/>
  <c r="AG267" i="38"/>
  <c r="AC218" i="38"/>
  <c r="Y83" i="38"/>
  <c r="AL210" i="38"/>
  <c r="AJ226" i="38"/>
  <c r="AC165" i="38"/>
  <c r="AK165" i="38"/>
  <c r="AC447" i="38"/>
  <c r="H25" i="38"/>
  <c r="AK83" i="38"/>
  <c r="AB209" i="38"/>
  <c r="AC209" i="38" s="1"/>
  <c r="AL228" i="38"/>
  <c r="Y543" i="38"/>
  <c r="AG447" i="38"/>
  <c r="AG543" i="38"/>
  <c r="H166" i="38"/>
  <c r="AC312" i="38"/>
  <c r="AK446" i="38"/>
  <c r="AL400" i="38"/>
  <c r="AI226" i="38"/>
  <c r="AL225" i="38"/>
  <c r="AK73" i="38"/>
  <c r="Y73" i="38"/>
  <c r="AK447" i="38"/>
  <c r="AL192" i="38"/>
  <c r="Z333" i="38"/>
  <c r="AE9" i="38"/>
  <c r="AL389" i="38"/>
  <c r="AG134" i="38"/>
  <c r="AL260" i="38"/>
  <c r="AE333" i="38"/>
  <c r="AK119" i="38"/>
  <c r="AC525" i="38"/>
  <c r="AL525" i="38" s="1"/>
  <c r="AL120" i="38"/>
  <c r="AL194" i="38"/>
  <c r="AC83" i="38"/>
  <c r="AK60" i="38"/>
  <c r="AK227" i="38"/>
  <c r="Y218" i="38"/>
  <c r="H210" i="38"/>
  <c r="AK243" i="38"/>
  <c r="AE226" i="38"/>
  <c r="AK191" i="38"/>
  <c r="AC381" i="38"/>
  <c r="AC410" i="38"/>
  <c r="AA515" i="38"/>
  <c r="AC515" i="38" s="1"/>
  <c r="AG243" i="38"/>
  <c r="AG218" i="38"/>
  <c r="Y84" i="38"/>
  <c r="F191" i="38"/>
  <c r="J191" i="38" s="1"/>
  <c r="Y410" i="38"/>
  <c r="H93" i="38"/>
  <c r="AB107" i="38"/>
  <c r="W209" i="38"/>
  <c r="Y209" i="38" s="1"/>
  <c r="AK391" i="38"/>
  <c r="AL435" i="38"/>
  <c r="F312" i="38"/>
  <c r="H312" i="38" s="1"/>
  <c r="AK267" i="38"/>
  <c r="AA226" i="38"/>
  <c r="AL429" i="38"/>
  <c r="AL133" i="38"/>
  <c r="Y66" i="38"/>
  <c r="AK543" i="38"/>
  <c r="AL338" i="38"/>
  <c r="AC60" i="38"/>
  <c r="AE107" i="38"/>
  <c r="AL151" i="38"/>
  <c r="Y60" i="38"/>
  <c r="V226" i="38"/>
  <c r="AC191" i="38"/>
  <c r="AC134" i="38"/>
  <c r="AD226" i="38"/>
  <c r="AK218" i="38"/>
  <c r="AK312" i="38"/>
  <c r="AC84" i="38"/>
  <c r="J85" i="38"/>
  <c r="AL313" i="38"/>
  <c r="AG337" i="38"/>
  <c r="AL42" i="38"/>
  <c r="F84" i="38"/>
  <c r="J84" i="38" s="1"/>
  <c r="AK390" i="38"/>
  <c r="AG516" i="38"/>
  <c r="J499" i="38"/>
  <c r="Y227" i="38"/>
  <c r="H120" i="38"/>
  <c r="H217" i="38"/>
  <c r="J336" i="38"/>
  <c r="F83" i="38"/>
  <c r="J83" i="38" s="1"/>
  <c r="AD333" i="38"/>
  <c r="Y391" i="38"/>
  <c r="AG391" i="38"/>
  <c r="AG410" i="38"/>
  <c r="Y165" i="38"/>
  <c r="AI209" i="38"/>
  <c r="AK209" i="38" s="1"/>
  <c r="H389" i="38"/>
  <c r="H411" i="38"/>
  <c r="AI542" i="38"/>
  <c r="AK542" i="38" s="1"/>
  <c r="AG334" i="38"/>
  <c r="AK134" i="38"/>
  <c r="H338" i="38"/>
  <c r="AF333" i="38"/>
  <c r="AL408" i="38"/>
  <c r="AL336" i="38"/>
  <c r="AL200" i="38"/>
  <c r="AL164" i="38"/>
  <c r="AG66" i="38"/>
  <c r="AC66" i="38"/>
  <c r="AL268" i="38"/>
  <c r="AL411" i="38"/>
  <c r="AA107" i="38"/>
  <c r="AF226" i="38"/>
  <c r="AI409" i="38"/>
  <c r="AK150" i="38"/>
  <c r="AL62" i="38"/>
  <c r="Y267" i="38"/>
  <c r="AK410" i="38"/>
  <c r="AJ333" i="38"/>
  <c r="AL436" i="38"/>
  <c r="AG83" i="38"/>
  <c r="AL65" i="38"/>
  <c r="AF107" i="38"/>
  <c r="AG165" i="38"/>
  <c r="AL392" i="38"/>
  <c r="AC243" i="38"/>
  <c r="AL166" i="38"/>
  <c r="AG150" i="38"/>
  <c r="F119" i="38"/>
  <c r="J119" i="38" s="1"/>
  <c r="F375" i="38"/>
  <c r="J375" i="38" s="1"/>
  <c r="F165" i="38"/>
  <c r="J165" i="38" s="1"/>
  <c r="AD107" i="38"/>
  <c r="AH226" i="38"/>
  <c r="AB333" i="38"/>
  <c r="E409" i="38"/>
  <c r="AK35" i="38"/>
  <c r="AA9" i="38"/>
  <c r="H50" i="38"/>
  <c r="AL80" i="38"/>
  <c r="AG84" i="38"/>
  <c r="AL132" i="38"/>
  <c r="H133" i="38"/>
  <c r="X226" i="38"/>
  <c r="H332" i="38"/>
  <c r="AJ409" i="38"/>
  <c r="AL448" i="38"/>
  <c r="AL544" i="38"/>
  <c r="AL428" i="38"/>
  <c r="AL208" i="38"/>
  <c r="AL193" i="38"/>
  <c r="AK66" i="38"/>
  <c r="AG73" i="38"/>
  <c r="J397" i="38"/>
  <c r="H397" i="38"/>
  <c r="Y516" i="38"/>
  <c r="AL50" i="38"/>
  <c r="AC73" i="38"/>
  <c r="J219" i="38"/>
  <c r="Y334" i="38"/>
  <c r="AL419" i="38"/>
  <c r="H448" i="38"/>
  <c r="H517" i="38"/>
  <c r="AL558" i="38"/>
  <c r="AK334" i="38"/>
  <c r="AL149" i="38"/>
  <c r="Y95" i="38"/>
  <c r="AL95" i="38" s="1"/>
  <c r="AG390" i="38"/>
  <c r="AL557" i="38"/>
  <c r="AC35" i="38"/>
  <c r="H65" i="38"/>
  <c r="E209" i="38"/>
  <c r="AF209" i="38"/>
  <c r="AG209" i="38" s="1"/>
  <c r="H313" i="38"/>
  <c r="AL387" i="38"/>
  <c r="AL163" i="38"/>
  <c r="AG542" i="38"/>
  <c r="Y390" i="38"/>
  <c r="AL517" i="38"/>
  <c r="F557" i="38"/>
  <c r="H557" i="38" s="1"/>
  <c r="AL332" i="38"/>
  <c r="AL34" i="38"/>
  <c r="AL217" i="38"/>
  <c r="AL335" i="38"/>
  <c r="Y542" i="38"/>
  <c r="AL431" i="38"/>
  <c r="AL39" i="38"/>
  <c r="AL445" i="38"/>
  <c r="AL25" i="38"/>
  <c r="AL420" i="38"/>
  <c r="AL397" i="38"/>
  <c r="AL93" i="38"/>
  <c r="AC542" i="38"/>
  <c r="Y515" i="38"/>
  <c r="J525" i="38"/>
  <c r="AK515" i="38"/>
  <c r="AG515" i="38"/>
  <c r="AL498" i="38"/>
  <c r="J445" i="38"/>
  <c r="H445" i="38"/>
  <c r="J435" i="38"/>
  <c r="H435" i="38"/>
  <c r="J431" i="38"/>
  <c r="H431" i="38"/>
  <c r="AC409" i="38"/>
  <c r="Y409" i="38"/>
  <c r="AG409" i="38"/>
  <c r="J408" i="38"/>
  <c r="H408" i="38"/>
  <c r="AC390" i="38"/>
  <c r="AG381" i="38"/>
  <c r="AB226" i="38"/>
  <c r="AL244" i="38"/>
  <c r="H244" i="38"/>
  <c r="J244" i="38"/>
  <c r="H235" i="38"/>
  <c r="AG227" i="38"/>
  <c r="J225" i="38"/>
  <c r="H225" i="38"/>
  <c r="AL219" i="38"/>
  <c r="J200" i="38"/>
  <c r="H200" i="38"/>
  <c r="AJ107" i="38"/>
  <c r="AH107" i="38"/>
  <c r="J149" i="38"/>
  <c r="H149" i="38"/>
  <c r="AC108" i="38"/>
  <c r="AL108" i="38" s="1"/>
  <c r="J118" i="38"/>
  <c r="H118" i="38"/>
  <c r="Y94" i="38"/>
  <c r="AL94" i="38" s="1"/>
  <c r="AK84" i="38"/>
  <c r="AB9" i="38"/>
  <c r="AL67" i="38"/>
  <c r="H39" i="38"/>
  <c r="J39" i="38"/>
  <c r="J194" i="38"/>
  <c r="H194" i="38"/>
  <c r="AL401" i="38"/>
  <c r="J432" i="38"/>
  <c r="H432" i="38"/>
  <c r="J429" i="38"/>
  <c r="H429" i="38"/>
  <c r="D515" i="38"/>
  <c r="F515" i="38" s="1"/>
  <c r="F516" i="38"/>
  <c r="D409" i="38"/>
  <c r="F410" i="38"/>
  <c r="J436" i="38"/>
  <c r="H436" i="38"/>
  <c r="J498" i="38"/>
  <c r="H498" i="38"/>
  <c r="F267" i="38"/>
  <c r="AH9" i="38"/>
  <c r="D327" i="38"/>
  <c r="F327" i="38" s="1"/>
  <c r="F328" i="38"/>
  <c r="D226" i="38"/>
  <c r="AL375" i="38"/>
  <c r="D107" i="38"/>
  <c r="F108" i="38"/>
  <c r="D209" i="38"/>
  <c r="F218" i="38"/>
  <c r="AG10" i="38"/>
  <c r="AD9" i="38"/>
  <c r="AL421" i="38"/>
  <c r="F334" i="38"/>
  <c r="D333" i="38"/>
  <c r="AL499" i="38"/>
  <c r="AL235" i="38"/>
  <c r="D390" i="38"/>
  <c r="F390" i="38" s="1"/>
  <c r="F391" i="38"/>
  <c r="D542" i="38"/>
  <c r="F543" i="38"/>
  <c r="J401" i="38"/>
  <c r="H401" i="38"/>
  <c r="J421" i="38"/>
  <c r="H421" i="38"/>
  <c r="F54" i="8"/>
  <c r="G54" i="8" s="1"/>
  <c r="F55" i="8"/>
  <c r="G55" i="8" s="1"/>
  <c r="J34" i="8"/>
  <c r="J33" i="8"/>
  <c r="J32" i="8"/>
  <c r="G32" i="8"/>
  <c r="Z12" i="38" s="1"/>
  <c r="K37" i="8"/>
  <c r="J37" i="8"/>
  <c r="K36" i="8"/>
  <c r="J36" i="8"/>
  <c r="J35" i="8"/>
  <c r="G35" i="8"/>
  <c r="J40" i="8"/>
  <c r="J39" i="8"/>
  <c r="J38" i="8"/>
  <c r="G38" i="8"/>
  <c r="K43" i="8"/>
  <c r="J43" i="8"/>
  <c r="K42" i="8"/>
  <c r="J42" i="8"/>
  <c r="J41" i="8"/>
  <c r="G41" i="8"/>
  <c r="K46" i="8"/>
  <c r="J46" i="8"/>
  <c r="K45" i="8"/>
  <c r="J45" i="8"/>
  <c r="J44" i="8"/>
  <c r="G44" i="8"/>
  <c r="K49" i="8"/>
  <c r="J49" i="8"/>
  <c r="K48" i="8"/>
  <c r="J48" i="8"/>
  <c r="J47" i="8"/>
  <c r="G47" i="8"/>
  <c r="J52" i="8"/>
  <c r="J51" i="8"/>
  <c r="J50" i="8"/>
  <c r="G50" i="8"/>
  <c r="J25" i="8"/>
  <c r="J24" i="8"/>
  <c r="J23" i="8"/>
  <c r="G23" i="8"/>
  <c r="G26" i="8"/>
  <c r="J26" i="8"/>
  <c r="J27" i="8"/>
  <c r="K27" i="8"/>
  <c r="J28" i="8"/>
  <c r="K28" i="8"/>
  <c r="K31" i="8"/>
  <c r="J31" i="8"/>
  <c r="K30" i="8"/>
  <c r="J30" i="8"/>
  <c r="J29" i="8"/>
  <c r="G29" i="8"/>
  <c r="K22" i="8"/>
  <c r="J22" i="8"/>
  <c r="K21" i="8"/>
  <c r="J21" i="8"/>
  <c r="J20" i="8"/>
  <c r="G20" i="8"/>
  <c r="E26" i="38" l="1"/>
  <c r="F26" i="38" s="1"/>
  <c r="V26" i="38"/>
  <c r="Y26" i="38" s="1"/>
  <c r="AL26" i="38" s="1"/>
  <c r="F36" i="38"/>
  <c r="Y36" i="38"/>
  <c r="AL36" i="38" s="1"/>
  <c r="V35" i="38"/>
  <c r="AC12" i="38"/>
  <c r="Z10" i="38"/>
  <c r="F542" i="38"/>
  <c r="H542"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4" i="38"/>
  <c r="AL405" i="38"/>
  <c r="AL404" i="38"/>
  <c r="J405" i="38"/>
  <c r="AL328" i="38"/>
  <c r="AL327" i="38"/>
  <c r="J60" i="38"/>
  <c r="J73" i="38"/>
  <c r="AL312" i="38"/>
  <c r="H66" i="38"/>
  <c r="H165" i="38"/>
  <c r="AK226" i="38"/>
  <c r="H375" i="38"/>
  <c r="AL218" i="38"/>
  <c r="AL119" i="38"/>
  <c r="H84" i="38"/>
  <c r="AL267" i="38"/>
  <c r="AL543" i="38"/>
  <c r="H83" i="38"/>
  <c r="AL516" i="38"/>
  <c r="AG226" i="38"/>
  <c r="AL165" i="38"/>
  <c r="AL66" i="38"/>
  <c r="AL83" i="38"/>
  <c r="AG9" i="38"/>
  <c r="AG333" i="38"/>
  <c r="AG107" i="38"/>
  <c r="AL410" i="38"/>
  <c r="AL191" i="38"/>
  <c r="AL60" i="38"/>
  <c r="H191" i="38"/>
  <c r="J312" i="38"/>
  <c r="AL391" i="38"/>
  <c r="AL390" i="38"/>
  <c r="AK409" i="38"/>
  <c r="AL409" i="38" s="1"/>
  <c r="AL209" i="38"/>
  <c r="H119" i="38"/>
  <c r="AL334" i="38"/>
  <c r="AL73" i="38"/>
  <c r="AL84" i="38"/>
  <c r="AL542" i="38"/>
  <c r="J557" i="38"/>
  <c r="F209" i="38"/>
  <c r="H209" i="38" s="1"/>
  <c r="F409" i="38"/>
  <c r="H409" i="38" s="1"/>
  <c r="AL515" i="38"/>
  <c r="H391" i="38"/>
  <c r="J391" i="38"/>
  <c r="J334" i="38"/>
  <c r="H334" i="38"/>
  <c r="H515" i="38"/>
  <c r="J515" i="38"/>
  <c r="H543" i="38"/>
  <c r="J543" i="38"/>
  <c r="J328" i="38"/>
  <c r="H328" i="38"/>
  <c r="J267" i="38"/>
  <c r="H267" i="38"/>
  <c r="H410" i="38"/>
  <c r="J410" i="38"/>
  <c r="J218" i="38"/>
  <c r="H218" i="38"/>
  <c r="H516" i="38"/>
  <c r="J516" i="38"/>
  <c r="H390" i="38"/>
  <c r="J390" i="38"/>
  <c r="J108" i="38"/>
  <c r="H108" i="38"/>
  <c r="H327" i="38"/>
  <c r="J327" i="38"/>
  <c r="F31" i="8"/>
  <c r="G31" i="8" s="1"/>
  <c r="F33" i="8"/>
  <c r="G33" i="8" s="1"/>
  <c r="X24" i="38" s="1"/>
  <c r="F28" i="8"/>
  <c r="G28" i="8" s="1"/>
  <c r="F21" i="8"/>
  <c r="G21" i="8" s="1"/>
  <c r="J36" i="38" l="1"/>
  <c r="H36" i="38"/>
  <c r="J26" i="38"/>
  <c r="H26" i="38"/>
  <c r="AC10" i="38"/>
  <c r="Z9" i="38"/>
  <c r="AC9" i="38" s="1"/>
  <c r="J542" i="38"/>
  <c r="J409" i="38"/>
  <c r="J209" i="38"/>
  <c r="C14" i="7"/>
  <c r="C14" i="8"/>
  <c r="C14" i="9"/>
  <c r="C14" i="10"/>
  <c r="C14" i="12"/>
  <c r="C14" i="40"/>
  <c r="A11" i="42"/>
  <c r="A11" i="43"/>
  <c r="D93" i="27" l="1"/>
  <c r="D81" i="27"/>
  <c r="C95" i="27"/>
  <c r="C93" i="27"/>
  <c r="C91" i="27"/>
  <c r="C89" i="27"/>
  <c r="C87" i="27"/>
  <c r="C85" i="27"/>
  <c r="C83" i="27"/>
  <c r="C81" i="27"/>
  <c r="D88" i="27"/>
  <c r="D84" i="27"/>
  <c r="D82" i="27"/>
  <c r="C96" i="27"/>
  <c r="C94" i="27"/>
  <c r="C92" i="27"/>
  <c r="C90" i="27"/>
  <c r="C88" i="27"/>
  <c r="C86" i="27"/>
  <c r="C84" i="27"/>
  <c r="C82" i="27"/>
  <c r="C47" i="27"/>
  <c r="C45" i="27"/>
  <c r="C43" i="27"/>
  <c r="C41" i="27"/>
  <c r="C39" i="27"/>
  <c r="C37" i="27"/>
  <c r="C35" i="27"/>
  <c r="C46" i="27"/>
  <c r="C44" i="27"/>
  <c r="C42" i="27"/>
  <c r="C40" i="27"/>
  <c r="C38" i="27"/>
  <c r="C36" i="27"/>
  <c r="C34" i="27"/>
  <c r="D46" i="27"/>
  <c r="D44" i="27"/>
  <c r="D42" i="27"/>
  <c r="D36" i="27"/>
  <c r="D38" i="27"/>
  <c r="D39" i="27"/>
  <c r="D40" i="27"/>
  <c r="D37" i="27"/>
  <c r="D45" i="27"/>
  <c r="D43" i="27"/>
  <c r="D41" i="27"/>
  <c r="D35" i="27"/>
  <c r="M21" i="24"/>
  <c r="K21" i="24"/>
  <c r="I21" i="24"/>
  <c r="G21" i="24"/>
  <c r="N10" i="30"/>
  <c r="M10" i="30"/>
  <c r="L10" i="30"/>
  <c r="K10" i="30"/>
  <c r="J10" i="30"/>
  <c r="I10" i="30"/>
  <c r="H10" i="30"/>
  <c r="P10" i="30" s="1"/>
  <c r="I7" i="27" s="1"/>
  <c r="G10" i="30"/>
  <c r="N17" i="29"/>
  <c r="L17" i="29"/>
  <c r="J17" i="29"/>
  <c r="H17" i="29"/>
  <c r="O10" i="30" l="1"/>
  <c r="P17" i="29"/>
  <c r="O21" i="24"/>
  <c r="I8" i="27"/>
  <c r="D73" i="27" l="1"/>
  <c r="G17" i="8"/>
  <c r="G59" i="8"/>
  <c r="D48" i="27" s="1"/>
  <c r="G56" i="8"/>
  <c r="D47" i="27" s="1"/>
  <c r="F61" i="8"/>
  <c r="F60" i="8"/>
  <c r="G65" i="8"/>
  <c r="G62" i="8"/>
  <c r="D49" i="27" s="1"/>
  <c r="D50" i="27" l="1"/>
  <c r="V12" i="38"/>
  <c r="Y12" i="38" s="1"/>
  <c r="AL12" i="38" s="1"/>
  <c r="E12" i="38"/>
  <c r="F12" i="38" s="1"/>
  <c r="D11" i="38"/>
  <c r="V11" i="38"/>
  <c r="K26" i="7"/>
  <c r="K25" i="7"/>
  <c r="K24" i="7"/>
  <c r="K23" i="7"/>
  <c r="K22" i="7"/>
  <c r="K21" i="7"/>
  <c r="K20" i="7"/>
  <c r="K18" i="7"/>
  <c r="J12" i="38" l="1"/>
  <c r="H12"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3" i="42"/>
  <c r="F53" i="42"/>
  <c r="I50" i="42"/>
  <c r="F50" i="42"/>
  <c r="I49" i="42"/>
  <c r="F49" i="42"/>
  <c r="I48" i="42"/>
  <c r="F48" i="42"/>
  <c r="I47" i="42"/>
  <c r="F47" i="42"/>
  <c r="I46" i="42"/>
  <c r="F46" i="42"/>
  <c r="I45" i="42"/>
  <c r="F45" i="42"/>
  <c r="I44" i="42"/>
  <c r="F44" i="42"/>
  <c r="I43" i="42"/>
  <c r="F43" i="42"/>
  <c r="I42" i="42"/>
  <c r="F42" i="42"/>
  <c r="I41" i="42"/>
  <c r="F41" i="42"/>
  <c r="I40" i="42"/>
  <c r="I39" i="42"/>
  <c r="F39" i="42"/>
  <c r="I38" i="42"/>
  <c r="F38" i="42"/>
  <c r="I37" i="42"/>
  <c r="F37" i="42"/>
  <c r="I36" i="42"/>
  <c r="F36" i="42"/>
  <c r="I35" i="42"/>
  <c r="F35" i="42"/>
  <c r="I34" i="42"/>
  <c r="F34" i="42"/>
  <c r="I33" i="42"/>
  <c r="F33" i="42"/>
  <c r="I32" i="42"/>
  <c r="F32" i="42"/>
  <c r="I31" i="42"/>
  <c r="F31" i="42"/>
  <c r="I30" i="42"/>
  <c r="F30" i="42"/>
  <c r="I29" i="42"/>
  <c r="I28" i="42"/>
  <c r="F28" i="42"/>
  <c r="I27" i="42"/>
  <c r="F27" i="42"/>
  <c r="I26" i="42"/>
  <c r="F26" i="42"/>
  <c r="I25" i="42"/>
  <c r="F25" i="42"/>
  <c r="I24" i="42"/>
  <c r="F24" i="42"/>
  <c r="I23" i="42"/>
  <c r="I22" i="42"/>
  <c r="I21" i="42"/>
  <c r="I20" i="42"/>
  <c r="I19" i="42"/>
  <c r="I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21" i="40"/>
  <c r="I21" i="40"/>
  <c r="J20" i="40"/>
  <c r="J51" i="40" s="1"/>
  <c r="I20" i="40"/>
  <c r="J19" i="40"/>
  <c r="I19" i="40"/>
  <c r="J18" i="40"/>
  <c r="I18" i="40"/>
  <c r="F18" i="40"/>
  <c r="I17" i="40"/>
  <c r="F17" i="40"/>
  <c r="J43" i="12"/>
  <c r="D10" i="42" l="1"/>
  <c r="W252" i="38"/>
  <c r="Y252" i="38" s="1"/>
  <c r="AL252" i="38" s="1"/>
  <c r="E252" i="38"/>
  <c r="F252" i="38" s="1"/>
  <c r="E29" i="38"/>
  <c r="D10" i="40"/>
  <c r="E457" i="38"/>
  <c r="V457" i="38"/>
  <c r="W382" i="38"/>
  <c r="W381" i="38" s="1"/>
  <c r="W135" i="38"/>
  <c r="W134" i="38" s="1"/>
  <c r="E135" i="38"/>
  <c r="V382" i="38"/>
  <c r="E382" i="38"/>
  <c r="Q40" i="43"/>
  <c r="V29" i="38"/>
  <c r="Y29" i="38" s="1"/>
  <c r="AL29" i="38" s="1"/>
  <c r="D29"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5" i="42"/>
  <c r="C9" i="27" s="1"/>
  <c r="P18" i="43"/>
  <c r="Q17" i="43"/>
  <c r="D5" i="40"/>
  <c r="C8" i="27" s="1"/>
  <c r="J30" i="10"/>
  <c r="J29" i="10"/>
  <c r="J28" i="10"/>
  <c r="J27" i="10"/>
  <c r="J26" i="10"/>
  <c r="J25" i="10"/>
  <c r="J24" i="10"/>
  <c r="J23" i="10"/>
  <c r="J22" i="10"/>
  <c r="J21" i="10"/>
  <c r="J20" i="10"/>
  <c r="J19" i="10"/>
  <c r="J18" i="10"/>
  <c r="J26" i="9"/>
  <c r="J25" i="9"/>
  <c r="J24" i="9"/>
  <c r="J23" i="9"/>
  <c r="J22" i="9"/>
  <c r="J21" i="9"/>
  <c r="J20" i="9"/>
  <c r="J19" i="9"/>
  <c r="J18" i="9"/>
  <c r="F29" i="38" l="1"/>
  <c r="Y457" i="38"/>
  <c r="AL457" i="38" s="1"/>
  <c r="V447" i="38"/>
  <c r="J252" i="38"/>
  <c r="H252" i="38"/>
  <c r="F457" i="38"/>
  <c r="E447" i="38"/>
  <c r="Y135" i="38"/>
  <c r="AL135" i="38" s="1"/>
  <c r="F135" i="38"/>
  <c r="F382" i="38"/>
  <c r="E381" i="38"/>
  <c r="V381" i="38"/>
  <c r="Y382" i="38"/>
  <c r="AL382" i="38" s="1"/>
  <c r="D5" i="43"/>
  <c r="C10" i="27" s="1"/>
  <c r="H29" i="38"/>
  <c r="J29" i="38"/>
  <c r="K64" i="8"/>
  <c r="K63" i="8"/>
  <c r="K62" i="8"/>
  <c r="K61" i="8"/>
  <c r="K60" i="8"/>
  <c r="K59" i="8"/>
  <c r="K58" i="8"/>
  <c r="K57" i="8"/>
  <c r="K19" i="8"/>
  <c r="K18" i="8"/>
  <c r="F26" i="7"/>
  <c r="E446" i="38" l="1"/>
  <c r="F446" i="38" s="1"/>
  <c r="F447" i="38"/>
  <c r="V446" i="38"/>
  <c r="Y446" i="38" s="1"/>
  <c r="AL446" i="38" s="1"/>
  <c r="Y447" i="38"/>
  <c r="AL447" i="38" s="1"/>
  <c r="J457" i="38"/>
  <c r="H457" i="38"/>
  <c r="J135" i="38"/>
  <c r="H135" i="38"/>
  <c r="Y381" i="38"/>
  <c r="AL381" i="38" s="1"/>
  <c r="V333" i="38"/>
  <c r="F381" i="38"/>
  <c r="H382" i="38"/>
  <c r="J382" i="38"/>
  <c r="G26" i="7"/>
  <c r="H447" i="38" l="1"/>
  <c r="J447" i="38"/>
  <c r="J446" i="38"/>
  <c r="H446" i="38"/>
  <c r="J381" i="38"/>
  <c r="H381" i="38"/>
  <c r="J25" i="7"/>
  <c r="G25" i="7"/>
  <c r="I30" i="10" l="1"/>
  <c r="I29" i="10"/>
  <c r="I28" i="10"/>
  <c r="I27" i="10"/>
  <c r="I26" i="10"/>
  <c r="I25" i="10"/>
  <c r="I24" i="10"/>
  <c r="I23" i="10"/>
  <c r="I22" i="10"/>
  <c r="I21" i="10"/>
  <c r="I20" i="10"/>
  <c r="I19" i="10"/>
  <c r="I18" i="10"/>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J17" i="7"/>
  <c r="G18" i="7"/>
  <c r="J18" i="7"/>
  <c r="G19" i="7"/>
  <c r="J19" i="7"/>
  <c r="G20" i="7"/>
  <c r="J20" i="7"/>
  <c r="G21" i="7"/>
  <c r="J21" i="7"/>
  <c r="G22" i="7"/>
  <c r="J22" i="7"/>
  <c r="G23" i="7"/>
  <c r="J23" i="7"/>
  <c r="G24" i="7"/>
  <c r="J24" i="7"/>
  <c r="J26" i="7"/>
  <c r="Z583" i="38" l="1"/>
  <c r="Z578" i="38" s="1"/>
  <c r="Z229" i="38"/>
  <c r="E229" i="38"/>
  <c r="V96" i="38"/>
  <c r="Y96" i="38" s="1"/>
  <c r="AL96" i="38" s="1"/>
  <c r="D96" i="38"/>
  <c r="D583" i="38"/>
  <c r="W583" i="38"/>
  <c r="C97" i="27"/>
  <c r="F58" i="8"/>
  <c r="G58" i="8" s="1"/>
  <c r="C51" i="27"/>
  <c r="D10" i="7"/>
  <c r="D5" i="7" s="1"/>
  <c r="C3" i="27" s="1"/>
  <c r="AC583" i="38" l="1"/>
  <c r="F229" i="38"/>
  <c r="E227" i="38"/>
  <c r="AC229" i="38"/>
  <c r="AL229" i="38" s="1"/>
  <c r="Z227" i="38"/>
  <c r="F96" i="38"/>
  <c r="D95" i="38"/>
  <c r="D578" i="38"/>
  <c r="F583" i="38"/>
  <c r="Y583" i="38"/>
  <c r="W578" i="38"/>
  <c r="F54" i="12"/>
  <c r="F48" i="12"/>
  <c r="F47" i="12"/>
  <c r="F46" i="12"/>
  <c r="F45" i="12"/>
  <c r="F44" i="12"/>
  <c r="W153" i="38" s="1"/>
  <c r="F43" i="12"/>
  <c r="F42" i="12"/>
  <c r="W204" i="38" s="1"/>
  <c r="Y204" i="38" s="1"/>
  <c r="F41" i="12"/>
  <c r="F40" i="12"/>
  <c r="F33" i="12"/>
  <c r="F32" i="12"/>
  <c r="F31" i="12"/>
  <c r="F30" i="12"/>
  <c r="F29" i="12"/>
  <c r="F28" i="12"/>
  <c r="F27" i="12"/>
  <c r="F26" i="12"/>
  <c r="F25" i="12"/>
  <c r="F24" i="12"/>
  <c r="F23" i="12"/>
  <c r="F22" i="12"/>
  <c r="F21" i="12"/>
  <c r="W357" i="38" s="1"/>
  <c r="F20" i="12"/>
  <c r="F19" i="12"/>
  <c r="F18" i="12"/>
  <c r="F17" i="12"/>
  <c r="F30" i="10"/>
  <c r="D96" i="27" s="1"/>
  <c r="F29" i="10"/>
  <c r="D95" i="27" s="1"/>
  <c r="F28" i="10"/>
  <c r="D94" i="27" s="1"/>
  <c r="F27" i="10"/>
  <c r="F26" i="10"/>
  <c r="D92" i="27" s="1"/>
  <c r="F25" i="10"/>
  <c r="D91" i="27" s="1"/>
  <c r="F24" i="10"/>
  <c r="F23" i="10"/>
  <c r="D89" i="27" s="1"/>
  <c r="F22" i="10"/>
  <c r="F21" i="10"/>
  <c r="D87" i="27" s="1"/>
  <c r="F20" i="10"/>
  <c r="D86" i="27" s="1"/>
  <c r="F19" i="10"/>
  <c r="D85" i="27" s="1"/>
  <c r="F18" i="10"/>
  <c r="D80" i="27" s="1"/>
  <c r="F17" i="10"/>
  <c r="F26" i="9"/>
  <c r="D72" i="27" s="1"/>
  <c r="F25" i="9"/>
  <c r="D71" i="27" s="1"/>
  <c r="F24" i="9"/>
  <c r="D70" i="27" s="1"/>
  <c r="F23" i="9"/>
  <c r="D69" i="27" s="1"/>
  <c r="F22" i="9"/>
  <c r="D68" i="27" s="1"/>
  <c r="F21" i="9"/>
  <c r="D67" i="27" s="1"/>
  <c r="F20" i="9"/>
  <c r="F19" i="9"/>
  <c r="D65" i="27" s="1"/>
  <c r="F18" i="9"/>
  <c r="D64" i="27" s="1"/>
  <c r="F17" i="9"/>
  <c r="F66" i="8"/>
  <c r="G66" i="8" s="1"/>
  <c r="G64" i="8"/>
  <c r="G63" i="8"/>
  <c r="G61" i="8"/>
  <c r="T10" i="4"/>
  <c r="T31" i="4" s="1"/>
  <c r="AL583" i="38" l="1"/>
  <c r="D90" i="27"/>
  <c r="AI341" i="38"/>
  <c r="Y153" i="38"/>
  <c r="W150" i="38"/>
  <c r="D83" i="27"/>
  <c r="E341" i="38"/>
  <c r="F341" i="38" s="1"/>
  <c r="X341" i="38"/>
  <c r="Z153" i="38"/>
  <c r="E153" i="38"/>
  <c r="E203" i="38"/>
  <c r="W203" i="38"/>
  <c r="E346" i="38"/>
  <c r="F346" i="38" s="1"/>
  <c r="X346" i="38"/>
  <c r="Y346" i="38" s="1"/>
  <c r="AL346" i="38" s="1"/>
  <c r="V146" i="38"/>
  <c r="V134" i="38" s="1"/>
  <c r="V107" i="38" s="1"/>
  <c r="E351" i="38"/>
  <c r="F351" i="38" s="1"/>
  <c r="AI351" i="38"/>
  <c r="AK351" i="38" s="1"/>
  <c r="AL351" i="38" s="1"/>
  <c r="E204" i="38"/>
  <c r="F204" i="38" s="1"/>
  <c r="AI204" i="38"/>
  <c r="W246" i="38"/>
  <c r="E246" i="38"/>
  <c r="D10" i="12"/>
  <c r="D5" i="12" s="1"/>
  <c r="C7" i="27" s="1"/>
  <c r="Y357" i="38"/>
  <c r="W337" i="38"/>
  <c r="E57" i="38"/>
  <c r="W57" i="38"/>
  <c r="J229" i="38"/>
  <c r="H229" i="38"/>
  <c r="Z226" i="38"/>
  <c r="AC226" i="38" s="1"/>
  <c r="AC227" i="38"/>
  <c r="AL227" i="38" s="1"/>
  <c r="F227" i="38"/>
  <c r="E146" i="38"/>
  <c r="X146" i="38"/>
  <c r="AA357" i="38"/>
  <c r="E357" i="38"/>
  <c r="J96" i="38"/>
  <c r="H96" i="38"/>
  <c r="D94" i="38"/>
  <c r="F94" i="38" s="1"/>
  <c r="F95" i="38"/>
  <c r="J583" i="38"/>
  <c r="H583" i="38"/>
  <c r="D66" i="27"/>
  <c r="E11" i="38"/>
  <c r="F11" i="38" s="1"/>
  <c r="X11" i="38"/>
  <c r="D63" i="27"/>
  <c r="E33" i="38"/>
  <c r="F33" i="38" s="1"/>
  <c r="AJ33" i="38"/>
  <c r="V24" i="38"/>
  <c r="Y24" i="38" s="1"/>
  <c r="AL24" i="38" s="1"/>
  <c r="D18" i="38"/>
  <c r="D10" i="38" s="1"/>
  <c r="D9" i="38" s="1"/>
  <c r="D10" i="9"/>
  <c r="G60" i="8"/>
  <c r="F67" i="8"/>
  <c r="G67" i="8" s="1"/>
  <c r="D10" i="10"/>
  <c r="D5" i="10" s="1"/>
  <c r="C6" i="27" s="1"/>
  <c r="E24" i="38" l="1"/>
  <c r="F24" i="38" s="1"/>
  <c r="H24" i="38" s="1"/>
  <c r="D97" i="27"/>
  <c r="W333" i="38"/>
  <c r="F246" i="38"/>
  <c r="E243" i="38"/>
  <c r="H346" i="38"/>
  <c r="J346" i="38"/>
  <c r="AC153" i="38"/>
  <c r="AL153" i="38" s="1"/>
  <c r="Z150" i="38"/>
  <c r="Y150" i="38"/>
  <c r="Y203" i="38"/>
  <c r="AL203" i="38" s="1"/>
  <c r="W201" i="38"/>
  <c r="Y201" i="38" s="1"/>
  <c r="Y57" i="38"/>
  <c r="AL57" i="38" s="1"/>
  <c r="W35" i="38"/>
  <c r="Y35" i="38" s="1"/>
  <c r="AL35" i="38" s="1"/>
  <c r="AK204" i="38"/>
  <c r="AL204" i="38" s="1"/>
  <c r="AI201" i="38"/>
  <c r="F203" i="38"/>
  <c r="E201" i="38"/>
  <c r="F201" i="38" s="1"/>
  <c r="J341" i="38"/>
  <c r="H341" i="38"/>
  <c r="AK341" i="38"/>
  <c r="AI337" i="38"/>
  <c r="Y246" i="38"/>
  <c r="AL246" i="38" s="1"/>
  <c r="W243" i="38"/>
  <c r="H351" i="38"/>
  <c r="J351" i="38"/>
  <c r="Y341" i="38"/>
  <c r="X337" i="38"/>
  <c r="X333" i="38" s="1"/>
  <c r="F57" i="38"/>
  <c r="E35" i="38"/>
  <c r="F35" i="38" s="1"/>
  <c r="H35" i="38" s="1"/>
  <c r="J204" i="38"/>
  <c r="H204" i="38"/>
  <c r="F153" i="38"/>
  <c r="E150" i="38"/>
  <c r="F150" i="38" s="1"/>
  <c r="H227" i="38"/>
  <c r="J227" i="38"/>
  <c r="F357" i="38"/>
  <c r="E337" i="38"/>
  <c r="AC357" i="38"/>
  <c r="AL357" i="38" s="1"/>
  <c r="AA337" i="38"/>
  <c r="Y146" i="38"/>
  <c r="AL146" i="38" s="1"/>
  <c r="X134" i="38"/>
  <c r="F146" i="38"/>
  <c r="E134" i="38"/>
  <c r="D74" i="27"/>
  <c r="J94" i="38"/>
  <c r="H94" i="38"/>
  <c r="H95" i="38"/>
  <c r="J95" i="38"/>
  <c r="J33" i="38"/>
  <c r="H33" i="38"/>
  <c r="AK33" i="38"/>
  <c r="AL33" i="38" s="1"/>
  <c r="AJ10" i="38"/>
  <c r="X10" i="38"/>
  <c r="X9" i="38" s="1"/>
  <c r="Y11" i="38"/>
  <c r="AL11" i="38" s="1"/>
  <c r="H11" i="38"/>
  <c r="J11" i="38"/>
  <c r="J24" i="38" l="1"/>
  <c r="AL341" i="38"/>
  <c r="W107" i="38"/>
  <c r="J246" i="38"/>
  <c r="H246" i="38"/>
  <c r="J153" i="38"/>
  <c r="H153" i="38"/>
  <c r="J57" i="38"/>
  <c r="J35" i="38" s="1"/>
  <c r="H57" i="38"/>
  <c r="Y243" i="38"/>
  <c r="AL243" i="38" s="1"/>
  <c r="W226" i="38"/>
  <c r="Y226" i="38" s="1"/>
  <c r="AL226" i="38" s="1"/>
  <c r="AK201" i="38"/>
  <c r="AL201" i="38" s="1"/>
  <c r="AI107" i="38"/>
  <c r="AK107" i="38" s="1"/>
  <c r="AC150" i="38"/>
  <c r="AL150" i="38" s="1"/>
  <c r="Z107" i="38"/>
  <c r="AC107" i="38" s="1"/>
  <c r="F243" i="38"/>
  <c r="E226" i="38"/>
  <c r="F226" i="38" s="1"/>
  <c r="AI333" i="38"/>
  <c r="AK333" i="38" s="1"/>
  <c r="AK337" i="38"/>
  <c r="H201" i="38"/>
  <c r="J201" i="38"/>
  <c r="Y333" i="38"/>
  <c r="H150" i="38"/>
  <c r="J150" i="38"/>
  <c r="H203" i="38"/>
  <c r="J203" i="38"/>
  <c r="Y337" i="38"/>
  <c r="X107" i="38"/>
  <c r="Y134" i="38"/>
  <c r="AL134" i="38" s="1"/>
  <c r="J357" i="38"/>
  <c r="H357" i="38"/>
  <c r="E107" i="38"/>
  <c r="F107" i="38" s="1"/>
  <c r="F134" i="38"/>
  <c r="AC337" i="38"/>
  <c r="AA333" i="38"/>
  <c r="AC333" i="38" s="1"/>
  <c r="F337" i="38"/>
  <c r="E333" i="38"/>
  <c r="F333" i="38" s="1"/>
  <c r="J146" i="38"/>
  <c r="H146" i="38"/>
  <c r="AJ9" i="38"/>
  <c r="AK9" i="38" s="1"/>
  <c r="AK10" i="38"/>
  <c r="Y107" i="38" l="1"/>
  <c r="AL107" i="38" s="1"/>
  <c r="AL333" i="38"/>
  <c r="J226" i="38"/>
  <c r="H226" i="38"/>
  <c r="J243" i="38"/>
  <c r="H243" i="38"/>
  <c r="AL337" i="38"/>
  <c r="H333" i="38"/>
  <c r="J333" i="38"/>
  <c r="H134" i="38"/>
  <c r="J134" i="38"/>
  <c r="J337" i="38"/>
  <c r="H337" i="38"/>
  <c r="J107" i="38"/>
  <c r="H107" i="38"/>
  <c r="D5" i="9"/>
  <c r="C5" i="27" s="1"/>
  <c r="C74" i="27"/>
  <c r="Q29" i="38" l="1"/>
  <c r="S582" i="38"/>
  <c r="O582" i="38"/>
  <c r="K582" i="38"/>
  <c r="R581" i="38"/>
  <c r="N581" i="38"/>
  <c r="U580" i="38"/>
  <c r="Q580" i="38"/>
  <c r="M580" i="38"/>
  <c r="T579" i="38"/>
  <c r="P579" i="38"/>
  <c r="L579" i="38"/>
  <c r="S577" i="38"/>
  <c r="O577" i="38"/>
  <c r="K577" i="38"/>
  <c r="R576" i="38"/>
  <c r="N576" i="38"/>
  <c r="U575" i="38"/>
  <c r="Q575" i="38"/>
  <c r="M575" i="38"/>
  <c r="T574" i="38"/>
  <c r="P574" i="38"/>
  <c r="L574" i="38"/>
  <c r="S573" i="38"/>
  <c r="O573" i="38"/>
  <c r="K573" i="38"/>
  <c r="R572" i="38"/>
  <c r="N572" i="38"/>
  <c r="U571" i="38"/>
  <c r="Q571" i="38"/>
  <c r="M571" i="38"/>
  <c r="T570" i="38"/>
  <c r="P570" i="38"/>
  <c r="L570" i="38"/>
  <c r="S569" i="38"/>
  <c r="O569" i="38"/>
  <c r="K569" i="38"/>
  <c r="R568" i="38"/>
  <c r="N568" i="38"/>
  <c r="U567" i="38"/>
  <c r="Q567" i="38"/>
  <c r="M567" i="38"/>
  <c r="T566" i="38"/>
  <c r="P566" i="38"/>
  <c r="L566" i="38"/>
  <c r="S565" i="38"/>
  <c r="O565" i="38"/>
  <c r="K565" i="38"/>
  <c r="R564" i="38"/>
  <c r="N564" i="38"/>
  <c r="U563" i="38"/>
  <c r="Q563" i="38"/>
  <c r="M563" i="38"/>
  <c r="T562" i="38"/>
  <c r="P562" i="38"/>
  <c r="L562" i="38"/>
  <c r="S561" i="38"/>
  <c r="O561" i="38"/>
  <c r="K561" i="38"/>
  <c r="R553" i="38"/>
  <c r="N553" i="38"/>
  <c r="U552" i="38"/>
  <c r="Q552" i="38"/>
  <c r="M552" i="38"/>
  <c r="T551" i="38"/>
  <c r="P551" i="38"/>
  <c r="L551" i="38"/>
  <c r="M554" i="38"/>
  <c r="Q554" i="38"/>
  <c r="U554" i="38"/>
  <c r="N555" i="38"/>
  <c r="R555" i="38"/>
  <c r="K556" i="38"/>
  <c r="O556" i="38"/>
  <c r="S556" i="38"/>
  <c r="T549" i="38"/>
  <c r="P549" i="38"/>
  <c r="L549" i="38"/>
  <c r="S548" i="38"/>
  <c r="O548" i="38"/>
  <c r="K548" i="38"/>
  <c r="R547" i="38"/>
  <c r="N547" i="38"/>
  <c r="U546" i="38"/>
  <c r="Q546" i="38"/>
  <c r="M546" i="38"/>
  <c r="T545" i="38"/>
  <c r="P545" i="38"/>
  <c r="L545" i="38"/>
  <c r="M550" i="38"/>
  <c r="Q550" i="38"/>
  <c r="U550" i="38"/>
  <c r="R534" i="38"/>
  <c r="N534" i="38"/>
  <c r="U533" i="38"/>
  <c r="Q533" i="38"/>
  <c r="M533" i="38"/>
  <c r="T532" i="38"/>
  <c r="P532" i="38"/>
  <c r="L532" i="38"/>
  <c r="S531" i="38"/>
  <c r="O531" i="38"/>
  <c r="K531" i="38"/>
  <c r="R530" i="38"/>
  <c r="N530" i="38"/>
  <c r="U529" i="38"/>
  <c r="Q529" i="38"/>
  <c r="M529" i="38"/>
  <c r="T528" i="38"/>
  <c r="P528" i="38"/>
  <c r="L528" i="38"/>
  <c r="S527" i="38"/>
  <c r="O527" i="38"/>
  <c r="K527" i="38"/>
  <c r="R536" i="38"/>
  <c r="N536" i="38"/>
  <c r="U538" i="38"/>
  <c r="Q538" i="38"/>
  <c r="M538" i="38"/>
  <c r="T537" i="38"/>
  <c r="P537" i="38"/>
  <c r="L537" i="38"/>
  <c r="S535" i="38"/>
  <c r="O535" i="38"/>
  <c r="K535" i="38"/>
  <c r="R526" i="38"/>
  <c r="N526" i="38"/>
  <c r="U540" i="38"/>
  <c r="Q540" i="38"/>
  <c r="R582" i="38"/>
  <c r="N582" i="38"/>
  <c r="U581" i="38"/>
  <c r="Q581" i="38"/>
  <c r="M581" i="38"/>
  <c r="T580" i="38"/>
  <c r="P580" i="38"/>
  <c r="L580" i="38"/>
  <c r="S579" i="38"/>
  <c r="O579" i="38"/>
  <c r="K579" i="38"/>
  <c r="R577" i="38"/>
  <c r="N577" i="38"/>
  <c r="U576" i="38"/>
  <c r="Q576" i="38"/>
  <c r="M576" i="38"/>
  <c r="T575" i="38"/>
  <c r="P575" i="38"/>
  <c r="L575" i="38"/>
  <c r="S574" i="38"/>
  <c r="O574" i="38"/>
  <c r="K574" i="38"/>
  <c r="R573" i="38"/>
  <c r="N573" i="38"/>
  <c r="U572" i="38"/>
  <c r="Q572" i="38"/>
  <c r="M572" i="38"/>
  <c r="T571" i="38"/>
  <c r="P571" i="38"/>
  <c r="L571" i="38"/>
  <c r="S570" i="38"/>
  <c r="O570" i="38"/>
  <c r="K570" i="38"/>
  <c r="R569" i="38"/>
  <c r="N569" i="38"/>
  <c r="U568" i="38"/>
  <c r="Q568" i="38"/>
  <c r="M568" i="38"/>
  <c r="T567" i="38"/>
  <c r="P567" i="38"/>
  <c r="L567" i="38"/>
  <c r="S566" i="38"/>
  <c r="O566" i="38"/>
  <c r="K566" i="38"/>
  <c r="R565" i="38"/>
  <c r="N565" i="38"/>
  <c r="U564" i="38"/>
  <c r="Q564" i="38"/>
  <c r="M564" i="38"/>
  <c r="T563" i="38"/>
  <c r="P563" i="38"/>
  <c r="L563" i="38"/>
  <c r="S562" i="38"/>
  <c r="O562" i="38"/>
  <c r="K562" i="38"/>
  <c r="R561" i="38"/>
  <c r="N561" i="38"/>
  <c r="U553" i="38"/>
  <c r="Q553" i="38"/>
  <c r="M553" i="38"/>
  <c r="T552" i="38"/>
  <c r="P552" i="38"/>
  <c r="L552" i="38"/>
  <c r="S551" i="38"/>
  <c r="O551" i="38"/>
  <c r="K551" i="38"/>
  <c r="N554" i="38"/>
  <c r="R554" i="38"/>
  <c r="K555" i="38"/>
  <c r="O555" i="38"/>
  <c r="S555" i="38"/>
  <c r="L556" i="38"/>
  <c r="P556" i="38"/>
  <c r="T556" i="38"/>
  <c r="S549" i="38"/>
  <c r="O549" i="38"/>
  <c r="K549" i="38"/>
  <c r="R548" i="38"/>
  <c r="N548" i="38"/>
  <c r="U547" i="38"/>
  <c r="Q547" i="38"/>
  <c r="M547" i="38"/>
  <c r="T546" i="38"/>
  <c r="P546" i="38"/>
  <c r="L546" i="38"/>
  <c r="S545" i="38"/>
  <c r="O545" i="38"/>
  <c r="K545" i="38"/>
  <c r="N550" i="38"/>
  <c r="R550" i="38"/>
  <c r="U534" i="38"/>
  <c r="Q534" i="38"/>
  <c r="M534" i="38"/>
  <c r="T533" i="38"/>
  <c r="P533" i="38"/>
  <c r="L533" i="38"/>
  <c r="S532" i="38"/>
  <c r="O532" i="38"/>
  <c r="K532" i="38"/>
  <c r="R531" i="38"/>
  <c r="N531" i="38"/>
  <c r="U530" i="38"/>
  <c r="Q530" i="38"/>
  <c r="M530" i="38"/>
  <c r="T529" i="38"/>
  <c r="P529" i="38"/>
  <c r="L529" i="38"/>
  <c r="S528" i="38"/>
  <c r="O528" i="38"/>
  <c r="K528" i="38"/>
  <c r="R527" i="38"/>
  <c r="N527" i="38"/>
  <c r="U536" i="38"/>
  <c r="Q536" i="38"/>
  <c r="M536" i="38"/>
  <c r="T538" i="38"/>
  <c r="P538" i="38"/>
  <c r="L538" i="38"/>
  <c r="S537" i="38"/>
  <c r="O537" i="38"/>
  <c r="K537" i="38"/>
  <c r="R535" i="38"/>
  <c r="N535" i="38"/>
  <c r="U526" i="38"/>
  <c r="Q526" i="38"/>
  <c r="M526" i="38"/>
  <c r="T540" i="38"/>
  <c r="N540" i="38"/>
  <c r="U539" i="38"/>
  <c r="Q539" i="38"/>
  <c r="M539" i="38"/>
  <c r="T541" i="38"/>
  <c r="P541" i="38"/>
  <c r="L541" i="38"/>
  <c r="M521" i="38"/>
  <c r="Q521" i="38"/>
  <c r="U521" i="38"/>
  <c r="N522" i="38"/>
  <c r="R522" i="38"/>
  <c r="K523" i="38"/>
  <c r="O523" i="38"/>
  <c r="S523" i="38"/>
  <c r="L524" i="38"/>
  <c r="P524" i="38"/>
  <c r="T524" i="38"/>
  <c r="S520" i="38"/>
  <c r="O520" i="38"/>
  <c r="K520" i="38"/>
  <c r="R519" i="38"/>
  <c r="N519" i="38"/>
  <c r="U518" i="38"/>
  <c r="Q518" i="38"/>
  <c r="M518" i="38"/>
  <c r="T438" i="38"/>
  <c r="P438" i="38"/>
  <c r="L438" i="38"/>
  <c r="S441" i="38"/>
  <c r="O441" i="38"/>
  <c r="K441" i="38"/>
  <c r="R440" i="38"/>
  <c r="N440" i="38"/>
  <c r="U439" i="38"/>
  <c r="Q439" i="38"/>
  <c r="M439" i="38"/>
  <c r="T437" i="38"/>
  <c r="P437" i="38"/>
  <c r="L437" i="38"/>
  <c r="S443" i="38"/>
  <c r="O443" i="38"/>
  <c r="K443" i="38"/>
  <c r="R442" i="38"/>
  <c r="N442" i="38"/>
  <c r="U444" i="38"/>
  <c r="Q444" i="38"/>
  <c r="M444" i="38"/>
  <c r="T433" i="38"/>
  <c r="P433" i="38"/>
  <c r="L433" i="38"/>
  <c r="S434" i="38"/>
  <c r="O434" i="38"/>
  <c r="K434" i="38"/>
  <c r="R507" i="38"/>
  <c r="N507" i="38"/>
  <c r="U506" i="38"/>
  <c r="Q506" i="38"/>
  <c r="M506" i="38"/>
  <c r="T505" i="38"/>
  <c r="P505" i="38"/>
  <c r="L505" i="38"/>
  <c r="S504" i="38"/>
  <c r="O504" i="38"/>
  <c r="K504" i="38"/>
  <c r="R503" i="38"/>
  <c r="N503" i="38"/>
  <c r="U502" i="38"/>
  <c r="Q502" i="38"/>
  <c r="M502" i="38"/>
  <c r="T501" i="38"/>
  <c r="P501" i="38"/>
  <c r="L501" i="38"/>
  <c r="S500" i="38"/>
  <c r="O500" i="38"/>
  <c r="K500" i="38"/>
  <c r="R511" i="38"/>
  <c r="N511" i="38"/>
  <c r="U510" i="38"/>
  <c r="Q510" i="38"/>
  <c r="M510" i="38"/>
  <c r="T509" i="38"/>
  <c r="P509" i="38"/>
  <c r="L509" i="38"/>
  <c r="S508" i="38"/>
  <c r="O508" i="38"/>
  <c r="K508" i="38"/>
  <c r="R513" i="38"/>
  <c r="N513" i="38"/>
  <c r="U512" i="38"/>
  <c r="Q512" i="38"/>
  <c r="M512" i="38"/>
  <c r="T514" i="38"/>
  <c r="P514" i="38"/>
  <c r="L514" i="38"/>
  <c r="S430" i="38"/>
  <c r="O430" i="38"/>
  <c r="K430" i="38"/>
  <c r="R424" i="38"/>
  <c r="N424" i="38"/>
  <c r="U423" i="38"/>
  <c r="Q423" i="38"/>
  <c r="M423" i="38"/>
  <c r="T422" i="38"/>
  <c r="P422" i="38"/>
  <c r="L422" i="38"/>
  <c r="S426" i="38"/>
  <c r="O426" i="38"/>
  <c r="K426" i="38"/>
  <c r="R425" i="38"/>
  <c r="N425" i="38"/>
  <c r="U427" i="38"/>
  <c r="Q427" i="38"/>
  <c r="M427" i="38"/>
  <c r="T418" i="38"/>
  <c r="P418" i="38"/>
  <c r="L418" i="38"/>
  <c r="S415" i="38"/>
  <c r="O415" i="38"/>
  <c r="K415" i="38"/>
  <c r="R414" i="38"/>
  <c r="N414" i="38"/>
  <c r="U413" i="38"/>
  <c r="Q413" i="38"/>
  <c r="M413" i="38"/>
  <c r="T412" i="38"/>
  <c r="P412" i="38"/>
  <c r="L412" i="38"/>
  <c r="O540" i="38"/>
  <c r="K540" i="38"/>
  <c r="R539" i="38"/>
  <c r="N539" i="38"/>
  <c r="U541" i="38"/>
  <c r="Q541" i="38"/>
  <c r="M541" i="38"/>
  <c r="L521" i="38"/>
  <c r="P521" i="38"/>
  <c r="T521" i="38"/>
  <c r="M522" i="38"/>
  <c r="Q522" i="38"/>
  <c r="U522" i="38"/>
  <c r="N523" i="38"/>
  <c r="R523" i="38"/>
  <c r="K524" i="38"/>
  <c r="O524" i="38"/>
  <c r="S524" i="38"/>
  <c r="T520" i="38"/>
  <c r="P520" i="38"/>
  <c r="L520" i="38"/>
  <c r="S519" i="38"/>
  <c r="O519" i="38"/>
  <c r="K519" i="38"/>
  <c r="R518" i="38"/>
  <c r="N518" i="38"/>
  <c r="U438" i="38"/>
  <c r="Q438" i="38"/>
  <c r="M438" i="38"/>
  <c r="T441" i="38"/>
  <c r="P441" i="38"/>
  <c r="L441" i="38"/>
  <c r="S440" i="38"/>
  <c r="O440" i="38"/>
  <c r="K440" i="38"/>
  <c r="R439" i="38"/>
  <c r="N439" i="38"/>
  <c r="U437" i="38"/>
  <c r="Q437" i="38"/>
  <c r="M437" i="38"/>
  <c r="T443" i="38"/>
  <c r="P443" i="38"/>
  <c r="L443" i="38"/>
  <c r="S442" i="38"/>
  <c r="O442" i="38"/>
  <c r="K442" i="38"/>
  <c r="R444" i="38"/>
  <c r="N444" i="38"/>
  <c r="U433" i="38"/>
  <c r="Q433" i="38"/>
  <c r="M433" i="38"/>
  <c r="T434" i="38"/>
  <c r="P434" i="38"/>
  <c r="L434" i="38"/>
  <c r="S507" i="38"/>
  <c r="O507" i="38"/>
  <c r="K507" i="38"/>
  <c r="R506" i="38"/>
  <c r="N506" i="38"/>
  <c r="U505" i="38"/>
  <c r="Q505" i="38"/>
  <c r="M505" i="38"/>
  <c r="T504" i="38"/>
  <c r="P504" i="38"/>
  <c r="L504" i="38"/>
  <c r="S503" i="38"/>
  <c r="O503" i="38"/>
  <c r="K503" i="38"/>
  <c r="R502" i="38"/>
  <c r="N502" i="38"/>
  <c r="U501" i="38"/>
  <c r="Q501" i="38"/>
  <c r="M501" i="38"/>
  <c r="T500" i="38"/>
  <c r="P500" i="38"/>
  <c r="L500" i="38"/>
  <c r="S511" i="38"/>
  <c r="O511" i="38"/>
  <c r="K511" i="38"/>
  <c r="R510" i="38"/>
  <c r="N510" i="38"/>
  <c r="U509" i="38"/>
  <c r="Q509" i="38"/>
  <c r="M509" i="38"/>
  <c r="T508" i="38"/>
  <c r="P508" i="38"/>
  <c r="L508" i="38"/>
  <c r="S513" i="38"/>
  <c r="O513" i="38"/>
  <c r="K513" i="38"/>
  <c r="R512" i="38"/>
  <c r="N512" i="38"/>
  <c r="U514" i="38"/>
  <c r="Q514" i="38"/>
  <c r="M514" i="38"/>
  <c r="T430" i="38"/>
  <c r="P430" i="38"/>
  <c r="L430" i="38"/>
  <c r="S424" i="38"/>
  <c r="O424" i="38"/>
  <c r="K424" i="38"/>
  <c r="R423" i="38"/>
  <c r="N423" i="38"/>
  <c r="U422" i="38"/>
  <c r="Q422" i="38"/>
  <c r="M422" i="38"/>
  <c r="T426" i="38"/>
  <c r="P426" i="38"/>
  <c r="L426" i="38"/>
  <c r="S425" i="38"/>
  <c r="O425" i="38"/>
  <c r="K425" i="38"/>
  <c r="R427" i="38"/>
  <c r="N427" i="38"/>
  <c r="U418" i="38"/>
  <c r="Q418" i="38"/>
  <c r="M418" i="38"/>
  <c r="T415" i="38"/>
  <c r="P415" i="38"/>
  <c r="L415" i="38"/>
  <c r="S414" i="38"/>
  <c r="O414" i="38"/>
  <c r="K414" i="38"/>
  <c r="R413" i="38"/>
  <c r="N413" i="38"/>
  <c r="U412" i="38"/>
  <c r="Q412" i="38"/>
  <c r="M412" i="38"/>
  <c r="T473" i="38"/>
  <c r="P473" i="38"/>
  <c r="L473" i="38"/>
  <c r="S472" i="38"/>
  <c r="O472" i="38"/>
  <c r="K472" i="38"/>
  <c r="R471" i="38"/>
  <c r="N471" i="38"/>
  <c r="U470" i="38"/>
  <c r="Q470" i="38"/>
  <c r="M470" i="38"/>
  <c r="T469" i="38"/>
  <c r="P469" i="38"/>
  <c r="L469" i="38"/>
  <c r="S468" i="38"/>
  <c r="O468" i="38"/>
  <c r="K468" i="38"/>
  <c r="R467" i="38"/>
  <c r="N467" i="38"/>
  <c r="U466" i="38"/>
  <c r="Q466" i="38"/>
  <c r="M466" i="38"/>
  <c r="T465" i="38"/>
  <c r="P465" i="38"/>
  <c r="L465" i="38"/>
  <c r="S464" i="38"/>
  <c r="O464" i="38"/>
  <c r="K464" i="38"/>
  <c r="R463" i="38"/>
  <c r="N463" i="38"/>
  <c r="U462" i="38"/>
  <c r="Q462" i="38"/>
  <c r="M462" i="38"/>
  <c r="T461" i="38"/>
  <c r="P461" i="38"/>
  <c r="L461" i="38"/>
  <c r="S460" i="38"/>
  <c r="O460" i="38"/>
  <c r="K460" i="38"/>
  <c r="R459" i="38"/>
  <c r="N459" i="38"/>
  <c r="U458" i="38"/>
  <c r="Q458" i="38"/>
  <c r="M458" i="38"/>
  <c r="T457" i="38"/>
  <c r="P457" i="38"/>
  <c r="L457" i="38"/>
  <c r="S456" i="38"/>
  <c r="O456" i="38"/>
  <c r="K456" i="38"/>
  <c r="R455" i="38"/>
  <c r="N455" i="38"/>
  <c r="U454" i="38"/>
  <c r="Q454" i="38"/>
  <c r="M454" i="38"/>
  <c r="T453" i="38"/>
  <c r="P453" i="38"/>
  <c r="L453" i="38"/>
  <c r="S452" i="38"/>
  <c r="O452" i="38"/>
  <c r="K452" i="38"/>
  <c r="R451" i="38"/>
  <c r="N451" i="38"/>
  <c r="U450" i="38"/>
  <c r="Q450" i="38"/>
  <c r="M450" i="38"/>
  <c r="T449" i="38"/>
  <c r="P449" i="38"/>
  <c r="L449" i="38"/>
  <c r="S489" i="38"/>
  <c r="O489" i="38"/>
  <c r="K489" i="38"/>
  <c r="R488" i="38"/>
  <c r="N488" i="38"/>
  <c r="U487" i="38"/>
  <c r="Q487" i="38"/>
  <c r="M487" i="38"/>
  <c r="T486" i="38"/>
  <c r="P486" i="38"/>
  <c r="L486" i="38"/>
  <c r="S485" i="38"/>
  <c r="O485" i="38"/>
  <c r="K485" i="38"/>
  <c r="R484" i="38"/>
  <c r="N484" i="38"/>
  <c r="U483" i="38"/>
  <c r="Q483" i="38"/>
  <c r="M483" i="38"/>
  <c r="T482" i="38"/>
  <c r="P482" i="38"/>
  <c r="L482" i="38"/>
  <c r="S481" i="38"/>
  <c r="O481" i="38"/>
  <c r="K481" i="38"/>
  <c r="R480" i="38"/>
  <c r="N480" i="38"/>
  <c r="U479" i="38"/>
  <c r="Q479" i="38"/>
  <c r="M479" i="38"/>
  <c r="T478" i="38"/>
  <c r="P478" i="38"/>
  <c r="L478" i="38"/>
  <c r="S477" i="38"/>
  <c r="O477" i="38"/>
  <c r="K477" i="38"/>
  <c r="R476" i="38"/>
  <c r="N476" i="38"/>
  <c r="U475" i="38"/>
  <c r="Q475" i="38"/>
  <c r="M475" i="38"/>
  <c r="T474" i="38"/>
  <c r="P474" i="38"/>
  <c r="L474" i="38"/>
  <c r="S497" i="38"/>
  <c r="O497" i="38"/>
  <c r="K497" i="38"/>
  <c r="R496" i="38"/>
  <c r="N496" i="38"/>
  <c r="U495" i="38"/>
  <c r="Q495" i="38"/>
  <c r="M495" i="38"/>
  <c r="T494" i="38"/>
  <c r="P494" i="38"/>
  <c r="L494" i="38"/>
  <c r="S493" i="38"/>
  <c r="O493" i="38"/>
  <c r="K493" i="38"/>
  <c r="R492" i="38"/>
  <c r="N492" i="38"/>
  <c r="U491" i="38"/>
  <c r="Q491" i="38"/>
  <c r="M491" i="38"/>
  <c r="T490" i="38"/>
  <c r="P490" i="38"/>
  <c r="L490" i="38"/>
  <c r="S417" i="38"/>
  <c r="O417" i="38"/>
  <c r="K417" i="38"/>
  <c r="R416" i="38"/>
  <c r="N416" i="38"/>
  <c r="U388" i="38"/>
  <c r="Q388" i="38"/>
  <c r="M388" i="38"/>
  <c r="T386" i="38"/>
  <c r="P386" i="38"/>
  <c r="L386" i="38"/>
  <c r="S385" i="38"/>
  <c r="O385" i="38"/>
  <c r="K385" i="38"/>
  <c r="R384" i="38"/>
  <c r="N384" i="38"/>
  <c r="U383" i="38"/>
  <c r="Q383" i="38"/>
  <c r="M383" i="38"/>
  <c r="T377" i="38"/>
  <c r="P377" i="38"/>
  <c r="L377" i="38"/>
  <c r="S378" i="38"/>
  <c r="O378" i="38"/>
  <c r="K378" i="38"/>
  <c r="R376" i="38"/>
  <c r="N376" i="38"/>
  <c r="K379" i="38"/>
  <c r="O379" i="38"/>
  <c r="S379" i="38"/>
  <c r="L380" i="38"/>
  <c r="P380" i="38"/>
  <c r="T380" i="38"/>
  <c r="S354" i="38"/>
  <c r="O354" i="38"/>
  <c r="K354" i="38"/>
  <c r="R353" i="38"/>
  <c r="N353" i="38"/>
  <c r="U352" i="38"/>
  <c r="Q352" i="38"/>
  <c r="M352" i="38"/>
  <c r="T351" i="38"/>
  <c r="P351" i="38"/>
  <c r="L351" i="38"/>
  <c r="S350" i="38"/>
  <c r="O350" i="38"/>
  <c r="K350" i="38"/>
  <c r="R349" i="38"/>
  <c r="N349" i="38"/>
  <c r="U348" i="38"/>
  <c r="Q348" i="38"/>
  <c r="M348" i="38"/>
  <c r="T347" i="38"/>
  <c r="P347" i="38"/>
  <c r="L347" i="38"/>
  <c r="S346" i="38"/>
  <c r="O346" i="38"/>
  <c r="K346" i="38"/>
  <c r="R345" i="38"/>
  <c r="N345" i="38"/>
  <c r="U344" i="38"/>
  <c r="Q344" i="38"/>
  <c r="M344" i="38"/>
  <c r="T343" i="38"/>
  <c r="P343" i="38"/>
  <c r="L343" i="38"/>
  <c r="S342" i="38"/>
  <c r="O342" i="38"/>
  <c r="K342" i="38"/>
  <c r="R341" i="38"/>
  <c r="N341" i="38"/>
  <c r="U340" i="38"/>
  <c r="Q340" i="38"/>
  <c r="M340" i="38"/>
  <c r="T339" i="38"/>
  <c r="P339" i="38"/>
  <c r="L339" i="38"/>
  <c r="S370" i="38"/>
  <c r="O370" i="38"/>
  <c r="K370" i="38"/>
  <c r="R369" i="38"/>
  <c r="N369" i="38"/>
  <c r="U368" i="38"/>
  <c r="Q368" i="38"/>
  <c r="M368" i="38"/>
  <c r="T367" i="38"/>
  <c r="P367" i="38"/>
  <c r="L367" i="38"/>
  <c r="S366" i="38"/>
  <c r="O366" i="38"/>
  <c r="K366" i="38"/>
  <c r="R365" i="38"/>
  <c r="N365" i="38"/>
  <c r="U364" i="38"/>
  <c r="Q364" i="38"/>
  <c r="M364" i="38"/>
  <c r="T363" i="38"/>
  <c r="P363" i="38"/>
  <c r="L363" i="38"/>
  <c r="S362" i="38"/>
  <c r="O362" i="38"/>
  <c r="K362" i="38"/>
  <c r="R361" i="38"/>
  <c r="N361" i="38"/>
  <c r="U360" i="38"/>
  <c r="Q360" i="38"/>
  <c r="M360" i="38"/>
  <c r="T359" i="38"/>
  <c r="P359" i="38"/>
  <c r="L359" i="38"/>
  <c r="S358" i="38"/>
  <c r="O358" i="38"/>
  <c r="K358" i="38"/>
  <c r="R357" i="38"/>
  <c r="N357" i="38"/>
  <c r="U356" i="38"/>
  <c r="Q356" i="38"/>
  <c r="M356" i="38"/>
  <c r="T355" i="38"/>
  <c r="P355" i="38"/>
  <c r="L355" i="38"/>
  <c r="S473" i="38"/>
  <c r="O473" i="38"/>
  <c r="K473" i="38"/>
  <c r="R472" i="38"/>
  <c r="N472" i="38"/>
  <c r="U471" i="38"/>
  <c r="Q471" i="38"/>
  <c r="M471" i="38"/>
  <c r="T470" i="38"/>
  <c r="P470" i="38"/>
  <c r="L470" i="38"/>
  <c r="S469" i="38"/>
  <c r="O469" i="38"/>
  <c r="K469" i="38"/>
  <c r="R468" i="38"/>
  <c r="N468" i="38"/>
  <c r="U467" i="38"/>
  <c r="Q467" i="38"/>
  <c r="M467" i="38"/>
  <c r="T466" i="38"/>
  <c r="P466" i="38"/>
  <c r="L466" i="38"/>
  <c r="S465" i="38"/>
  <c r="O465" i="38"/>
  <c r="K465" i="38"/>
  <c r="R464" i="38"/>
  <c r="N464" i="38"/>
  <c r="U463" i="38"/>
  <c r="Q463" i="38"/>
  <c r="M463" i="38"/>
  <c r="T462" i="38"/>
  <c r="P462" i="38"/>
  <c r="L462" i="38"/>
  <c r="S461" i="38"/>
  <c r="O461" i="38"/>
  <c r="K461" i="38"/>
  <c r="R460" i="38"/>
  <c r="N460" i="38"/>
  <c r="U459" i="38"/>
  <c r="Q459" i="38"/>
  <c r="M459" i="38"/>
  <c r="T458" i="38"/>
  <c r="P458" i="38"/>
  <c r="L458" i="38"/>
  <c r="S457" i="38"/>
  <c r="O457" i="38"/>
  <c r="K457" i="38"/>
  <c r="R456" i="38"/>
  <c r="N456" i="38"/>
  <c r="U455" i="38"/>
  <c r="Q455" i="38"/>
  <c r="M455" i="38"/>
  <c r="T454" i="38"/>
  <c r="P454" i="38"/>
  <c r="L454" i="38"/>
  <c r="S453" i="38"/>
  <c r="O453" i="38"/>
  <c r="K453" i="38"/>
  <c r="R452" i="38"/>
  <c r="N452" i="38"/>
  <c r="U451" i="38"/>
  <c r="Q451" i="38"/>
  <c r="M451" i="38"/>
  <c r="T450" i="38"/>
  <c r="P450" i="38"/>
  <c r="L450" i="38"/>
  <c r="S449" i="38"/>
  <c r="O449" i="38"/>
  <c r="K449" i="38"/>
  <c r="R489" i="38"/>
  <c r="N489" i="38"/>
  <c r="U488" i="38"/>
  <c r="Q488" i="38"/>
  <c r="M488" i="38"/>
  <c r="T487" i="38"/>
  <c r="P487" i="38"/>
  <c r="L487" i="38"/>
  <c r="S486" i="38"/>
  <c r="O486" i="38"/>
  <c r="K486" i="38"/>
  <c r="R485" i="38"/>
  <c r="N485" i="38"/>
  <c r="U484" i="38"/>
  <c r="Q484" i="38"/>
  <c r="M484" i="38"/>
  <c r="T483" i="38"/>
  <c r="P483" i="38"/>
  <c r="L483" i="38"/>
  <c r="S482" i="38"/>
  <c r="O482" i="38"/>
  <c r="K482" i="38"/>
  <c r="R481" i="38"/>
  <c r="N481" i="38"/>
  <c r="U480" i="38"/>
  <c r="Q480" i="38"/>
  <c r="M480" i="38"/>
  <c r="T479" i="38"/>
  <c r="P479" i="38"/>
  <c r="L479" i="38"/>
  <c r="S478" i="38"/>
  <c r="O478" i="38"/>
  <c r="K478" i="38"/>
  <c r="R477" i="38"/>
  <c r="N477" i="38"/>
  <c r="U476" i="38"/>
  <c r="Q476" i="38"/>
  <c r="M476" i="38"/>
  <c r="T475" i="38"/>
  <c r="P475" i="38"/>
  <c r="L475" i="38"/>
  <c r="S474" i="38"/>
  <c r="O474" i="38"/>
  <c r="K474" i="38"/>
  <c r="R497" i="38"/>
  <c r="N497" i="38"/>
  <c r="U496" i="38"/>
  <c r="Q496" i="38"/>
  <c r="M496" i="38"/>
  <c r="T495" i="38"/>
  <c r="P495" i="38"/>
  <c r="L495" i="38"/>
  <c r="S494" i="38"/>
  <c r="O494" i="38"/>
  <c r="K494" i="38"/>
  <c r="R493" i="38"/>
  <c r="N493" i="38"/>
  <c r="U492" i="38"/>
  <c r="Q492" i="38"/>
  <c r="M492" i="38"/>
  <c r="T491" i="38"/>
  <c r="P491" i="38"/>
  <c r="L491" i="38"/>
  <c r="S490" i="38"/>
  <c r="O490" i="38"/>
  <c r="K490" i="38"/>
  <c r="R417" i="38"/>
  <c r="N417" i="38"/>
  <c r="U416" i="38"/>
  <c r="Q416" i="38"/>
  <c r="M416" i="38"/>
  <c r="T388" i="38"/>
  <c r="P388" i="38"/>
  <c r="L388" i="38"/>
  <c r="S386" i="38"/>
  <c r="O386" i="38"/>
  <c r="K386" i="38"/>
  <c r="R385" i="38"/>
  <c r="N385" i="38"/>
  <c r="U384" i="38"/>
  <c r="Q384" i="38"/>
  <c r="M384" i="38"/>
  <c r="T383" i="38"/>
  <c r="P383" i="38"/>
  <c r="L383" i="38"/>
  <c r="S377" i="38"/>
  <c r="O377" i="38"/>
  <c r="K377" i="38"/>
  <c r="R378" i="38"/>
  <c r="N378" i="38"/>
  <c r="U376" i="38"/>
  <c r="Q376" i="38"/>
  <c r="M376" i="38"/>
  <c r="L379" i="38"/>
  <c r="P379" i="38"/>
  <c r="T379" i="38"/>
  <c r="M380" i="38"/>
  <c r="Q380" i="38"/>
  <c r="U380" i="38"/>
  <c r="R354" i="38"/>
  <c r="N354" i="38"/>
  <c r="U353" i="38"/>
  <c r="Q353" i="38"/>
  <c r="M353" i="38"/>
  <c r="T352" i="38"/>
  <c r="P352" i="38"/>
  <c r="L352" i="38"/>
  <c r="S351" i="38"/>
  <c r="O351" i="38"/>
  <c r="K351" i="38"/>
  <c r="R350" i="38"/>
  <c r="N350" i="38"/>
  <c r="U349" i="38"/>
  <c r="Q349" i="38"/>
  <c r="M349" i="38"/>
  <c r="T348" i="38"/>
  <c r="P348" i="38"/>
  <c r="L348" i="38"/>
  <c r="S347" i="38"/>
  <c r="O347" i="38"/>
  <c r="K347" i="38"/>
  <c r="R346" i="38"/>
  <c r="N346" i="38"/>
  <c r="U345" i="38"/>
  <c r="Q345" i="38"/>
  <c r="M345" i="38"/>
  <c r="T344" i="38"/>
  <c r="P344" i="38"/>
  <c r="L344" i="38"/>
  <c r="S343" i="38"/>
  <c r="O343" i="38"/>
  <c r="K343" i="38"/>
  <c r="R342" i="38"/>
  <c r="N342" i="38"/>
  <c r="U341" i="38"/>
  <c r="Q341" i="38"/>
  <c r="M341" i="38"/>
  <c r="T340" i="38"/>
  <c r="P340" i="38"/>
  <c r="L340" i="38"/>
  <c r="S339" i="38"/>
  <c r="O339" i="38"/>
  <c r="K339" i="38"/>
  <c r="R370" i="38"/>
  <c r="N370" i="38"/>
  <c r="U369" i="38"/>
  <c r="Q369" i="38"/>
  <c r="M369" i="38"/>
  <c r="T368" i="38"/>
  <c r="P368" i="38"/>
  <c r="L368" i="38"/>
  <c r="S367" i="38"/>
  <c r="O367" i="38"/>
  <c r="K367" i="38"/>
  <c r="R366" i="38"/>
  <c r="N366" i="38"/>
  <c r="U365" i="38"/>
  <c r="Q365" i="38"/>
  <c r="M365" i="38"/>
  <c r="T364" i="38"/>
  <c r="P364" i="38"/>
  <c r="L364" i="38"/>
  <c r="S363" i="38"/>
  <c r="O363" i="38"/>
  <c r="K363" i="38"/>
  <c r="R362" i="38"/>
  <c r="N362" i="38"/>
  <c r="U361" i="38"/>
  <c r="Q361" i="38"/>
  <c r="M361" i="38"/>
  <c r="T360" i="38"/>
  <c r="P360" i="38"/>
  <c r="L360" i="38"/>
  <c r="S359" i="38"/>
  <c r="O359" i="38"/>
  <c r="K359" i="38"/>
  <c r="R358" i="38"/>
  <c r="N358" i="38"/>
  <c r="U357" i="38"/>
  <c r="Q357" i="38"/>
  <c r="M357" i="38"/>
  <c r="T356" i="38"/>
  <c r="P356" i="38"/>
  <c r="L356" i="38"/>
  <c r="Q355" i="38"/>
  <c r="U374" i="38"/>
  <c r="Q374" i="38"/>
  <c r="M374" i="38"/>
  <c r="U582" i="38"/>
  <c r="Q582" i="38"/>
  <c r="M582" i="38"/>
  <c r="T581" i="38"/>
  <c r="P581" i="38"/>
  <c r="L581" i="38"/>
  <c r="S580" i="38"/>
  <c r="O580" i="38"/>
  <c r="K580" i="38"/>
  <c r="R579" i="38"/>
  <c r="N579" i="38"/>
  <c r="U577" i="38"/>
  <c r="Q577" i="38"/>
  <c r="M577" i="38"/>
  <c r="T576" i="38"/>
  <c r="P576" i="38"/>
  <c r="L576" i="38"/>
  <c r="S575" i="38"/>
  <c r="O575" i="38"/>
  <c r="K575" i="38"/>
  <c r="R574" i="38"/>
  <c r="N574" i="38"/>
  <c r="U573" i="38"/>
  <c r="Q573" i="38"/>
  <c r="M573" i="38"/>
  <c r="T572" i="38"/>
  <c r="P572" i="38"/>
  <c r="L572" i="38"/>
  <c r="S571" i="38"/>
  <c r="O571" i="38"/>
  <c r="K571" i="38"/>
  <c r="R570" i="38"/>
  <c r="N570" i="38"/>
  <c r="U569" i="38"/>
  <c r="Q569" i="38"/>
  <c r="M569" i="38"/>
  <c r="T568" i="38"/>
  <c r="P568" i="38"/>
  <c r="L568" i="38"/>
  <c r="S567" i="38"/>
  <c r="O567" i="38"/>
  <c r="K567" i="38"/>
  <c r="R566" i="38"/>
  <c r="N566" i="38"/>
  <c r="U565" i="38"/>
  <c r="Q565" i="38"/>
  <c r="M565" i="38"/>
  <c r="T564" i="38"/>
  <c r="P564" i="38"/>
  <c r="L564" i="38"/>
  <c r="S563" i="38"/>
  <c r="O563" i="38"/>
  <c r="K563" i="38"/>
  <c r="R562" i="38"/>
  <c r="N562" i="38"/>
  <c r="U561" i="38"/>
  <c r="Q561" i="38"/>
  <c r="M561" i="38"/>
  <c r="T553" i="38"/>
  <c r="P553" i="38"/>
  <c r="L553" i="38"/>
  <c r="S552" i="38"/>
  <c r="O552" i="38"/>
  <c r="K552" i="38"/>
  <c r="R551" i="38"/>
  <c r="N551" i="38"/>
  <c r="K554" i="38"/>
  <c r="O554" i="38"/>
  <c r="S554" i="38"/>
  <c r="L555" i="38"/>
  <c r="P555" i="38"/>
  <c r="T555" i="38"/>
  <c r="M556" i="38"/>
  <c r="Q556" i="38"/>
  <c r="U556" i="38"/>
  <c r="R549" i="38"/>
  <c r="N549" i="38"/>
  <c r="U548" i="38"/>
  <c r="Q548" i="38"/>
  <c r="M548" i="38"/>
  <c r="T547" i="38"/>
  <c r="P547" i="38"/>
  <c r="L547" i="38"/>
  <c r="S546" i="38"/>
  <c r="O546" i="38"/>
  <c r="K546" i="38"/>
  <c r="R545" i="38"/>
  <c r="N545" i="38"/>
  <c r="K550" i="38"/>
  <c r="O550" i="38"/>
  <c r="S550" i="38"/>
  <c r="T534" i="38"/>
  <c r="P534" i="38"/>
  <c r="L534" i="38"/>
  <c r="S533" i="38"/>
  <c r="O533" i="38"/>
  <c r="K533" i="38"/>
  <c r="R532" i="38"/>
  <c r="N532" i="38"/>
  <c r="U531" i="38"/>
  <c r="Q531" i="38"/>
  <c r="M531" i="38"/>
  <c r="T530" i="38"/>
  <c r="P530" i="38"/>
  <c r="L530" i="38"/>
  <c r="S529" i="38"/>
  <c r="O529" i="38"/>
  <c r="K529" i="38"/>
  <c r="R528" i="38"/>
  <c r="N528" i="38"/>
  <c r="U527" i="38"/>
  <c r="Q527" i="38"/>
  <c r="M527" i="38"/>
  <c r="T536" i="38"/>
  <c r="P536" i="38"/>
  <c r="L536" i="38"/>
  <c r="S538" i="38"/>
  <c r="O538" i="38"/>
  <c r="K538" i="38"/>
  <c r="R537" i="38"/>
  <c r="N537" i="38"/>
  <c r="U535" i="38"/>
  <c r="Q535" i="38"/>
  <c r="M535" i="38"/>
  <c r="T526" i="38"/>
  <c r="P526" i="38"/>
  <c r="L526" i="38"/>
  <c r="S540" i="38"/>
  <c r="T582" i="38"/>
  <c r="P582" i="38"/>
  <c r="L582" i="38"/>
  <c r="S581" i="38"/>
  <c r="O581" i="38"/>
  <c r="K581" i="38"/>
  <c r="R580" i="38"/>
  <c r="N580" i="38"/>
  <c r="U579" i="38"/>
  <c r="Q579" i="38"/>
  <c r="M579" i="38"/>
  <c r="T577" i="38"/>
  <c r="P577" i="38"/>
  <c r="L577" i="38"/>
  <c r="S576" i="38"/>
  <c r="O576" i="38"/>
  <c r="K576" i="38"/>
  <c r="R575" i="38"/>
  <c r="N575" i="38"/>
  <c r="U574" i="38"/>
  <c r="Q574" i="38"/>
  <c r="M574" i="38"/>
  <c r="T573" i="38"/>
  <c r="P573" i="38"/>
  <c r="L573" i="38"/>
  <c r="S572" i="38"/>
  <c r="O572" i="38"/>
  <c r="K572" i="38"/>
  <c r="R571" i="38"/>
  <c r="N571" i="38"/>
  <c r="U570" i="38"/>
  <c r="Q570" i="38"/>
  <c r="M570" i="38"/>
  <c r="T569" i="38"/>
  <c r="P569" i="38"/>
  <c r="L569" i="38"/>
  <c r="S568" i="38"/>
  <c r="O568" i="38"/>
  <c r="K568" i="38"/>
  <c r="R567" i="38"/>
  <c r="N567" i="38"/>
  <c r="U566" i="38"/>
  <c r="Q566" i="38"/>
  <c r="M566" i="38"/>
  <c r="T565" i="38"/>
  <c r="P565" i="38"/>
  <c r="L565" i="38"/>
  <c r="S564" i="38"/>
  <c r="O564" i="38"/>
  <c r="K564" i="38"/>
  <c r="R563" i="38"/>
  <c r="N563" i="38"/>
  <c r="U562" i="38"/>
  <c r="Q562" i="38"/>
  <c r="M562" i="38"/>
  <c r="T561" i="38"/>
  <c r="P561" i="38"/>
  <c r="L561" i="38"/>
  <c r="S553" i="38"/>
  <c r="O553" i="38"/>
  <c r="K553" i="38"/>
  <c r="R552" i="38"/>
  <c r="N552" i="38"/>
  <c r="U551" i="38"/>
  <c r="Q551" i="38"/>
  <c r="M551" i="38"/>
  <c r="L554" i="38"/>
  <c r="P554" i="38"/>
  <c r="T554" i="38"/>
  <c r="M555" i="38"/>
  <c r="Q555" i="38"/>
  <c r="U555" i="38"/>
  <c r="N556" i="38"/>
  <c r="R556" i="38"/>
  <c r="U549" i="38"/>
  <c r="Q549" i="38"/>
  <c r="M549" i="38"/>
  <c r="T548" i="38"/>
  <c r="P548" i="38"/>
  <c r="L548" i="38"/>
  <c r="S547" i="38"/>
  <c r="O547" i="38"/>
  <c r="K547" i="38"/>
  <c r="R546" i="38"/>
  <c r="N546" i="38"/>
  <c r="U545" i="38"/>
  <c r="Q545" i="38"/>
  <c r="M545" i="38"/>
  <c r="L550" i="38"/>
  <c r="P550" i="38"/>
  <c r="T550" i="38"/>
  <c r="S534" i="38"/>
  <c r="O534" i="38"/>
  <c r="K534" i="38"/>
  <c r="R533" i="38"/>
  <c r="N533" i="38"/>
  <c r="U532" i="38"/>
  <c r="Q532" i="38"/>
  <c r="M532" i="38"/>
  <c r="T531" i="38"/>
  <c r="P531" i="38"/>
  <c r="L531" i="38"/>
  <c r="S530" i="38"/>
  <c r="O530" i="38"/>
  <c r="K530" i="38"/>
  <c r="R529" i="38"/>
  <c r="N529" i="38"/>
  <c r="U528" i="38"/>
  <c r="Q528" i="38"/>
  <c r="M528" i="38"/>
  <c r="T527" i="38"/>
  <c r="P527" i="38"/>
  <c r="L527" i="38"/>
  <c r="S536" i="38"/>
  <c r="O536" i="38"/>
  <c r="K536" i="38"/>
  <c r="R538" i="38"/>
  <c r="N538" i="38"/>
  <c r="U537" i="38"/>
  <c r="Q537" i="38"/>
  <c r="M537" i="38"/>
  <c r="T535" i="38"/>
  <c r="P535" i="38"/>
  <c r="L535" i="38"/>
  <c r="S526" i="38"/>
  <c r="O526" i="38"/>
  <c r="K526" i="38"/>
  <c r="P540" i="38"/>
  <c r="L540" i="38"/>
  <c r="S539" i="38"/>
  <c r="O539" i="38"/>
  <c r="K539" i="38"/>
  <c r="R541" i="38"/>
  <c r="N541" i="38"/>
  <c r="K521" i="38"/>
  <c r="O521" i="38"/>
  <c r="S521" i="38"/>
  <c r="L522" i="38"/>
  <c r="P522" i="38"/>
  <c r="T522" i="38"/>
  <c r="M523" i="38"/>
  <c r="Q523" i="38"/>
  <c r="U523" i="38"/>
  <c r="N524" i="38"/>
  <c r="R524" i="38"/>
  <c r="U520" i="38"/>
  <c r="Q520" i="38"/>
  <c r="M520" i="38"/>
  <c r="T519" i="38"/>
  <c r="P519" i="38"/>
  <c r="L519" i="38"/>
  <c r="S518" i="38"/>
  <c r="O518" i="38"/>
  <c r="K518" i="38"/>
  <c r="R438" i="38"/>
  <c r="N438" i="38"/>
  <c r="U441" i="38"/>
  <c r="Q441" i="38"/>
  <c r="M441" i="38"/>
  <c r="T440" i="38"/>
  <c r="P440" i="38"/>
  <c r="L440" i="38"/>
  <c r="S439" i="38"/>
  <c r="O439" i="38"/>
  <c r="K439" i="38"/>
  <c r="R437" i="38"/>
  <c r="N437" i="38"/>
  <c r="U443" i="38"/>
  <c r="Q443" i="38"/>
  <c r="M443" i="38"/>
  <c r="T442" i="38"/>
  <c r="P442" i="38"/>
  <c r="L442" i="38"/>
  <c r="S444" i="38"/>
  <c r="O444" i="38"/>
  <c r="K444" i="38"/>
  <c r="R433" i="38"/>
  <c r="N433" i="38"/>
  <c r="U434" i="38"/>
  <c r="Q434" i="38"/>
  <c r="M434" i="38"/>
  <c r="T507" i="38"/>
  <c r="P507" i="38"/>
  <c r="L507" i="38"/>
  <c r="S506" i="38"/>
  <c r="O506" i="38"/>
  <c r="K506" i="38"/>
  <c r="R505" i="38"/>
  <c r="N505" i="38"/>
  <c r="U504" i="38"/>
  <c r="Q504" i="38"/>
  <c r="M504" i="38"/>
  <c r="T503" i="38"/>
  <c r="P503" i="38"/>
  <c r="L503" i="38"/>
  <c r="S502" i="38"/>
  <c r="O502" i="38"/>
  <c r="K502" i="38"/>
  <c r="R501" i="38"/>
  <c r="N501" i="38"/>
  <c r="U500" i="38"/>
  <c r="Q500" i="38"/>
  <c r="M500" i="38"/>
  <c r="T511" i="38"/>
  <c r="P511" i="38"/>
  <c r="L511" i="38"/>
  <c r="S510" i="38"/>
  <c r="O510" i="38"/>
  <c r="K510" i="38"/>
  <c r="R509" i="38"/>
  <c r="N509" i="38"/>
  <c r="U508" i="38"/>
  <c r="Q508" i="38"/>
  <c r="M508" i="38"/>
  <c r="T513" i="38"/>
  <c r="P513" i="38"/>
  <c r="L513" i="38"/>
  <c r="S512" i="38"/>
  <c r="O512" i="38"/>
  <c r="K512" i="38"/>
  <c r="R514" i="38"/>
  <c r="N514" i="38"/>
  <c r="U430" i="38"/>
  <c r="Q430" i="38"/>
  <c r="M430" i="38"/>
  <c r="T424" i="38"/>
  <c r="P424" i="38"/>
  <c r="L424" i="38"/>
  <c r="S423" i="38"/>
  <c r="O423" i="38"/>
  <c r="K423" i="38"/>
  <c r="R422" i="38"/>
  <c r="N422" i="38"/>
  <c r="U426" i="38"/>
  <c r="Q426" i="38"/>
  <c r="M426" i="38"/>
  <c r="T425" i="38"/>
  <c r="P425" i="38"/>
  <c r="L425" i="38"/>
  <c r="S427" i="38"/>
  <c r="O427" i="38"/>
  <c r="K427" i="38"/>
  <c r="R418" i="38"/>
  <c r="N418" i="38"/>
  <c r="U415" i="38"/>
  <c r="Q415" i="38"/>
  <c r="M415" i="38"/>
  <c r="T414" i="38"/>
  <c r="P414" i="38"/>
  <c r="L414" i="38"/>
  <c r="S413" i="38"/>
  <c r="O413" i="38"/>
  <c r="K413" i="38"/>
  <c r="R412" i="38"/>
  <c r="N412" i="38"/>
  <c r="R540" i="38"/>
  <c r="M540" i="38"/>
  <c r="T539" i="38"/>
  <c r="P539" i="38"/>
  <c r="L539" i="38"/>
  <c r="S541" i="38"/>
  <c r="O541" i="38"/>
  <c r="K541" i="38"/>
  <c r="N521" i="38"/>
  <c r="R521" i="38"/>
  <c r="K522" i="38"/>
  <c r="O522" i="38"/>
  <c r="S522" i="38"/>
  <c r="L523" i="38"/>
  <c r="P523" i="38"/>
  <c r="T523" i="38"/>
  <c r="M524" i="38"/>
  <c r="Q524" i="38"/>
  <c r="U524" i="38"/>
  <c r="R520" i="38"/>
  <c r="N520" i="38"/>
  <c r="U519" i="38"/>
  <c r="Q519" i="38"/>
  <c r="M519" i="38"/>
  <c r="T518" i="38"/>
  <c r="P518" i="38"/>
  <c r="L518" i="38"/>
  <c r="S438" i="38"/>
  <c r="O438" i="38"/>
  <c r="K438" i="38"/>
  <c r="R441" i="38"/>
  <c r="N441" i="38"/>
  <c r="U440" i="38"/>
  <c r="Q440" i="38"/>
  <c r="M440" i="38"/>
  <c r="T439" i="38"/>
  <c r="P439" i="38"/>
  <c r="L439" i="38"/>
  <c r="S437" i="38"/>
  <c r="O437" i="38"/>
  <c r="K437" i="38"/>
  <c r="R443" i="38"/>
  <c r="N443" i="38"/>
  <c r="U442" i="38"/>
  <c r="Q442" i="38"/>
  <c r="M442" i="38"/>
  <c r="T444" i="38"/>
  <c r="P444" i="38"/>
  <c r="L444" i="38"/>
  <c r="S433" i="38"/>
  <c r="O433" i="38"/>
  <c r="K433" i="38"/>
  <c r="R434" i="38"/>
  <c r="N434" i="38"/>
  <c r="U507" i="38"/>
  <c r="Q507" i="38"/>
  <c r="M507" i="38"/>
  <c r="T506" i="38"/>
  <c r="P506" i="38"/>
  <c r="L506" i="38"/>
  <c r="S505" i="38"/>
  <c r="O505" i="38"/>
  <c r="K505" i="38"/>
  <c r="R504" i="38"/>
  <c r="N504" i="38"/>
  <c r="U503" i="38"/>
  <c r="Q503" i="38"/>
  <c r="M503" i="38"/>
  <c r="T502" i="38"/>
  <c r="P502" i="38"/>
  <c r="L502" i="38"/>
  <c r="S501" i="38"/>
  <c r="O501" i="38"/>
  <c r="K501" i="38"/>
  <c r="R500" i="38"/>
  <c r="N500" i="38"/>
  <c r="U511" i="38"/>
  <c r="Q511" i="38"/>
  <c r="M511" i="38"/>
  <c r="T510" i="38"/>
  <c r="P510" i="38"/>
  <c r="L510" i="38"/>
  <c r="S509" i="38"/>
  <c r="O509" i="38"/>
  <c r="K509" i="38"/>
  <c r="R508" i="38"/>
  <c r="N508" i="38"/>
  <c r="U513" i="38"/>
  <c r="Q513" i="38"/>
  <c r="M513" i="38"/>
  <c r="T512" i="38"/>
  <c r="P512" i="38"/>
  <c r="L512" i="38"/>
  <c r="S514" i="38"/>
  <c r="O514" i="38"/>
  <c r="K514" i="38"/>
  <c r="R430" i="38"/>
  <c r="N430" i="38"/>
  <c r="U424" i="38"/>
  <c r="Q424" i="38"/>
  <c r="M424" i="38"/>
  <c r="T423" i="38"/>
  <c r="P423" i="38"/>
  <c r="L423" i="38"/>
  <c r="S422" i="38"/>
  <c r="O422" i="38"/>
  <c r="K422" i="38"/>
  <c r="R426" i="38"/>
  <c r="N426" i="38"/>
  <c r="U425" i="38"/>
  <c r="Q425" i="38"/>
  <c r="M425" i="38"/>
  <c r="T427" i="38"/>
  <c r="P427" i="38"/>
  <c r="L427" i="38"/>
  <c r="S418" i="38"/>
  <c r="O418" i="38"/>
  <c r="K418" i="38"/>
  <c r="R415" i="38"/>
  <c r="N415" i="38"/>
  <c r="U414" i="38"/>
  <c r="Q414" i="38"/>
  <c r="M414" i="38"/>
  <c r="T413" i="38"/>
  <c r="P413" i="38"/>
  <c r="L413" i="38"/>
  <c r="S412" i="38"/>
  <c r="O412" i="38"/>
  <c r="K412" i="38"/>
  <c r="R473" i="38"/>
  <c r="N473" i="38"/>
  <c r="U472" i="38"/>
  <c r="Q472" i="38"/>
  <c r="M472" i="38"/>
  <c r="T471" i="38"/>
  <c r="P471" i="38"/>
  <c r="L471" i="38"/>
  <c r="S470" i="38"/>
  <c r="O470" i="38"/>
  <c r="K470" i="38"/>
  <c r="R469" i="38"/>
  <c r="N469" i="38"/>
  <c r="U468" i="38"/>
  <c r="Q468" i="38"/>
  <c r="M468" i="38"/>
  <c r="T467" i="38"/>
  <c r="P467" i="38"/>
  <c r="L467" i="38"/>
  <c r="S466" i="38"/>
  <c r="O466" i="38"/>
  <c r="K466" i="38"/>
  <c r="R465" i="38"/>
  <c r="N465" i="38"/>
  <c r="U464" i="38"/>
  <c r="Q464" i="38"/>
  <c r="M464" i="38"/>
  <c r="T463" i="38"/>
  <c r="P463" i="38"/>
  <c r="L463" i="38"/>
  <c r="S462" i="38"/>
  <c r="O462" i="38"/>
  <c r="K462" i="38"/>
  <c r="R461" i="38"/>
  <c r="N461" i="38"/>
  <c r="U460" i="38"/>
  <c r="Q460" i="38"/>
  <c r="M460" i="38"/>
  <c r="T459" i="38"/>
  <c r="P459" i="38"/>
  <c r="L459" i="38"/>
  <c r="S458" i="38"/>
  <c r="O458" i="38"/>
  <c r="K458" i="38"/>
  <c r="R457" i="38"/>
  <c r="N457" i="38"/>
  <c r="U456" i="38"/>
  <c r="Q456" i="38"/>
  <c r="M456" i="38"/>
  <c r="T455" i="38"/>
  <c r="P455" i="38"/>
  <c r="L455" i="38"/>
  <c r="S454" i="38"/>
  <c r="O454" i="38"/>
  <c r="K454" i="38"/>
  <c r="R453" i="38"/>
  <c r="N453" i="38"/>
  <c r="U452" i="38"/>
  <c r="Q452" i="38"/>
  <c r="M452" i="38"/>
  <c r="T451" i="38"/>
  <c r="P451" i="38"/>
  <c r="L451" i="38"/>
  <c r="S450" i="38"/>
  <c r="O450" i="38"/>
  <c r="K450" i="38"/>
  <c r="R449" i="38"/>
  <c r="N449" i="38"/>
  <c r="U489" i="38"/>
  <c r="Q489" i="38"/>
  <c r="M489" i="38"/>
  <c r="T488" i="38"/>
  <c r="P488" i="38"/>
  <c r="L488" i="38"/>
  <c r="S487" i="38"/>
  <c r="O487" i="38"/>
  <c r="K487" i="38"/>
  <c r="R486" i="38"/>
  <c r="N486" i="38"/>
  <c r="U485" i="38"/>
  <c r="Q485" i="38"/>
  <c r="M485" i="38"/>
  <c r="T484" i="38"/>
  <c r="P484" i="38"/>
  <c r="L484" i="38"/>
  <c r="S483" i="38"/>
  <c r="O483" i="38"/>
  <c r="K483" i="38"/>
  <c r="R482" i="38"/>
  <c r="N482" i="38"/>
  <c r="U481" i="38"/>
  <c r="Q481" i="38"/>
  <c r="M481" i="38"/>
  <c r="T480" i="38"/>
  <c r="P480" i="38"/>
  <c r="L480" i="38"/>
  <c r="S479" i="38"/>
  <c r="O479" i="38"/>
  <c r="K479" i="38"/>
  <c r="R478" i="38"/>
  <c r="N478" i="38"/>
  <c r="U477" i="38"/>
  <c r="Q477" i="38"/>
  <c r="M477" i="38"/>
  <c r="T476" i="38"/>
  <c r="P476" i="38"/>
  <c r="L476" i="38"/>
  <c r="S475" i="38"/>
  <c r="O475" i="38"/>
  <c r="K475" i="38"/>
  <c r="R474" i="38"/>
  <c r="N474" i="38"/>
  <c r="U497" i="38"/>
  <c r="Q497" i="38"/>
  <c r="M497" i="38"/>
  <c r="T496" i="38"/>
  <c r="P496" i="38"/>
  <c r="L496" i="38"/>
  <c r="S495" i="38"/>
  <c r="O495" i="38"/>
  <c r="K495" i="38"/>
  <c r="R494" i="38"/>
  <c r="N494" i="38"/>
  <c r="U493" i="38"/>
  <c r="Q493" i="38"/>
  <c r="M493" i="38"/>
  <c r="T492" i="38"/>
  <c r="P492" i="38"/>
  <c r="L492" i="38"/>
  <c r="S491" i="38"/>
  <c r="O491" i="38"/>
  <c r="K491" i="38"/>
  <c r="R490" i="38"/>
  <c r="N490" i="38"/>
  <c r="U417" i="38"/>
  <c r="Q417" i="38"/>
  <c r="M417" i="38"/>
  <c r="T416" i="38"/>
  <c r="P416" i="38"/>
  <c r="L416" i="38"/>
  <c r="S388" i="38"/>
  <c r="O388" i="38"/>
  <c r="K388" i="38"/>
  <c r="R386" i="38"/>
  <c r="N386" i="38"/>
  <c r="U385" i="38"/>
  <c r="Q385" i="38"/>
  <c r="M385" i="38"/>
  <c r="T384" i="38"/>
  <c r="P384" i="38"/>
  <c r="L384" i="38"/>
  <c r="S383" i="38"/>
  <c r="O383" i="38"/>
  <c r="K383" i="38"/>
  <c r="R377" i="38"/>
  <c r="N377" i="38"/>
  <c r="U378" i="38"/>
  <c r="Q378" i="38"/>
  <c r="M378" i="38"/>
  <c r="T376" i="38"/>
  <c r="P376" i="38"/>
  <c r="L376" i="38"/>
  <c r="M379" i="38"/>
  <c r="Q379" i="38"/>
  <c r="U379" i="38"/>
  <c r="N380" i="38"/>
  <c r="R380" i="38"/>
  <c r="U354" i="38"/>
  <c r="Q354" i="38"/>
  <c r="M354" i="38"/>
  <c r="T353" i="38"/>
  <c r="P353" i="38"/>
  <c r="L353" i="38"/>
  <c r="S352" i="38"/>
  <c r="O352" i="38"/>
  <c r="K352" i="38"/>
  <c r="R351" i="38"/>
  <c r="N351" i="38"/>
  <c r="U350" i="38"/>
  <c r="Q350" i="38"/>
  <c r="M350" i="38"/>
  <c r="T349" i="38"/>
  <c r="P349" i="38"/>
  <c r="L349" i="38"/>
  <c r="S348" i="38"/>
  <c r="O348" i="38"/>
  <c r="K348" i="38"/>
  <c r="R347" i="38"/>
  <c r="N347" i="38"/>
  <c r="U346" i="38"/>
  <c r="Q346" i="38"/>
  <c r="M346" i="38"/>
  <c r="T345" i="38"/>
  <c r="P345" i="38"/>
  <c r="L345" i="38"/>
  <c r="S344" i="38"/>
  <c r="O344" i="38"/>
  <c r="K344" i="38"/>
  <c r="R343" i="38"/>
  <c r="N343" i="38"/>
  <c r="U342" i="38"/>
  <c r="Q342" i="38"/>
  <c r="M342" i="38"/>
  <c r="T341" i="38"/>
  <c r="P341" i="38"/>
  <c r="L341" i="38"/>
  <c r="S340" i="38"/>
  <c r="O340" i="38"/>
  <c r="K340" i="38"/>
  <c r="R339" i="38"/>
  <c r="N339" i="38"/>
  <c r="U370" i="38"/>
  <c r="Q370" i="38"/>
  <c r="M370" i="38"/>
  <c r="T369" i="38"/>
  <c r="P369" i="38"/>
  <c r="L369" i="38"/>
  <c r="S368" i="38"/>
  <c r="O368" i="38"/>
  <c r="K368" i="38"/>
  <c r="R367" i="38"/>
  <c r="N367" i="38"/>
  <c r="U366" i="38"/>
  <c r="Q366" i="38"/>
  <c r="M366" i="38"/>
  <c r="T365" i="38"/>
  <c r="P365" i="38"/>
  <c r="L365" i="38"/>
  <c r="S364" i="38"/>
  <c r="O364" i="38"/>
  <c r="K364" i="38"/>
  <c r="R363" i="38"/>
  <c r="N363" i="38"/>
  <c r="U362" i="38"/>
  <c r="Q362" i="38"/>
  <c r="M362" i="38"/>
  <c r="T361" i="38"/>
  <c r="P361" i="38"/>
  <c r="L361" i="38"/>
  <c r="S360" i="38"/>
  <c r="O360" i="38"/>
  <c r="K360" i="38"/>
  <c r="R359" i="38"/>
  <c r="N359" i="38"/>
  <c r="U358" i="38"/>
  <c r="Q358" i="38"/>
  <c r="M358" i="38"/>
  <c r="T357" i="38"/>
  <c r="P357" i="38"/>
  <c r="L357" i="38"/>
  <c r="S356" i="38"/>
  <c r="O356" i="38"/>
  <c r="K356" i="38"/>
  <c r="R355" i="38"/>
  <c r="N355" i="38"/>
  <c r="U473" i="38"/>
  <c r="Q473" i="38"/>
  <c r="M473" i="38"/>
  <c r="T472" i="38"/>
  <c r="P472" i="38"/>
  <c r="L472" i="38"/>
  <c r="S471" i="38"/>
  <c r="O471" i="38"/>
  <c r="K471" i="38"/>
  <c r="R470" i="38"/>
  <c r="N470" i="38"/>
  <c r="U469" i="38"/>
  <c r="Q469" i="38"/>
  <c r="M469" i="38"/>
  <c r="T468" i="38"/>
  <c r="P468" i="38"/>
  <c r="L468" i="38"/>
  <c r="S467" i="38"/>
  <c r="O467" i="38"/>
  <c r="K467" i="38"/>
  <c r="R466" i="38"/>
  <c r="N466" i="38"/>
  <c r="U465" i="38"/>
  <c r="Q465" i="38"/>
  <c r="M465" i="38"/>
  <c r="T464" i="38"/>
  <c r="P464" i="38"/>
  <c r="L464" i="38"/>
  <c r="S463" i="38"/>
  <c r="O463" i="38"/>
  <c r="K463" i="38"/>
  <c r="R462" i="38"/>
  <c r="N462" i="38"/>
  <c r="U461" i="38"/>
  <c r="Q461" i="38"/>
  <c r="M461" i="38"/>
  <c r="T460" i="38"/>
  <c r="P460" i="38"/>
  <c r="L460" i="38"/>
  <c r="S459" i="38"/>
  <c r="O459" i="38"/>
  <c r="K459" i="38"/>
  <c r="R458" i="38"/>
  <c r="N458" i="38"/>
  <c r="U457" i="38"/>
  <c r="Q457" i="38"/>
  <c r="M457" i="38"/>
  <c r="T456" i="38"/>
  <c r="P456" i="38"/>
  <c r="L456" i="38"/>
  <c r="S455" i="38"/>
  <c r="O455" i="38"/>
  <c r="K455" i="38"/>
  <c r="R454" i="38"/>
  <c r="N454" i="38"/>
  <c r="U453" i="38"/>
  <c r="Q453" i="38"/>
  <c r="M453" i="38"/>
  <c r="T452" i="38"/>
  <c r="P452" i="38"/>
  <c r="L452" i="38"/>
  <c r="S451" i="38"/>
  <c r="O451" i="38"/>
  <c r="K451" i="38"/>
  <c r="R450" i="38"/>
  <c r="N450" i="38"/>
  <c r="U449" i="38"/>
  <c r="Q449" i="38"/>
  <c r="M449" i="38"/>
  <c r="T489" i="38"/>
  <c r="P489" i="38"/>
  <c r="L489" i="38"/>
  <c r="S488" i="38"/>
  <c r="O488" i="38"/>
  <c r="K488" i="38"/>
  <c r="R487" i="38"/>
  <c r="N487" i="38"/>
  <c r="U486" i="38"/>
  <c r="Q486" i="38"/>
  <c r="M486" i="38"/>
  <c r="T485" i="38"/>
  <c r="P485" i="38"/>
  <c r="L485" i="38"/>
  <c r="S484" i="38"/>
  <c r="O484" i="38"/>
  <c r="K484" i="38"/>
  <c r="R483" i="38"/>
  <c r="N483" i="38"/>
  <c r="U482" i="38"/>
  <c r="Q482" i="38"/>
  <c r="M482" i="38"/>
  <c r="T481" i="38"/>
  <c r="P481" i="38"/>
  <c r="L481" i="38"/>
  <c r="S480" i="38"/>
  <c r="O480" i="38"/>
  <c r="K480" i="38"/>
  <c r="R479" i="38"/>
  <c r="N479" i="38"/>
  <c r="U478" i="38"/>
  <c r="Q478" i="38"/>
  <c r="M478" i="38"/>
  <c r="T477" i="38"/>
  <c r="P477" i="38"/>
  <c r="L477" i="38"/>
  <c r="S476" i="38"/>
  <c r="O476" i="38"/>
  <c r="K476" i="38"/>
  <c r="R475" i="38"/>
  <c r="N475" i="38"/>
  <c r="U474" i="38"/>
  <c r="Q474" i="38"/>
  <c r="M474" i="38"/>
  <c r="T497" i="38"/>
  <c r="P497" i="38"/>
  <c r="L497" i="38"/>
  <c r="S496" i="38"/>
  <c r="O496" i="38"/>
  <c r="K496" i="38"/>
  <c r="R495" i="38"/>
  <c r="N495" i="38"/>
  <c r="U494" i="38"/>
  <c r="Q494" i="38"/>
  <c r="M494" i="38"/>
  <c r="T493" i="38"/>
  <c r="P493" i="38"/>
  <c r="L493" i="38"/>
  <c r="S492" i="38"/>
  <c r="O492" i="38"/>
  <c r="K492" i="38"/>
  <c r="R491" i="38"/>
  <c r="N491" i="38"/>
  <c r="U490" i="38"/>
  <c r="Q490" i="38"/>
  <c r="M490" i="38"/>
  <c r="T417" i="38"/>
  <c r="P417" i="38"/>
  <c r="L417" i="38"/>
  <c r="S416" i="38"/>
  <c r="O416" i="38"/>
  <c r="K416" i="38"/>
  <c r="R388" i="38"/>
  <c r="N388" i="38"/>
  <c r="U386" i="38"/>
  <c r="Q386" i="38"/>
  <c r="M386" i="38"/>
  <c r="T385" i="38"/>
  <c r="P385" i="38"/>
  <c r="L385" i="38"/>
  <c r="S384" i="38"/>
  <c r="O384" i="38"/>
  <c r="K384" i="38"/>
  <c r="R383" i="38"/>
  <c r="N383" i="38"/>
  <c r="U377" i="38"/>
  <c r="Q377" i="38"/>
  <c r="M377" i="38"/>
  <c r="T378" i="38"/>
  <c r="P378" i="38"/>
  <c r="L378" i="38"/>
  <c r="S376" i="38"/>
  <c r="O376" i="38"/>
  <c r="K376" i="38"/>
  <c r="N379" i="38"/>
  <c r="R379" i="38"/>
  <c r="K380" i="38"/>
  <c r="O380" i="38"/>
  <c r="S380" i="38"/>
  <c r="T354" i="38"/>
  <c r="P354" i="38"/>
  <c r="L354" i="38"/>
  <c r="S353" i="38"/>
  <c r="O353" i="38"/>
  <c r="K353" i="38"/>
  <c r="R352" i="38"/>
  <c r="N352" i="38"/>
  <c r="U351" i="38"/>
  <c r="Q351" i="38"/>
  <c r="M351" i="38"/>
  <c r="T350" i="38"/>
  <c r="P350" i="38"/>
  <c r="L350" i="38"/>
  <c r="S349" i="38"/>
  <c r="O349" i="38"/>
  <c r="K349" i="38"/>
  <c r="R348" i="38"/>
  <c r="N348" i="38"/>
  <c r="U347" i="38"/>
  <c r="Q347" i="38"/>
  <c r="M347" i="38"/>
  <c r="T346" i="38"/>
  <c r="P346" i="38"/>
  <c r="L346" i="38"/>
  <c r="S345" i="38"/>
  <c r="O345" i="38"/>
  <c r="K345" i="38"/>
  <c r="R344" i="38"/>
  <c r="N344" i="38"/>
  <c r="U343" i="38"/>
  <c r="Q343" i="38"/>
  <c r="M343" i="38"/>
  <c r="T342" i="38"/>
  <c r="P342" i="38"/>
  <c r="L342" i="38"/>
  <c r="S341" i="38"/>
  <c r="O341" i="38"/>
  <c r="K341" i="38"/>
  <c r="R340" i="38"/>
  <c r="N340" i="38"/>
  <c r="U339" i="38"/>
  <c r="Q339" i="38"/>
  <c r="M339" i="38"/>
  <c r="T370" i="38"/>
  <c r="P370" i="38"/>
  <c r="L370" i="38"/>
  <c r="S369" i="38"/>
  <c r="O369" i="38"/>
  <c r="K369" i="38"/>
  <c r="R368" i="38"/>
  <c r="N368" i="38"/>
  <c r="U367" i="38"/>
  <c r="Q367" i="38"/>
  <c r="M367" i="38"/>
  <c r="P366" i="38"/>
  <c r="S365" i="38"/>
  <c r="K365" i="38"/>
  <c r="N364" i="38"/>
  <c r="Q363" i="38"/>
  <c r="T362" i="38"/>
  <c r="L362" i="38"/>
  <c r="O361" i="38"/>
  <c r="R360" i="38"/>
  <c r="U359" i="38"/>
  <c r="M359" i="38"/>
  <c r="P358" i="38"/>
  <c r="S357" i="38"/>
  <c r="K357" i="38"/>
  <c r="N356" i="38"/>
  <c r="M355" i="38"/>
  <c r="O374" i="38"/>
  <c r="T373" i="38"/>
  <c r="P373" i="38"/>
  <c r="L373" i="38"/>
  <c r="S372" i="38"/>
  <c r="O372" i="38"/>
  <c r="K372" i="38"/>
  <c r="R371" i="38"/>
  <c r="N371" i="38"/>
  <c r="U406" i="38"/>
  <c r="Q406" i="38"/>
  <c r="M406" i="38"/>
  <c r="T407" i="38"/>
  <c r="P407" i="38"/>
  <c r="L407" i="38"/>
  <c r="S402" i="38"/>
  <c r="O402" i="38"/>
  <c r="K402" i="38"/>
  <c r="N403" i="38"/>
  <c r="R403" i="38"/>
  <c r="U399" i="38"/>
  <c r="Q399" i="38"/>
  <c r="M399" i="38"/>
  <c r="T398" i="38"/>
  <c r="P398" i="38"/>
  <c r="L398" i="38"/>
  <c r="S396" i="38"/>
  <c r="O396" i="38"/>
  <c r="K396" i="38"/>
  <c r="R393" i="38"/>
  <c r="N393" i="38"/>
  <c r="U395" i="38"/>
  <c r="Q395" i="38"/>
  <c r="M395" i="38"/>
  <c r="T394" i="38"/>
  <c r="P394" i="38"/>
  <c r="L394" i="38"/>
  <c r="S319" i="38"/>
  <c r="O319" i="38"/>
  <c r="K319" i="38"/>
  <c r="R318" i="38"/>
  <c r="N318" i="38"/>
  <c r="U317" i="38"/>
  <c r="Q317" i="38"/>
  <c r="M317" i="38"/>
  <c r="T316" i="38"/>
  <c r="P316" i="38"/>
  <c r="L316" i="38"/>
  <c r="S315" i="38"/>
  <c r="O315" i="38"/>
  <c r="K315" i="38"/>
  <c r="R314" i="38"/>
  <c r="N314" i="38"/>
  <c r="U323" i="38"/>
  <c r="Q323" i="38"/>
  <c r="M323" i="38"/>
  <c r="T322" i="38"/>
  <c r="P322" i="38"/>
  <c r="L322" i="38"/>
  <c r="S321" i="38"/>
  <c r="O321" i="38"/>
  <c r="K321" i="38"/>
  <c r="R320" i="38"/>
  <c r="N320" i="38"/>
  <c r="U325" i="38"/>
  <c r="Q325" i="38"/>
  <c r="M325" i="38"/>
  <c r="T324" i="38"/>
  <c r="P324" i="38"/>
  <c r="L324" i="38"/>
  <c r="S326" i="38"/>
  <c r="O326" i="38"/>
  <c r="K326" i="38"/>
  <c r="R300" i="38"/>
  <c r="N300" i="38"/>
  <c r="U299" i="38"/>
  <c r="Q299" i="38"/>
  <c r="M299" i="38"/>
  <c r="T298" i="38"/>
  <c r="P298" i="38"/>
  <c r="L298" i="38"/>
  <c r="S297" i="38"/>
  <c r="O297" i="38"/>
  <c r="K297" i="38"/>
  <c r="R296" i="38"/>
  <c r="N296" i="38"/>
  <c r="U295" i="38"/>
  <c r="Q295" i="38"/>
  <c r="M295" i="38"/>
  <c r="T294" i="38"/>
  <c r="P294" i="38"/>
  <c r="L294" i="38"/>
  <c r="S293" i="38"/>
  <c r="O293" i="38"/>
  <c r="K293" i="38"/>
  <c r="R292" i="38"/>
  <c r="N292" i="38"/>
  <c r="U291" i="38"/>
  <c r="Q291" i="38"/>
  <c r="M291" i="38"/>
  <c r="T290" i="38"/>
  <c r="P290" i="38"/>
  <c r="L290" i="38"/>
  <c r="S289" i="38"/>
  <c r="O289" i="38"/>
  <c r="K289" i="38"/>
  <c r="R288" i="38"/>
  <c r="N288" i="38"/>
  <c r="U287" i="38"/>
  <c r="Q287" i="38"/>
  <c r="M287" i="38"/>
  <c r="T286" i="38"/>
  <c r="P286" i="38"/>
  <c r="L286" i="38"/>
  <c r="S285" i="38"/>
  <c r="O285" i="38"/>
  <c r="K285" i="38"/>
  <c r="R284" i="38"/>
  <c r="N284" i="38"/>
  <c r="U283" i="38"/>
  <c r="Q283" i="38"/>
  <c r="M283" i="38"/>
  <c r="T282" i="38"/>
  <c r="P282" i="38"/>
  <c r="L282" i="38"/>
  <c r="S281" i="38"/>
  <c r="O281" i="38"/>
  <c r="K281" i="38"/>
  <c r="R280" i="38"/>
  <c r="N280" i="38"/>
  <c r="U279" i="38"/>
  <c r="Q279" i="38"/>
  <c r="M279" i="38"/>
  <c r="T278" i="38"/>
  <c r="P278" i="38"/>
  <c r="L278" i="38"/>
  <c r="S277" i="38"/>
  <c r="O277" i="38"/>
  <c r="K277" i="38"/>
  <c r="R276" i="38"/>
  <c r="N276" i="38"/>
  <c r="U275" i="38"/>
  <c r="Q275" i="38"/>
  <c r="M275" i="38"/>
  <c r="T274" i="38"/>
  <c r="P274" i="38"/>
  <c r="L274" i="38"/>
  <c r="S273" i="38"/>
  <c r="O273" i="38"/>
  <c r="K273" i="38"/>
  <c r="R272" i="38"/>
  <c r="N272" i="38"/>
  <c r="U271" i="38"/>
  <c r="Q271" i="38"/>
  <c r="M271" i="38"/>
  <c r="T270" i="38"/>
  <c r="P270" i="38"/>
  <c r="L270" i="38"/>
  <c r="S269" i="38"/>
  <c r="O269" i="38"/>
  <c r="K269" i="38"/>
  <c r="R311" i="38"/>
  <c r="N311" i="38"/>
  <c r="U310" i="38"/>
  <c r="Q310" i="38"/>
  <c r="M310" i="38"/>
  <c r="T309" i="38"/>
  <c r="P309" i="38"/>
  <c r="L309" i="38"/>
  <c r="S308" i="38"/>
  <c r="O308" i="38"/>
  <c r="K308" i="38"/>
  <c r="R307" i="38"/>
  <c r="N307" i="38"/>
  <c r="U306" i="38"/>
  <c r="Q306" i="38"/>
  <c r="M306" i="38"/>
  <c r="T305" i="38"/>
  <c r="P305" i="38"/>
  <c r="L305" i="38"/>
  <c r="S304" i="38"/>
  <c r="O304" i="38"/>
  <c r="K304" i="38"/>
  <c r="R303" i="38"/>
  <c r="N303" i="38"/>
  <c r="U302" i="38"/>
  <c r="Q302" i="38"/>
  <c r="M302" i="38"/>
  <c r="T301" i="38"/>
  <c r="P301" i="38"/>
  <c r="L301" i="38"/>
  <c r="S263" i="38"/>
  <c r="O263" i="38"/>
  <c r="K263" i="38"/>
  <c r="R262" i="38"/>
  <c r="N262" i="38"/>
  <c r="U261" i="38"/>
  <c r="Q261" i="38"/>
  <c r="M261" i="38"/>
  <c r="T266" i="38"/>
  <c r="P266" i="38"/>
  <c r="L266" i="38"/>
  <c r="S265" i="38"/>
  <c r="O265" i="38"/>
  <c r="K265" i="38"/>
  <c r="R264" i="38"/>
  <c r="N264" i="38"/>
  <c r="U330" i="38"/>
  <c r="Q330" i="38"/>
  <c r="M330" i="38"/>
  <c r="T329" i="38"/>
  <c r="P329" i="38"/>
  <c r="L329" i="38"/>
  <c r="S331" i="38"/>
  <c r="O331" i="38"/>
  <c r="K331" i="38"/>
  <c r="R253" i="38"/>
  <c r="N253" i="38"/>
  <c r="U252" i="38"/>
  <c r="Q252" i="38"/>
  <c r="M252" i="38"/>
  <c r="T251" i="38"/>
  <c r="P251" i="38"/>
  <c r="L251" i="38"/>
  <c r="S250" i="38"/>
  <c r="O250" i="38"/>
  <c r="K250" i="38"/>
  <c r="R249" i="38"/>
  <c r="N249" i="38"/>
  <c r="U248" i="38"/>
  <c r="Q248" i="38"/>
  <c r="M248" i="38"/>
  <c r="T247" i="38"/>
  <c r="P247" i="38"/>
  <c r="L247" i="38"/>
  <c r="S246" i="38"/>
  <c r="O246" i="38"/>
  <c r="K246" i="38"/>
  <c r="R245" i="38"/>
  <c r="N245" i="38"/>
  <c r="U259" i="38"/>
  <c r="Q259" i="38"/>
  <c r="M259" i="38"/>
  <c r="T258" i="38"/>
  <c r="P258" i="38"/>
  <c r="L258" i="38"/>
  <c r="S257" i="38"/>
  <c r="O257" i="38"/>
  <c r="K257" i="38"/>
  <c r="O355" i="38"/>
  <c r="T374" i="38"/>
  <c r="P374" i="38"/>
  <c r="L374" i="38"/>
  <c r="S373" i="38"/>
  <c r="O373" i="38"/>
  <c r="K373" i="38"/>
  <c r="R372" i="38"/>
  <c r="N372" i="38"/>
  <c r="U371" i="38"/>
  <c r="Q371" i="38"/>
  <c r="M371" i="38"/>
  <c r="T406" i="38"/>
  <c r="P406" i="38"/>
  <c r="L406" i="38"/>
  <c r="S407" i="38"/>
  <c r="O407" i="38"/>
  <c r="K407" i="38"/>
  <c r="R402" i="38"/>
  <c r="R401" i="38" s="1"/>
  <c r="N402" i="38"/>
  <c r="K403" i="38"/>
  <c r="O403" i="38"/>
  <c r="S403" i="38"/>
  <c r="T399" i="38"/>
  <c r="P399" i="38"/>
  <c r="L399" i="38"/>
  <c r="S398" i="38"/>
  <c r="O398" i="38"/>
  <c r="K398" i="38"/>
  <c r="R396" i="38"/>
  <c r="N396" i="38"/>
  <c r="U393" i="38"/>
  <c r="Q393" i="38"/>
  <c r="M393" i="38"/>
  <c r="T395" i="38"/>
  <c r="P395" i="38"/>
  <c r="L395" i="38"/>
  <c r="S394" i="38"/>
  <c r="O394" i="38"/>
  <c r="K394" i="38"/>
  <c r="R319" i="38"/>
  <c r="N319" i="38"/>
  <c r="U318" i="38"/>
  <c r="Q318" i="38"/>
  <c r="M318" i="38"/>
  <c r="T317" i="38"/>
  <c r="P317" i="38"/>
  <c r="L317" i="38"/>
  <c r="S316" i="38"/>
  <c r="O316" i="38"/>
  <c r="K316" i="38"/>
  <c r="R315" i="38"/>
  <c r="N315" i="38"/>
  <c r="U314" i="38"/>
  <c r="Q314" i="38"/>
  <c r="M314" i="38"/>
  <c r="T323" i="38"/>
  <c r="P323" i="38"/>
  <c r="L323" i="38"/>
  <c r="S322" i="38"/>
  <c r="O322" i="38"/>
  <c r="K322" i="38"/>
  <c r="R321" i="38"/>
  <c r="N321" i="38"/>
  <c r="U320" i="38"/>
  <c r="Q320" i="38"/>
  <c r="M320" i="38"/>
  <c r="T325" i="38"/>
  <c r="P325" i="38"/>
  <c r="L325" i="38"/>
  <c r="S324" i="38"/>
  <c r="O324" i="38"/>
  <c r="K324" i="38"/>
  <c r="R326" i="38"/>
  <c r="N326" i="38"/>
  <c r="U300" i="38"/>
  <c r="Q300" i="38"/>
  <c r="M300" i="38"/>
  <c r="T299" i="38"/>
  <c r="P299" i="38"/>
  <c r="L299" i="38"/>
  <c r="S298" i="38"/>
  <c r="O298" i="38"/>
  <c r="K298" i="38"/>
  <c r="R297" i="38"/>
  <c r="N297" i="38"/>
  <c r="U296" i="38"/>
  <c r="Q296" i="38"/>
  <c r="M296" i="38"/>
  <c r="T295" i="38"/>
  <c r="P295" i="38"/>
  <c r="L295" i="38"/>
  <c r="S294" i="38"/>
  <c r="O294" i="38"/>
  <c r="K294" i="38"/>
  <c r="R293" i="38"/>
  <c r="N293" i="38"/>
  <c r="U292" i="38"/>
  <c r="Q292" i="38"/>
  <c r="M292" i="38"/>
  <c r="T291" i="38"/>
  <c r="P291" i="38"/>
  <c r="L291" i="38"/>
  <c r="S290" i="38"/>
  <c r="O290" i="38"/>
  <c r="K290" i="38"/>
  <c r="R289" i="38"/>
  <c r="N289" i="38"/>
  <c r="U288" i="38"/>
  <c r="Q288" i="38"/>
  <c r="M288" i="38"/>
  <c r="T287" i="38"/>
  <c r="P287" i="38"/>
  <c r="L287" i="38"/>
  <c r="S286" i="38"/>
  <c r="O286" i="38"/>
  <c r="K286" i="38"/>
  <c r="R285" i="38"/>
  <c r="N285" i="38"/>
  <c r="U284" i="38"/>
  <c r="Q284" i="38"/>
  <c r="M284" i="38"/>
  <c r="T283" i="38"/>
  <c r="P283" i="38"/>
  <c r="L283" i="38"/>
  <c r="S282" i="38"/>
  <c r="O282" i="38"/>
  <c r="K282" i="38"/>
  <c r="R281" i="38"/>
  <c r="N281" i="38"/>
  <c r="U280" i="38"/>
  <c r="Q280" i="38"/>
  <c r="M280" i="38"/>
  <c r="T279" i="38"/>
  <c r="P279" i="38"/>
  <c r="L279" i="38"/>
  <c r="S278" i="38"/>
  <c r="O278" i="38"/>
  <c r="K278" i="38"/>
  <c r="R277" i="38"/>
  <c r="N277" i="38"/>
  <c r="U276" i="38"/>
  <c r="Q276" i="38"/>
  <c r="M276" i="38"/>
  <c r="T275" i="38"/>
  <c r="P275" i="38"/>
  <c r="L275" i="38"/>
  <c r="S274" i="38"/>
  <c r="O274" i="38"/>
  <c r="K274" i="38"/>
  <c r="R273" i="38"/>
  <c r="N273" i="38"/>
  <c r="U272" i="38"/>
  <c r="Q272" i="38"/>
  <c r="M272" i="38"/>
  <c r="T271" i="38"/>
  <c r="P271" i="38"/>
  <c r="L271" i="38"/>
  <c r="S270" i="38"/>
  <c r="O270" i="38"/>
  <c r="K270" i="38"/>
  <c r="R269" i="38"/>
  <c r="N269" i="38"/>
  <c r="U311" i="38"/>
  <c r="Q311" i="38"/>
  <c r="M311" i="38"/>
  <c r="T310" i="38"/>
  <c r="P310" i="38"/>
  <c r="L310" i="38"/>
  <c r="S309" i="38"/>
  <c r="O309" i="38"/>
  <c r="K309" i="38"/>
  <c r="R308" i="38"/>
  <c r="N308" i="38"/>
  <c r="U307" i="38"/>
  <c r="Q307" i="38"/>
  <c r="M307" i="38"/>
  <c r="T306" i="38"/>
  <c r="P306" i="38"/>
  <c r="L306" i="38"/>
  <c r="S305" i="38"/>
  <c r="O305" i="38"/>
  <c r="K305" i="38"/>
  <c r="R304" i="38"/>
  <c r="N304" i="38"/>
  <c r="U303" i="38"/>
  <c r="Q303" i="38"/>
  <c r="M303" i="38"/>
  <c r="T302" i="38"/>
  <c r="P302" i="38"/>
  <c r="L302" i="38"/>
  <c r="S301" i="38"/>
  <c r="O301" i="38"/>
  <c r="K301" i="38"/>
  <c r="R263" i="38"/>
  <c r="N263" i="38"/>
  <c r="U262" i="38"/>
  <c r="Q262" i="38"/>
  <c r="M262" i="38"/>
  <c r="T261" i="38"/>
  <c r="P261" i="38"/>
  <c r="L261" i="38"/>
  <c r="S266" i="38"/>
  <c r="O266" i="38"/>
  <c r="K266" i="38"/>
  <c r="R265" i="38"/>
  <c r="N265" i="38"/>
  <c r="U264" i="38"/>
  <c r="Q264" i="38"/>
  <c r="M264" i="38"/>
  <c r="T330" i="38"/>
  <c r="P330" i="38"/>
  <c r="L330" i="38"/>
  <c r="S329" i="38"/>
  <c r="O329" i="38"/>
  <c r="K329" i="38"/>
  <c r="R331" i="38"/>
  <c r="N331" i="38"/>
  <c r="U253" i="38"/>
  <c r="Q253" i="38"/>
  <c r="M253" i="38"/>
  <c r="T252" i="38"/>
  <c r="P252" i="38"/>
  <c r="L252" i="38"/>
  <c r="S251" i="38"/>
  <c r="O251" i="38"/>
  <c r="K251" i="38"/>
  <c r="R250" i="38"/>
  <c r="N250" i="38"/>
  <c r="U249" i="38"/>
  <c r="Q249" i="38"/>
  <c r="M249" i="38"/>
  <c r="T248" i="38"/>
  <c r="P248" i="38"/>
  <c r="L248" i="38"/>
  <c r="S247" i="38"/>
  <c r="O247" i="38"/>
  <c r="K247" i="38"/>
  <c r="R246" i="38"/>
  <c r="N246" i="38"/>
  <c r="U245" i="38"/>
  <c r="Q245" i="38"/>
  <c r="M245" i="38"/>
  <c r="T259" i="38"/>
  <c r="P259" i="38"/>
  <c r="L259" i="38"/>
  <c r="S258" i="38"/>
  <c r="O258" i="38"/>
  <c r="K258" i="38"/>
  <c r="R257" i="38"/>
  <c r="N257" i="38"/>
  <c r="U256" i="38"/>
  <c r="Q256" i="38"/>
  <c r="M256" i="38"/>
  <c r="T255" i="38"/>
  <c r="P255" i="38"/>
  <c r="P256" i="38"/>
  <c r="S255" i="38"/>
  <c r="M255" i="38"/>
  <c r="T254" i="38"/>
  <c r="P254" i="38"/>
  <c r="L254" i="38"/>
  <c r="S239" i="38"/>
  <c r="O239" i="38"/>
  <c r="K239" i="38"/>
  <c r="R238" i="38"/>
  <c r="N238" i="38"/>
  <c r="U237" i="38"/>
  <c r="Q237" i="38"/>
  <c r="M237" i="38"/>
  <c r="T236" i="38"/>
  <c r="P236" i="38"/>
  <c r="L236" i="38"/>
  <c r="S241" i="38"/>
  <c r="O241" i="38"/>
  <c r="K241" i="38"/>
  <c r="R240" i="38"/>
  <c r="N240" i="38"/>
  <c r="U242" i="38"/>
  <c r="Q242" i="38"/>
  <c r="M242" i="38"/>
  <c r="T230" i="38"/>
  <c r="P230" i="38"/>
  <c r="L230" i="38"/>
  <c r="S229" i="38"/>
  <c r="O229" i="38"/>
  <c r="K229" i="38"/>
  <c r="R234" i="38"/>
  <c r="N234" i="38"/>
  <c r="U233" i="38"/>
  <c r="Q233" i="38"/>
  <c r="M233" i="38"/>
  <c r="T232" i="38"/>
  <c r="P232" i="38"/>
  <c r="L232" i="38"/>
  <c r="S231" i="38"/>
  <c r="O231" i="38"/>
  <c r="K231" i="38"/>
  <c r="R204" i="38"/>
  <c r="N204" i="38"/>
  <c r="U203" i="38"/>
  <c r="Q203" i="38"/>
  <c r="M203" i="38"/>
  <c r="T202" i="38"/>
  <c r="P202" i="38"/>
  <c r="L202" i="38"/>
  <c r="S206" i="38"/>
  <c r="O206" i="38"/>
  <c r="K206" i="38"/>
  <c r="R205" i="38"/>
  <c r="N205" i="38"/>
  <c r="U207" i="38"/>
  <c r="Q207" i="38"/>
  <c r="M207" i="38"/>
  <c r="T196" i="38"/>
  <c r="P196" i="38"/>
  <c r="L196" i="38"/>
  <c r="M197" i="38"/>
  <c r="Q197" i="38"/>
  <c r="U197" i="38"/>
  <c r="R198" i="38"/>
  <c r="N198" i="38"/>
  <c r="U195" i="38"/>
  <c r="Q195" i="38"/>
  <c r="M195" i="38"/>
  <c r="T199" i="38"/>
  <c r="P199" i="38"/>
  <c r="L199" i="38"/>
  <c r="S223" i="38"/>
  <c r="O223" i="38"/>
  <c r="K223" i="38"/>
  <c r="R222" i="38"/>
  <c r="N222" i="38"/>
  <c r="U221" i="38"/>
  <c r="Q221" i="38"/>
  <c r="M221" i="38"/>
  <c r="T220" i="38"/>
  <c r="P220" i="38"/>
  <c r="L220" i="38"/>
  <c r="S224" i="38"/>
  <c r="O224" i="38"/>
  <c r="K224" i="38"/>
  <c r="R212" i="38"/>
  <c r="N212" i="38"/>
  <c r="U213" i="38"/>
  <c r="Q213" i="38"/>
  <c r="M213" i="38"/>
  <c r="T211" i="38"/>
  <c r="P211" i="38"/>
  <c r="L211" i="38"/>
  <c r="S215" i="38"/>
  <c r="O215" i="38"/>
  <c r="K215" i="38"/>
  <c r="R214" i="38"/>
  <c r="N214" i="38"/>
  <c r="U216" i="38"/>
  <c r="Q216" i="38"/>
  <c r="M216" i="38"/>
  <c r="T186" i="38"/>
  <c r="P186" i="38"/>
  <c r="L186" i="38"/>
  <c r="S185" i="38"/>
  <c r="O185" i="38"/>
  <c r="K185" i="38"/>
  <c r="R184" i="38"/>
  <c r="N184" i="38"/>
  <c r="U183" i="38"/>
  <c r="Q183" i="38"/>
  <c r="M183" i="38"/>
  <c r="T182" i="38"/>
  <c r="P182" i="38"/>
  <c r="L182" i="38"/>
  <c r="S181" i="38"/>
  <c r="O181" i="38"/>
  <c r="K181" i="38"/>
  <c r="R180" i="38"/>
  <c r="N180" i="38"/>
  <c r="U179" i="38"/>
  <c r="Q179" i="38"/>
  <c r="M179" i="38"/>
  <c r="T178" i="38"/>
  <c r="P178" i="38"/>
  <c r="L178" i="38"/>
  <c r="S177" i="38"/>
  <c r="O177" i="38"/>
  <c r="K177" i="38"/>
  <c r="R176" i="38"/>
  <c r="N176" i="38"/>
  <c r="U175" i="38"/>
  <c r="Q175" i="38"/>
  <c r="M175" i="38"/>
  <c r="T174" i="38"/>
  <c r="P174" i="38"/>
  <c r="L174" i="38"/>
  <c r="S173" i="38"/>
  <c r="O173" i="38"/>
  <c r="K173" i="38"/>
  <c r="R172" i="38"/>
  <c r="N172" i="38"/>
  <c r="U171" i="38"/>
  <c r="Q171" i="38"/>
  <c r="M171" i="38"/>
  <c r="T190" i="38"/>
  <c r="P190" i="38"/>
  <c r="L190" i="38"/>
  <c r="S189" i="38"/>
  <c r="O189" i="38"/>
  <c r="K189" i="38"/>
  <c r="R188" i="38"/>
  <c r="N188" i="38"/>
  <c r="U187" i="38"/>
  <c r="Q187" i="38"/>
  <c r="M187" i="38"/>
  <c r="T167" i="38"/>
  <c r="P167" i="38"/>
  <c r="L167" i="38"/>
  <c r="S168" i="38"/>
  <c r="O168" i="38"/>
  <c r="K168" i="38"/>
  <c r="R169" i="38"/>
  <c r="N169" i="38"/>
  <c r="U170" i="38"/>
  <c r="Q170" i="38"/>
  <c r="M170" i="38"/>
  <c r="T159" i="38"/>
  <c r="P159" i="38"/>
  <c r="L159" i="38"/>
  <c r="S158" i="38"/>
  <c r="O158" i="38"/>
  <c r="K158" i="38"/>
  <c r="R157" i="38"/>
  <c r="N157" i="38"/>
  <c r="U156" i="38"/>
  <c r="Q156" i="38"/>
  <c r="M156" i="38"/>
  <c r="T155" i="38"/>
  <c r="P155" i="38"/>
  <c r="L155" i="38"/>
  <c r="S154" i="38"/>
  <c r="O154" i="38"/>
  <c r="K154" i="38"/>
  <c r="R153" i="38"/>
  <c r="N153" i="38"/>
  <c r="U152" i="38"/>
  <c r="Q152" i="38"/>
  <c r="M152" i="38"/>
  <c r="T162" i="38"/>
  <c r="P162" i="38"/>
  <c r="L162" i="38"/>
  <c r="S161" i="38"/>
  <c r="O161" i="38"/>
  <c r="K161" i="38"/>
  <c r="R160" i="38"/>
  <c r="N160" i="38"/>
  <c r="U141" i="38"/>
  <c r="Q141" i="38"/>
  <c r="M141" i="38"/>
  <c r="T140" i="38"/>
  <c r="P140" i="38"/>
  <c r="L140" i="38"/>
  <c r="M142" i="38"/>
  <c r="Q142" i="38"/>
  <c r="U142" i="38"/>
  <c r="N143" i="38"/>
  <c r="R143" i="38"/>
  <c r="U144" i="38"/>
  <c r="Q144" i="38"/>
  <c r="M144" i="38"/>
  <c r="T139" i="38"/>
  <c r="P139" i="38"/>
  <c r="L139" i="38"/>
  <c r="S146" i="38"/>
  <c r="O146" i="38"/>
  <c r="K146" i="38"/>
  <c r="R145" i="38"/>
  <c r="N145" i="38"/>
  <c r="U147" i="38"/>
  <c r="Q147" i="38"/>
  <c r="M147" i="38"/>
  <c r="T138" i="38"/>
  <c r="P138" i="38"/>
  <c r="L138" i="38"/>
  <c r="S137" i="38"/>
  <c r="O137" i="38"/>
  <c r="K137" i="38"/>
  <c r="R136" i="38"/>
  <c r="N136" i="38"/>
  <c r="U148" i="38"/>
  <c r="Q148" i="38"/>
  <c r="M148" i="38"/>
  <c r="T126" i="38"/>
  <c r="P126" i="38"/>
  <c r="L126" i="38"/>
  <c r="S125" i="38"/>
  <c r="O125" i="38"/>
  <c r="K125" i="38"/>
  <c r="R124" i="38"/>
  <c r="N124" i="38"/>
  <c r="U123" i="38"/>
  <c r="Q123" i="38"/>
  <c r="M123" i="38"/>
  <c r="T122" i="38"/>
  <c r="P122" i="38"/>
  <c r="L122" i="38"/>
  <c r="S121" i="38"/>
  <c r="O121" i="38"/>
  <c r="K121" i="38"/>
  <c r="R129" i="38"/>
  <c r="N129" i="38"/>
  <c r="U128" i="38"/>
  <c r="Q128" i="38"/>
  <c r="M128" i="38"/>
  <c r="T127" i="38"/>
  <c r="P127" i="38"/>
  <c r="L127" i="38"/>
  <c r="S131" i="38"/>
  <c r="O131" i="38"/>
  <c r="K131" i="38"/>
  <c r="R130" i="38"/>
  <c r="N130" i="38"/>
  <c r="U113" i="38"/>
  <c r="Q113" i="38"/>
  <c r="M113" i="38"/>
  <c r="T112" i="38"/>
  <c r="P112" i="38"/>
  <c r="L112" i="38"/>
  <c r="S111" i="38"/>
  <c r="O111" i="38"/>
  <c r="K111" i="38"/>
  <c r="R110" i="38"/>
  <c r="N110" i="38"/>
  <c r="U115" i="38"/>
  <c r="Q115" i="38"/>
  <c r="M115" i="38"/>
  <c r="T114" i="38"/>
  <c r="P114" i="38"/>
  <c r="L114" i="38"/>
  <c r="S116" i="38"/>
  <c r="O116" i="38"/>
  <c r="K116" i="38"/>
  <c r="R109" i="38"/>
  <c r="N109" i="38"/>
  <c r="U117" i="38"/>
  <c r="Q117" i="38"/>
  <c r="M117" i="38"/>
  <c r="T75" i="38"/>
  <c r="P75" i="38"/>
  <c r="L75" i="38"/>
  <c r="S74" i="38"/>
  <c r="O74" i="38"/>
  <c r="K74" i="38"/>
  <c r="R76" i="38"/>
  <c r="N76" i="38"/>
  <c r="U81" i="38"/>
  <c r="Q81" i="38"/>
  <c r="M81" i="38"/>
  <c r="L82" i="38"/>
  <c r="P82" i="38"/>
  <c r="T82" i="38"/>
  <c r="S79" i="38"/>
  <c r="O79" i="38"/>
  <c r="K79" i="38"/>
  <c r="R77" i="38"/>
  <c r="N77" i="38"/>
  <c r="U78" i="38"/>
  <c r="Q78" i="38"/>
  <c r="M78" i="38"/>
  <c r="T70" i="38"/>
  <c r="P70" i="38"/>
  <c r="L70" i="38"/>
  <c r="M71" i="38"/>
  <c r="Q71" i="38"/>
  <c r="U71" i="38"/>
  <c r="R69" i="38"/>
  <c r="N69" i="38"/>
  <c r="U68" i="38"/>
  <c r="Q68" i="38"/>
  <c r="M68" i="38"/>
  <c r="L72" i="38"/>
  <c r="P72" i="38"/>
  <c r="T72" i="38"/>
  <c r="S63" i="38"/>
  <c r="O63" i="38"/>
  <c r="K63" i="38"/>
  <c r="R64" i="38"/>
  <c r="N64" i="38"/>
  <c r="U61" i="38"/>
  <c r="Q61" i="38"/>
  <c r="M61" i="38"/>
  <c r="T101" i="38"/>
  <c r="P101" i="38"/>
  <c r="L101" i="38"/>
  <c r="S100" i="38"/>
  <c r="O100" i="38"/>
  <c r="K100" i="38"/>
  <c r="R99" i="38"/>
  <c r="N99" i="38"/>
  <c r="U98" i="38"/>
  <c r="Q98" i="38"/>
  <c r="M98" i="38"/>
  <c r="T97" i="38"/>
  <c r="P97" i="38"/>
  <c r="L97" i="38"/>
  <c r="S102" i="38"/>
  <c r="O102" i="38"/>
  <c r="K102" i="38"/>
  <c r="R103" i="38"/>
  <c r="N103" i="38"/>
  <c r="U104" i="38"/>
  <c r="Q104" i="38"/>
  <c r="M104" i="38"/>
  <c r="T105" i="38"/>
  <c r="P105" i="38"/>
  <c r="L105" i="38"/>
  <c r="S106" i="38"/>
  <c r="S95" i="38" s="1"/>
  <c r="S94" i="38" s="1"/>
  <c r="O106" i="38"/>
  <c r="O95" i="38" s="1"/>
  <c r="O94" i="38" s="1"/>
  <c r="K106" i="38"/>
  <c r="K95" i="38" s="1"/>
  <c r="K94" i="38" s="1"/>
  <c r="S96" i="38"/>
  <c r="N96" i="38"/>
  <c r="T51" i="38"/>
  <c r="P51" i="38"/>
  <c r="L51" i="38"/>
  <c r="S52" i="38"/>
  <c r="O52" i="38"/>
  <c r="K52" i="38"/>
  <c r="R53" i="38"/>
  <c r="N53" i="38"/>
  <c r="U54" i="38"/>
  <c r="Q54" i="38"/>
  <c r="M54" i="38"/>
  <c r="T55" i="38"/>
  <c r="P55" i="38"/>
  <c r="L55" i="38"/>
  <c r="S56" i="38"/>
  <c r="O56" i="38"/>
  <c r="K56" i="38"/>
  <c r="R57" i="38"/>
  <c r="N57" i="38"/>
  <c r="U58" i="38"/>
  <c r="Q58" i="38"/>
  <c r="M58" i="38"/>
  <c r="L59" i="38"/>
  <c r="P59" i="38"/>
  <c r="T59" i="38"/>
  <c r="S43" i="38"/>
  <c r="O43" i="38"/>
  <c r="K43" i="38"/>
  <c r="R44" i="38"/>
  <c r="N44" i="38"/>
  <c r="U45" i="38"/>
  <c r="Q45" i="38"/>
  <c r="M45" i="38"/>
  <c r="T46" i="38"/>
  <c r="P46" i="38"/>
  <c r="L46" i="38"/>
  <c r="S47" i="38"/>
  <c r="O47" i="38"/>
  <c r="K47" i="38"/>
  <c r="R48" i="38"/>
  <c r="N48" i="38"/>
  <c r="U49" i="38"/>
  <c r="Q49" i="38"/>
  <c r="M49" i="38"/>
  <c r="T40" i="38"/>
  <c r="P40" i="38"/>
  <c r="L40" i="38"/>
  <c r="S41" i="38"/>
  <c r="O41" i="38"/>
  <c r="K41" i="38"/>
  <c r="R38" i="38"/>
  <c r="N38" i="38"/>
  <c r="U36" i="38"/>
  <c r="Q36" i="38"/>
  <c r="M36" i="38"/>
  <c r="T37" i="38"/>
  <c r="P37" i="38"/>
  <c r="L37" i="38"/>
  <c r="Q33" i="38"/>
  <c r="M33" i="38"/>
  <c r="U89" i="38"/>
  <c r="Q89" i="38"/>
  <c r="M89" i="38"/>
  <c r="T90" i="38"/>
  <c r="P90" i="38"/>
  <c r="L90" i="38"/>
  <c r="S91" i="38"/>
  <c r="O91" i="38"/>
  <c r="K91" i="38"/>
  <c r="R92" i="38"/>
  <c r="N92" i="38"/>
  <c r="U86" i="38"/>
  <c r="Q86" i="38"/>
  <c r="M86" i="38"/>
  <c r="T87" i="38"/>
  <c r="P87" i="38"/>
  <c r="L87" i="38"/>
  <c r="M88" i="38"/>
  <c r="Q88" i="38"/>
  <c r="U88" i="38"/>
  <c r="R31" i="38"/>
  <c r="N31" i="38"/>
  <c r="K32" i="38"/>
  <c r="O32" i="38"/>
  <c r="S32" i="38"/>
  <c r="U29" i="38"/>
  <c r="P29" i="38"/>
  <c r="L29" i="38"/>
  <c r="R30" i="38"/>
  <c r="N30" i="38"/>
  <c r="U27" i="38"/>
  <c r="Q27" i="38"/>
  <c r="M27" i="38"/>
  <c r="L28" i="38"/>
  <c r="P28" i="38"/>
  <c r="T28" i="38"/>
  <c r="S26" i="38"/>
  <c r="O26" i="38"/>
  <c r="K26" i="38"/>
  <c r="S24" i="38"/>
  <c r="O24" i="38"/>
  <c r="T23" i="38"/>
  <c r="P23" i="38"/>
  <c r="L23" i="38"/>
  <c r="S22" i="38"/>
  <c r="O22" i="38"/>
  <c r="K22" i="38"/>
  <c r="R21" i="38"/>
  <c r="N21" i="38"/>
  <c r="K19" i="38"/>
  <c r="O19" i="38"/>
  <c r="S19" i="38"/>
  <c r="T17" i="38"/>
  <c r="P17" i="38"/>
  <c r="L17" i="38"/>
  <c r="M16" i="38"/>
  <c r="Q16" i="38"/>
  <c r="U16" i="38"/>
  <c r="R15" i="38"/>
  <c r="N15" i="38"/>
  <c r="U14" i="38"/>
  <c r="Q14" i="38"/>
  <c r="M14" i="38"/>
  <c r="T13" i="38"/>
  <c r="P13" i="38"/>
  <c r="L13" i="38"/>
  <c r="S12" i="38"/>
  <c r="O12" i="38"/>
  <c r="K12" i="38"/>
  <c r="N20" i="38"/>
  <c r="R20" i="38"/>
  <c r="T12" i="38"/>
  <c r="P12" i="38"/>
  <c r="O20" i="38"/>
  <c r="R256" i="38"/>
  <c r="U255" i="38"/>
  <c r="N255" i="38"/>
  <c r="U254" i="38"/>
  <c r="Q254" i="38"/>
  <c r="M254" i="38"/>
  <c r="T366" i="38"/>
  <c r="L366" i="38"/>
  <c r="O365" i="38"/>
  <c r="R364" i="38"/>
  <c r="U363" i="38"/>
  <c r="M363" i="38"/>
  <c r="P362" i="38"/>
  <c r="S361" i="38"/>
  <c r="K361" i="38"/>
  <c r="N360" i="38"/>
  <c r="Q359" i="38"/>
  <c r="T358" i="38"/>
  <c r="L358" i="38"/>
  <c r="O357" i="38"/>
  <c r="R356" i="38"/>
  <c r="U355" i="38"/>
  <c r="S374" i="38"/>
  <c r="K374" i="38"/>
  <c r="R373" i="38"/>
  <c r="N373" i="38"/>
  <c r="U372" i="38"/>
  <c r="Q372" i="38"/>
  <c r="M372" i="38"/>
  <c r="T371" i="38"/>
  <c r="P371" i="38"/>
  <c r="L371" i="38"/>
  <c r="S406" i="38"/>
  <c r="O406" i="38"/>
  <c r="K406" i="38"/>
  <c r="R407" i="38"/>
  <c r="N407" i="38"/>
  <c r="U402" i="38"/>
  <c r="Q402" i="38"/>
  <c r="M402" i="38"/>
  <c r="L403" i="38"/>
  <c r="P403" i="38"/>
  <c r="T403" i="38"/>
  <c r="S399" i="38"/>
  <c r="O399" i="38"/>
  <c r="K399" i="38"/>
  <c r="R398" i="38"/>
  <c r="N398" i="38"/>
  <c r="U396" i="38"/>
  <c r="Q396" i="38"/>
  <c r="M396" i="38"/>
  <c r="T393" i="38"/>
  <c r="P393" i="38"/>
  <c r="L393" i="38"/>
  <c r="S395" i="38"/>
  <c r="O395" i="38"/>
  <c r="K395" i="38"/>
  <c r="R394" i="38"/>
  <c r="N394" i="38"/>
  <c r="U319" i="38"/>
  <c r="Q319" i="38"/>
  <c r="M319" i="38"/>
  <c r="T318" i="38"/>
  <c r="P318" i="38"/>
  <c r="L318" i="38"/>
  <c r="S317" i="38"/>
  <c r="O317" i="38"/>
  <c r="K317" i="38"/>
  <c r="R316" i="38"/>
  <c r="N316" i="38"/>
  <c r="U315" i="38"/>
  <c r="Q315" i="38"/>
  <c r="M315" i="38"/>
  <c r="T314" i="38"/>
  <c r="P314" i="38"/>
  <c r="L314" i="38"/>
  <c r="S323" i="38"/>
  <c r="O323" i="38"/>
  <c r="K323" i="38"/>
  <c r="R322" i="38"/>
  <c r="N322" i="38"/>
  <c r="U321" i="38"/>
  <c r="Q321" i="38"/>
  <c r="M321" i="38"/>
  <c r="T320" i="38"/>
  <c r="P320" i="38"/>
  <c r="L320" i="38"/>
  <c r="S325" i="38"/>
  <c r="O325" i="38"/>
  <c r="K325" i="38"/>
  <c r="R324" i="38"/>
  <c r="N324" i="38"/>
  <c r="U326" i="38"/>
  <c r="Q326" i="38"/>
  <c r="M326" i="38"/>
  <c r="T300" i="38"/>
  <c r="P300" i="38"/>
  <c r="L300" i="38"/>
  <c r="S299" i="38"/>
  <c r="O299" i="38"/>
  <c r="K299" i="38"/>
  <c r="R298" i="38"/>
  <c r="N298" i="38"/>
  <c r="U297" i="38"/>
  <c r="Q297" i="38"/>
  <c r="M297" i="38"/>
  <c r="T296" i="38"/>
  <c r="P296" i="38"/>
  <c r="L296" i="38"/>
  <c r="S295" i="38"/>
  <c r="O295" i="38"/>
  <c r="K295" i="38"/>
  <c r="R294" i="38"/>
  <c r="N294" i="38"/>
  <c r="U293" i="38"/>
  <c r="Q293" i="38"/>
  <c r="M293" i="38"/>
  <c r="T292" i="38"/>
  <c r="P292" i="38"/>
  <c r="L292" i="38"/>
  <c r="S291" i="38"/>
  <c r="O291" i="38"/>
  <c r="K291" i="38"/>
  <c r="R290" i="38"/>
  <c r="N290" i="38"/>
  <c r="U289" i="38"/>
  <c r="Q289" i="38"/>
  <c r="M289" i="38"/>
  <c r="T288" i="38"/>
  <c r="P288" i="38"/>
  <c r="L288" i="38"/>
  <c r="S287" i="38"/>
  <c r="O287" i="38"/>
  <c r="K287" i="38"/>
  <c r="R286" i="38"/>
  <c r="N286" i="38"/>
  <c r="U285" i="38"/>
  <c r="Q285" i="38"/>
  <c r="M285" i="38"/>
  <c r="T284" i="38"/>
  <c r="P284" i="38"/>
  <c r="L284" i="38"/>
  <c r="S283" i="38"/>
  <c r="O283" i="38"/>
  <c r="K283" i="38"/>
  <c r="R282" i="38"/>
  <c r="N282" i="38"/>
  <c r="U281" i="38"/>
  <c r="Q281" i="38"/>
  <c r="M281" i="38"/>
  <c r="T280" i="38"/>
  <c r="P280" i="38"/>
  <c r="L280" i="38"/>
  <c r="S279" i="38"/>
  <c r="O279" i="38"/>
  <c r="K279" i="38"/>
  <c r="R278" i="38"/>
  <c r="N278" i="38"/>
  <c r="U277" i="38"/>
  <c r="Q277" i="38"/>
  <c r="M277" i="38"/>
  <c r="T276" i="38"/>
  <c r="P276" i="38"/>
  <c r="L276" i="38"/>
  <c r="S275" i="38"/>
  <c r="O275" i="38"/>
  <c r="K275" i="38"/>
  <c r="R274" i="38"/>
  <c r="N274" i="38"/>
  <c r="U273" i="38"/>
  <c r="Q273" i="38"/>
  <c r="M273" i="38"/>
  <c r="T272" i="38"/>
  <c r="P272" i="38"/>
  <c r="L272" i="38"/>
  <c r="S271" i="38"/>
  <c r="O271" i="38"/>
  <c r="K271" i="38"/>
  <c r="R270" i="38"/>
  <c r="N270" i="38"/>
  <c r="U269" i="38"/>
  <c r="Q269" i="38"/>
  <c r="M269" i="38"/>
  <c r="T311" i="38"/>
  <c r="P311" i="38"/>
  <c r="L311" i="38"/>
  <c r="S310" i="38"/>
  <c r="O310" i="38"/>
  <c r="K310" i="38"/>
  <c r="R309" i="38"/>
  <c r="N309" i="38"/>
  <c r="U308" i="38"/>
  <c r="Q308" i="38"/>
  <c r="M308" i="38"/>
  <c r="T307" i="38"/>
  <c r="P307" i="38"/>
  <c r="L307" i="38"/>
  <c r="S306" i="38"/>
  <c r="O306" i="38"/>
  <c r="K306" i="38"/>
  <c r="R305" i="38"/>
  <c r="N305" i="38"/>
  <c r="U304" i="38"/>
  <c r="Q304" i="38"/>
  <c r="M304" i="38"/>
  <c r="T303" i="38"/>
  <c r="P303" i="38"/>
  <c r="L303" i="38"/>
  <c r="S302" i="38"/>
  <c r="O302" i="38"/>
  <c r="K302" i="38"/>
  <c r="R301" i="38"/>
  <c r="N301" i="38"/>
  <c r="U263" i="38"/>
  <c r="Q263" i="38"/>
  <c r="M263" i="38"/>
  <c r="T262" i="38"/>
  <c r="P262" i="38"/>
  <c r="L262" i="38"/>
  <c r="S261" i="38"/>
  <c r="O261" i="38"/>
  <c r="K261" i="38"/>
  <c r="R266" i="38"/>
  <c r="N266" i="38"/>
  <c r="U265" i="38"/>
  <c r="Q265" i="38"/>
  <c r="M265" i="38"/>
  <c r="T264" i="38"/>
  <c r="P264" i="38"/>
  <c r="L264" i="38"/>
  <c r="S330" i="38"/>
  <c r="O330" i="38"/>
  <c r="K330" i="38"/>
  <c r="R329" i="38"/>
  <c r="N329" i="38"/>
  <c r="U331" i="38"/>
  <c r="Q331" i="38"/>
  <c r="M331" i="38"/>
  <c r="T253" i="38"/>
  <c r="P253" i="38"/>
  <c r="L253" i="38"/>
  <c r="S252" i="38"/>
  <c r="O252" i="38"/>
  <c r="K252" i="38"/>
  <c r="R251" i="38"/>
  <c r="N251" i="38"/>
  <c r="U250" i="38"/>
  <c r="Q250" i="38"/>
  <c r="M250" i="38"/>
  <c r="T249" i="38"/>
  <c r="P249" i="38"/>
  <c r="L249" i="38"/>
  <c r="S248" i="38"/>
  <c r="O248" i="38"/>
  <c r="K248" i="38"/>
  <c r="R247" i="38"/>
  <c r="N247" i="38"/>
  <c r="U246" i="38"/>
  <c r="Q246" i="38"/>
  <c r="M246" i="38"/>
  <c r="T245" i="38"/>
  <c r="P245" i="38"/>
  <c r="L245" i="38"/>
  <c r="S259" i="38"/>
  <c r="O259" i="38"/>
  <c r="K259" i="38"/>
  <c r="R258" i="38"/>
  <c r="N258" i="38"/>
  <c r="U257" i="38"/>
  <c r="Q257" i="38"/>
  <c r="M257" i="38"/>
  <c r="S355" i="38"/>
  <c r="K355" i="38"/>
  <c r="R374" i="38"/>
  <c r="N374" i="38"/>
  <c r="U373" i="38"/>
  <c r="Q373" i="38"/>
  <c r="M373" i="38"/>
  <c r="T372" i="38"/>
  <c r="P372" i="38"/>
  <c r="L372" i="38"/>
  <c r="S371" i="38"/>
  <c r="O371" i="38"/>
  <c r="K371" i="38"/>
  <c r="R406" i="38"/>
  <c r="N406" i="38"/>
  <c r="U407" i="38"/>
  <c r="Q407" i="38"/>
  <c r="M407" i="38"/>
  <c r="T402" i="38"/>
  <c r="P402" i="38"/>
  <c r="L402" i="38"/>
  <c r="M403" i="38"/>
  <c r="Q403" i="38"/>
  <c r="U403" i="38"/>
  <c r="R399" i="38"/>
  <c r="N399" i="38"/>
  <c r="U398" i="38"/>
  <c r="Q398" i="38"/>
  <c r="M398" i="38"/>
  <c r="T396" i="38"/>
  <c r="P396" i="38"/>
  <c r="L396" i="38"/>
  <c r="S393" i="38"/>
  <c r="O393" i="38"/>
  <c r="K393" i="38"/>
  <c r="R395" i="38"/>
  <c r="N395" i="38"/>
  <c r="U394" i="38"/>
  <c r="Q394" i="38"/>
  <c r="M394" i="38"/>
  <c r="T319" i="38"/>
  <c r="P319" i="38"/>
  <c r="L319" i="38"/>
  <c r="S318" i="38"/>
  <c r="O318" i="38"/>
  <c r="K318" i="38"/>
  <c r="R317" i="38"/>
  <c r="N317" i="38"/>
  <c r="U316" i="38"/>
  <c r="Q316" i="38"/>
  <c r="M316" i="38"/>
  <c r="T315" i="38"/>
  <c r="P315" i="38"/>
  <c r="L315" i="38"/>
  <c r="S314" i="38"/>
  <c r="O314" i="38"/>
  <c r="K314" i="38"/>
  <c r="R323" i="38"/>
  <c r="N323" i="38"/>
  <c r="U322" i="38"/>
  <c r="Q322" i="38"/>
  <c r="M322" i="38"/>
  <c r="T321" i="38"/>
  <c r="P321" i="38"/>
  <c r="L321" i="38"/>
  <c r="S320" i="38"/>
  <c r="O320" i="38"/>
  <c r="K320" i="38"/>
  <c r="R325" i="38"/>
  <c r="N325" i="38"/>
  <c r="U324" i="38"/>
  <c r="Q324" i="38"/>
  <c r="M324" i="38"/>
  <c r="T326" i="38"/>
  <c r="P326" i="38"/>
  <c r="L326" i="38"/>
  <c r="S300" i="38"/>
  <c r="O300" i="38"/>
  <c r="K300" i="38"/>
  <c r="R299" i="38"/>
  <c r="N299" i="38"/>
  <c r="U298" i="38"/>
  <c r="Q298" i="38"/>
  <c r="M298" i="38"/>
  <c r="T297" i="38"/>
  <c r="P297" i="38"/>
  <c r="L297" i="38"/>
  <c r="S296" i="38"/>
  <c r="O296" i="38"/>
  <c r="K296" i="38"/>
  <c r="R295" i="38"/>
  <c r="N295" i="38"/>
  <c r="U294" i="38"/>
  <c r="Q294" i="38"/>
  <c r="M294" i="38"/>
  <c r="T293" i="38"/>
  <c r="P293" i="38"/>
  <c r="L293" i="38"/>
  <c r="S292" i="38"/>
  <c r="O292" i="38"/>
  <c r="K292" i="38"/>
  <c r="R291" i="38"/>
  <c r="N291" i="38"/>
  <c r="U290" i="38"/>
  <c r="Q290" i="38"/>
  <c r="M290" i="38"/>
  <c r="T289" i="38"/>
  <c r="P289" i="38"/>
  <c r="L289" i="38"/>
  <c r="S288" i="38"/>
  <c r="O288" i="38"/>
  <c r="K288" i="38"/>
  <c r="R287" i="38"/>
  <c r="N287" i="38"/>
  <c r="U286" i="38"/>
  <c r="Q286" i="38"/>
  <c r="M286" i="38"/>
  <c r="T285" i="38"/>
  <c r="P285" i="38"/>
  <c r="L285" i="38"/>
  <c r="S284" i="38"/>
  <c r="O284" i="38"/>
  <c r="K284" i="38"/>
  <c r="R283" i="38"/>
  <c r="N283" i="38"/>
  <c r="U282" i="38"/>
  <c r="Q282" i="38"/>
  <c r="M282" i="38"/>
  <c r="T281" i="38"/>
  <c r="P281" i="38"/>
  <c r="L281" i="38"/>
  <c r="S280" i="38"/>
  <c r="O280" i="38"/>
  <c r="K280" i="38"/>
  <c r="R279" i="38"/>
  <c r="N279" i="38"/>
  <c r="U278" i="38"/>
  <c r="Q278" i="38"/>
  <c r="M278" i="38"/>
  <c r="T277" i="38"/>
  <c r="P277" i="38"/>
  <c r="L277" i="38"/>
  <c r="S276" i="38"/>
  <c r="O276" i="38"/>
  <c r="K276" i="38"/>
  <c r="R275" i="38"/>
  <c r="N275" i="38"/>
  <c r="U274" i="38"/>
  <c r="Q274" i="38"/>
  <c r="M274" i="38"/>
  <c r="T273" i="38"/>
  <c r="P273" i="38"/>
  <c r="L273" i="38"/>
  <c r="S272" i="38"/>
  <c r="O272" i="38"/>
  <c r="K272" i="38"/>
  <c r="R271" i="38"/>
  <c r="N271" i="38"/>
  <c r="U270" i="38"/>
  <c r="Q270" i="38"/>
  <c r="M270" i="38"/>
  <c r="T269" i="38"/>
  <c r="P269" i="38"/>
  <c r="L269" i="38"/>
  <c r="S311" i="38"/>
  <c r="O311" i="38"/>
  <c r="K311" i="38"/>
  <c r="R310" i="38"/>
  <c r="N310" i="38"/>
  <c r="U309" i="38"/>
  <c r="Q309" i="38"/>
  <c r="M309" i="38"/>
  <c r="T308" i="38"/>
  <c r="P308" i="38"/>
  <c r="L308" i="38"/>
  <c r="S307" i="38"/>
  <c r="O307" i="38"/>
  <c r="K307" i="38"/>
  <c r="R306" i="38"/>
  <c r="N306" i="38"/>
  <c r="U305" i="38"/>
  <c r="Q305" i="38"/>
  <c r="M305" i="38"/>
  <c r="T304" i="38"/>
  <c r="P304" i="38"/>
  <c r="L304" i="38"/>
  <c r="S303" i="38"/>
  <c r="O303" i="38"/>
  <c r="K303" i="38"/>
  <c r="R302" i="38"/>
  <c r="N302" i="38"/>
  <c r="U301" i="38"/>
  <c r="Q301" i="38"/>
  <c r="M301" i="38"/>
  <c r="T263" i="38"/>
  <c r="P263" i="38"/>
  <c r="L263" i="38"/>
  <c r="S262" i="38"/>
  <c r="O262" i="38"/>
  <c r="K262" i="38"/>
  <c r="R261" i="38"/>
  <c r="N261" i="38"/>
  <c r="U266" i="38"/>
  <c r="Q266" i="38"/>
  <c r="M266" i="38"/>
  <c r="T265" i="38"/>
  <c r="P265" i="38"/>
  <c r="L265" i="38"/>
  <c r="S264" i="38"/>
  <c r="O264" i="38"/>
  <c r="K264" i="38"/>
  <c r="R330" i="38"/>
  <c r="N330" i="38"/>
  <c r="U329" i="38"/>
  <c r="Q329" i="38"/>
  <c r="M329" i="38"/>
  <c r="T331" i="38"/>
  <c r="P331" i="38"/>
  <c r="L331" i="38"/>
  <c r="S253" i="38"/>
  <c r="O253" i="38"/>
  <c r="K253" i="38"/>
  <c r="R252" i="38"/>
  <c r="N252" i="38"/>
  <c r="U251" i="38"/>
  <c r="Q251" i="38"/>
  <c r="M251" i="38"/>
  <c r="T250" i="38"/>
  <c r="P250" i="38"/>
  <c r="L250" i="38"/>
  <c r="S249" i="38"/>
  <c r="O249" i="38"/>
  <c r="K249" i="38"/>
  <c r="R248" i="38"/>
  <c r="N248" i="38"/>
  <c r="U247" i="38"/>
  <c r="Q247" i="38"/>
  <c r="M247" i="38"/>
  <c r="T246" i="38"/>
  <c r="P246" i="38"/>
  <c r="L246" i="38"/>
  <c r="S245" i="38"/>
  <c r="O245" i="38"/>
  <c r="K245" i="38"/>
  <c r="R259" i="38"/>
  <c r="N259" i="38"/>
  <c r="U258" i="38"/>
  <c r="Q258" i="38"/>
  <c r="M258" i="38"/>
  <c r="T257" i="38"/>
  <c r="P257" i="38"/>
  <c r="L257" i="38"/>
  <c r="S256" i="38"/>
  <c r="O256" i="38"/>
  <c r="K256" i="38"/>
  <c r="R255" i="38"/>
  <c r="T256" i="38"/>
  <c r="L256" i="38"/>
  <c r="O255" i="38"/>
  <c r="K255" i="38"/>
  <c r="R254" i="38"/>
  <c r="N254" i="38"/>
  <c r="U239" i="38"/>
  <c r="Q239" i="38"/>
  <c r="M239" i="38"/>
  <c r="T238" i="38"/>
  <c r="P238" i="38"/>
  <c r="L238" i="38"/>
  <c r="S237" i="38"/>
  <c r="O237" i="38"/>
  <c r="K237" i="38"/>
  <c r="R236" i="38"/>
  <c r="N236" i="38"/>
  <c r="U241" i="38"/>
  <c r="Q241" i="38"/>
  <c r="M241" i="38"/>
  <c r="T240" i="38"/>
  <c r="P240" i="38"/>
  <c r="L240" i="38"/>
  <c r="S242" i="38"/>
  <c r="O242" i="38"/>
  <c r="K242" i="38"/>
  <c r="R230" i="38"/>
  <c r="N230" i="38"/>
  <c r="U229" i="38"/>
  <c r="Q229" i="38"/>
  <c r="M229" i="38"/>
  <c r="T234" i="38"/>
  <c r="P234" i="38"/>
  <c r="L234" i="38"/>
  <c r="S233" i="38"/>
  <c r="O233" i="38"/>
  <c r="K233" i="38"/>
  <c r="R232" i="38"/>
  <c r="N232" i="38"/>
  <c r="U231" i="38"/>
  <c r="Q231" i="38"/>
  <c r="M231" i="38"/>
  <c r="T204" i="38"/>
  <c r="P204" i="38"/>
  <c r="L204" i="38"/>
  <c r="S203" i="38"/>
  <c r="O203" i="38"/>
  <c r="K203" i="38"/>
  <c r="R202" i="38"/>
  <c r="N202" i="38"/>
  <c r="U206" i="38"/>
  <c r="Q206" i="38"/>
  <c r="M206" i="38"/>
  <c r="T205" i="38"/>
  <c r="P205" i="38"/>
  <c r="L205" i="38"/>
  <c r="S207" i="38"/>
  <c r="O207" i="38"/>
  <c r="K207" i="38"/>
  <c r="R196" i="38"/>
  <c r="N196" i="38"/>
  <c r="K197" i="38"/>
  <c r="O197" i="38"/>
  <c r="S197" i="38"/>
  <c r="T198" i="38"/>
  <c r="P198" i="38"/>
  <c r="L198" i="38"/>
  <c r="S195" i="38"/>
  <c r="O195" i="38"/>
  <c r="K195" i="38"/>
  <c r="R199" i="38"/>
  <c r="N199" i="38"/>
  <c r="U223" i="38"/>
  <c r="Q223" i="38"/>
  <c r="M223" i="38"/>
  <c r="T222" i="38"/>
  <c r="P222" i="38"/>
  <c r="L222" i="38"/>
  <c r="S221" i="38"/>
  <c r="O221" i="38"/>
  <c r="K221" i="38"/>
  <c r="R220" i="38"/>
  <c r="N220" i="38"/>
  <c r="U224" i="38"/>
  <c r="Q224" i="38"/>
  <c r="M224" i="38"/>
  <c r="T212" i="38"/>
  <c r="P212" i="38"/>
  <c r="L212" i="38"/>
  <c r="S213" i="38"/>
  <c r="O213" i="38"/>
  <c r="K213" i="38"/>
  <c r="R211" i="38"/>
  <c r="N211" i="38"/>
  <c r="U215" i="38"/>
  <c r="Q215" i="38"/>
  <c r="M215" i="38"/>
  <c r="T214" i="38"/>
  <c r="P214" i="38"/>
  <c r="L214" i="38"/>
  <c r="S216" i="38"/>
  <c r="O216" i="38"/>
  <c r="K216" i="38"/>
  <c r="R186" i="38"/>
  <c r="N186" i="38"/>
  <c r="U185" i="38"/>
  <c r="Q185" i="38"/>
  <c r="M185" i="38"/>
  <c r="T184" i="38"/>
  <c r="P184" i="38"/>
  <c r="L184" i="38"/>
  <c r="S183" i="38"/>
  <c r="O183" i="38"/>
  <c r="K183" i="38"/>
  <c r="R182" i="38"/>
  <c r="N182" i="38"/>
  <c r="U181" i="38"/>
  <c r="Q181" i="38"/>
  <c r="M181" i="38"/>
  <c r="T180" i="38"/>
  <c r="P180" i="38"/>
  <c r="L180" i="38"/>
  <c r="S179" i="38"/>
  <c r="O179" i="38"/>
  <c r="K179" i="38"/>
  <c r="R178" i="38"/>
  <c r="N178" i="38"/>
  <c r="U177" i="38"/>
  <c r="Q177" i="38"/>
  <c r="M177" i="38"/>
  <c r="T176" i="38"/>
  <c r="P176" i="38"/>
  <c r="L176" i="38"/>
  <c r="S175" i="38"/>
  <c r="O175" i="38"/>
  <c r="K175" i="38"/>
  <c r="R174" i="38"/>
  <c r="N174" i="38"/>
  <c r="U173" i="38"/>
  <c r="Q173" i="38"/>
  <c r="M173" i="38"/>
  <c r="T172" i="38"/>
  <c r="P172" i="38"/>
  <c r="L172" i="38"/>
  <c r="S171" i="38"/>
  <c r="O171" i="38"/>
  <c r="K171" i="38"/>
  <c r="R190" i="38"/>
  <c r="N190" i="38"/>
  <c r="U189" i="38"/>
  <c r="Q189" i="38"/>
  <c r="M189" i="38"/>
  <c r="T188" i="38"/>
  <c r="P188" i="38"/>
  <c r="L188" i="38"/>
  <c r="S187" i="38"/>
  <c r="O187" i="38"/>
  <c r="K187" i="38"/>
  <c r="R167" i="38"/>
  <c r="N167" i="38"/>
  <c r="U168" i="38"/>
  <c r="Q168" i="38"/>
  <c r="M168" i="38"/>
  <c r="T169" i="38"/>
  <c r="P169" i="38"/>
  <c r="L169" i="38"/>
  <c r="S170" i="38"/>
  <c r="O170" i="38"/>
  <c r="K170" i="38"/>
  <c r="R159" i="38"/>
  <c r="N159" i="38"/>
  <c r="U158" i="38"/>
  <c r="Q158" i="38"/>
  <c r="M158" i="38"/>
  <c r="T157" i="38"/>
  <c r="P157" i="38"/>
  <c r="L157" i="38"/>
  <c r="S156" i="38"/>
  <c r="O156" i="38"/>
  <c r="K156" i="38"/>
  <c r="R155" i="38"/>
  <c r="N155" i="38"/>
  <c r="U154" i="38"/>
  <c r="Q154" i="38"/>
  <c r="M154" i="38"/>
  <c r="T153" i="38"/>
  <c r="P153" i="38"/>
  <c r="L153" i="38"/>
  <c r="S152" i="38"/>
  <c r="O152" i="38"/>
  <c r="K152" i="38"/>
  <c r="R162" i="38"/>
  <c r="N162" i="38"/>
  <c r="U161" i="38"/>
  <c r="Q161" i="38"/>
  <c r="M161" i="38"/>
  <c r="T160" i="38"/>
  <c r="P160" i="38"/>
  <c r="L160" i="38"/>
  <c r="S141" i="38"/>
  <c r="O141" i="38"/>
  <c r="K141" i="38"/>
  <c r="R140" i="38"/>
  <c r="N140" i="38"/>
  <c r="K142" i="38"/>
  <c r="O142" i="38"/>
  <c r="S142" i="38"/>
  <c r="L143" i="38"/>
  <c r="P143" i="38"/>
  <c r="T143" i="38"/>
  <c r="S144" i="38"/>
  <c r="O144" i="38"/>
  <c r="K144" i="38"/>
  <c r="R139" i="38"/>
  <c r="N139" i="38"/>
  <c r="U146" i="38"/>
  <c r="Q146" i="38"/>
  <c r="M146" i="38"/>
  <c r="T145" i="38"/>
  <c r="P145" i="38"/>
  <c r="L145" i="38"/>
  <c r="S147" i="38"/>
  <c r="O147" i="38"/>
  <c r="K147" i="38"/>
  <c r="R138" i="38"/>
  <c r="N138" i="38"/>
  <c r="U137" i="38"/>
  <c r="Q137" i="38"/>
  <c r="M137" i="38"/>
  <c r="T136" i="38"/>
  <c r="P136" i="38"/>
  <c r="L136" i="38"/>
  <c r="S148" i="38"/>
  <c r="O148" i="38"/>
  <c r="K148" i="38"/>
  <c r="R126" i="38"/>
  <c r="N126" i="38"/>
  <c r="U125" i="38"/>
  <c r="Q125" i="38"/>
  <c r="M125" i="38"/>
  <c r="T124" i="38"/>
  <c r="P124" i="38"/>
  <c r="L124" i="38"/>
  <c r="S123" i="38"/>
  <c r="O123" i="38"/>
  <c r="K123" i="38"/>
  <c r="R122" i="38"/>
  <c r="N122" i="38"/>
  <c r="U121" i="38"/>
  <c r="Q121" i="38"/>
  <c r="M121" i="38"/>
  <c r="T129" i="38"/>
  <c r="P129" i="38"/>
  <c r="L129" i="38"/>
  <c r="S128" i="38"/>
  <c r="O128" i="38"/>
  <c r="K128" i="38"/>
  <c r="R127" i="38"/>
  <c r="N127" i="38"/>
  <c r="U131" i="38"/>
  <c r="Q131" i="38"/>
  <c r="M131" i="38"/>
  <c r="T130" i="38"/>
  <c r="P130" i="38"/>
  <c r="L130" i="38"/>
  <c r="S113" i="38"/>
  <c r="O113" i="38"/>
  <c r="K113" i="38"/>
  <c r="R112" i="38"/>
  <c r="N112" i="38"/>
  <c r="U111" i="38"/>
  <c r="Q111" i="38"/>
  <c r="M111" i="38"/>
  <c r="T110" i="38"/>
  <c r="P110" i="38"/>
  <c r="L110" i="38"/>
  <c r="S115" i="38"/>
  <c r="O115" i="38"/>
  <c r="K115" i="38"/>
  <c r="R114" i="38"/>
  <c r="N114" i="38"/>
  <c r="U116" i="38"/>
  <c r="Q116" i="38"/>
  <c r="M116" i="38"/>
  <c r="T109" i="38"/>
  <c r="P109" i="38"/>
  <c r="L109" i="38"/>
  <c r="S117" i="38"/>
  <c r="O117" i="38"/>
  <c r="K117" i="38"/>
  <c r="R75" i="38"/>
  <c r="N75" i="38"/>
  <c r="U74" i="38"/>
  <c r="Q74" i="38"/>
  <c r="M74" i="38"/>
  <c r="T76" i="38"/>
  <c r="P76" i="38"/>
  <c r="L76" i="38"/>
  <c r="S81" i="38"/>
  <c r="O81" i="38"/>
  <c r="K81" i="38"/>
  <c r="N82" i="38"/>
  <c r="R82" i="38"/>
  <c r="U79" i="38"/>
  <c r="Q79" i="38"/>
  <c r="M79" i="38"/>
  <c r="T77" i="38"/>
  <c r="P77" i="38"/>
  <c r="L77" i="38"/>
  <c r="S78" i="38"/>
  <c r="O78" i="38"/>
  <c r="K78" i="38"/>
  <c r="R70" i="38"/>
  <c r="N70" i="38"/>
  <c r="K71" i="38"/>
  <c r="O71" i="38"/>
  <c r="S71" i="38"/>
  <c r="T69" i="38"/>
  <c r="P69" i="38"/>
  <c r="L69" i="38"/>
  <c r="S68" i="38"/>
  <c r="O68" i="38"/>
  <c r="K68" i="38"/>
  <c r="N72" i="38"/>
  <c r="R72" i="38"/>
  <c r="U63" i="38"/>
  <c r="Q63" i="38"/>
  <c r="M63" i="38"/>
  <c r="T64" i="38"/>
  <c r="P64" i="38"/>
  <c r="L64" i="38"/>
  <c r="S61" i="38"/>
  <c r="O61" i="38"/>
  <c r="K61" i="38"/>
  <c r="R101" i="38"/>
  <c r="N101" i="38"/>
  <c r="U100" i="38"/>
  <c r="Q100" i="38"/>
  <c r="M100" i="38"/>
  <c r="T99" i="38"/>
  <c r="P99" i="38"/>
  <c r="L99" i="38"/>
  <c r="S98" i="38"/>
  <c r="O98" i="38"/>
  <c r="K98" i="38"/>
  <c r="R97" i="38"/>
  <c r="N97" i="38"/>
  <c r="U102" i="38"/>
  <c r="Q102" i="38"/>
  <c r="M102" i="38"/>
  <c r="T103" i="38"/>
  <c r="P103" i="38"/>
  <c r="L103" i="38"/>
  <c r="S104" i="38"/>
  <c r="O104" i="38"/>
  <c r="K104" i="38"/>
  <c r="R105" i="38"/>
  <c r="N105" i="38"/>
  <c r="U106" i="38"/>
  <c r="U95" i="38" s="1"/>
  <c r="U94" i="38" s="1"/>
  <c r="Q106" i="38"/>
  <c r="Q95" i="38" s="1"/>
  <c r="Q94" i="38" s="1"/>
  <c r="M106" i="38"/>
  <c r="M95" i="38" s="1"/>
  <c r="M94" i="38" s="1"/>
  <c r="U96" i="38"/>
  <c r="Q96" i="38"/>
  <c r="L96" i="38"/>
  <c r="R51" i="38"/>
  <c r="N51" i="38"/>
  <c r="U52" i="38"/>
  <c r="Q52" i="38"/>
  <c r="M52" i="38"/>
  <c r="T53" i="38"/>
  <c r="P53" i="38"/>
  <c r="L53" i="38"/>
  <c r="S54" i="38"/>
  <c r="O54" i="38"/>
  <c r="K54" i="38"/>
  <c r="R55" i="38"/>
  <c r="N55" i="38"/>
  <c r="U56" i="38"/>
  <c r="Q56" i="38"/>
  <c r="M56" i="38"/>
  <c r="T57" i="38"/>
  <c r="P57" i="38"/>
  <c r="L57" i="38"/>
  <c r="S58" i="38"/>
  <c r="O58" i="38"/>
  <c r="K58" i="38"/>
  <c r="N59" i="38"/>
  <c r="R59" i="38"/>
  <c r="U43" i="38"/>
  <c r="Q43" i="38"/>
  <c r="M43" i="38"/>
  <c r="T44" i="38"/>
  <c r="P44" i="38"/>
  <c r="L44" i="38"/>
  <c r="S45" i="38"/>
  <c r="O45" i="38"/>
  <c r="K45" i="38"/>
  <c r="R46" i="38"/>
  <c r="N46" i="38"/>
  <c r="U47" i="38"/>
  <c r="Q47" i="38"/>
  <c r="M47" i="38"/>
  <c r="T48" i="38"/>
  <c r="P48" i="38"/>
  <c r="L48" i="38"/>
  <c r="S49" i="38"/>
  <c r="O49" i="38"/>
  <c r="K49" i="38"/>
  <c r="R40" i="38"/>
  <c r="N40" i="38"/>
  <c r="U41" i="38"/>
  <c r="Q41" i="38"/>
  <c r="M41" i="38"/>
  <c r="T38" i="38"/>
  <c r="P38" i="38"/>
  <c r="L38" i="38"/>
  <c r="S36" i="38"/>
  <c r="O36" i="38"/>
  <c r="K36" i="38"/>
  <c r="R37" i="38"/>
  <c r="N37" i="38"/>
  <c r="S33" i="38"/>
  <c r="O33" i="38"/>
  <c r="K33" i="38"/>
  <c r="S89" i="38"/>
  <c r="O89" i="38"/>
  <c r="K89" i="38"/>
  <c r="R90" i="38"/>
  <c r="N90" i="38"/>
  <c r="U91" i="38"/>
  <c r="Q91" i="38"/>
  <c r="M91" i="38"/>
  <c r="T92" i="38"/>
  <c r="P92" i="38"/>
  <c r="L92" i="38"/>
  <c r="S86" i="38"/>
  <c r="O86" i="38"/>
  <c r="K86" i="38"/>
  <c r="R87" i="38"/>
  <c r="N87" i="38"/>
  <c r="K88" i="38"/>
  <c r="O88" i="38"/>
  <c r="S88" i="38"/>
  <c r="T31" i="38"/>
  <c r="P31" i="38"/>
  <c r="L31" i="38"/>
  <c r="M32" i="38"/>
  <c r="Q32" i="38"/>
  <c r="U32" i="38"/>
  <c r="S29" i="38"/>
  <c r="N29" i="38"/>
  <c r="T30" i="38"/>
  <c r="P30" i="38"/>
  <c r="L30" i="38"/>
  <c r="S27" i="38"/>
  <c r="O27" i="38"/>
  <c r="K27" i="38"/>
  <c r="N28" i="38"/>
  <c r="R28" i="38"/>
  <c r="U26" i="38"/>
  <c r="Q26" i="38"/>
  <c r="M26" i="38"/>
  <c r="U24" i="38"/>
  <c r="Q24" i="38"/>
  <c r="L24" i="38"/>
  <c r="R23" i="38"/>
  <c r="N23" i="38"/>
  <c r="U22" i="38"/>
  <c r="Q22" i="38"/>
  <c r="M22" i="38"/>
  <c r="T21" i="38"/>
  <c r="P21" i="38"/>
  <c r="L21" i="38"/>
  <c r="M19" i="38"/>
  <c r="Q19" i="38"/>
  <c r="U19" i="38"/>
  <c r="R17" i="38"/>
  <c r="N17" i="38"/>
  <c r="K16" i="38"/>
  <c r="O16" i="38"/>
  <c r="S16" i="38"/>
  <c r="T15" i="38"/>
  <c r="P15" i="38"/>
  <c r="L15" i="38"/>
  <c r="S14" i="38"/>
  <c r="O14" i="38"/>
  <c r="K14" i="38"/>
  <c r="R13" i="38"/>
  <c r="N13" i="38"/>
  <c r="U12" i="38"/>
  <c r="Q12" i="38"/>
  <c r="M12" i="38"/>
  <c r="L20" i="38"/>
  <c r="P20" i="38"/>
  <c r="T20" i="38"/>
  <c r="R12" i="38"/>
  <c r="N12" i="38"/>
  <c r="S20" i="38"/>
  <c r="N256" i="38"/>
  <c r="Q255" i="38"/>
  <c r="L255" i="38"/>
  <c r="S254" i="38"/>
  <c r="O254" i="38"/>
  <c r="T239" i="38"/>
  <c r="P239" i="38"/>
  <c r="L239" i="38"/>
  <c r="S238" i="38"/>
  <c r="O238" i="38"/>
  <c r="K238" i="38"/>
  <c r="R237" i="38"/>
  <c r="N237" i="38"/>
  <c r="U236" i="38"/>
  <c r="Q236" i="38"/>
  <c r="M236" i="38"/>
  <c r="T241" i="38"/>
  <c r="P241" i="38"/>
  <c r="L241" i="38"/>
  <c r="S240" i="38"/>
  <c r="O240" i="38"/>
  <c r="K240" i="38"/>
  <c r="R242" i="38"/>
  <c r="N242" i="38"/>
  <c r="U230" i="38"/>
  <c r="Q230" i="38"/>
  <c r="M230" i="38"/>
  <c r="T229" i="38"/>
  <c r="P229" i="38"/>
  <c r="L229" i="38"/>
  <c r="S234" i="38"/>
  <c r="O234" i="38"/>
  <c r="K234" i="38"/>
  <c r="R233" i="38"/>
  <c r="N233" i="38"/>
  <c r="U232" i="38"/>
  <c r="Q232" i="38"/>
  <c r="M232" i="38"/>
  <c r="T231" i="38"/>
  <c r="P231" i="38"/>
  <c r="L231" i="38"/>
  <c r="S204" i="38"/>
  <c r="O204" i="38"/>
  <c r="K204" i="38"/>
  <c r="R203" i="38"/>
  <c r="N203" i="38"/>
  <c r="U202" i="38"/>
  <c r="Q202" i="38"/>
  <c r="M202" i="38"/>
  <c r="T206" i="38"/>
  <c r="P206" i="38"/>
  <c r="L206" i="38"/>
  <c r="S205" i="38"/>
  <c r="O205" i="38"/>
  <c r="K205" i="38"/>
  <c r="R207" i="38"/>
  <c r="N207" i="38"/>
  <c r="U196" i="38"/>
  <c r="Q196" i="38"/>
  <c r="M196" i="38"/>
  <c r="L197" i="38"/>
  <c r="P197" i="38"/>
  <c r="T197" i="38"/>
  <c r="S198" i="38"/>
  <c r="O198" i="38"/>
  <c r="K198" i="38"/>
  <c r="R195" i="38"/>
  <c r="N195" i="38"/>
  <c r="U199" i="38"/>
  <c r="Q199" i="38"/>
  <c r="M199" i="38"/>
  <c r="T223" i="38"/>
  <c r="P223" i="38"/>
  <c r="L223" i="38"/>
  <c r="S222" i="38"/>
  <c r="O222" i="38"/>
  <c r="K222" i="38"/>
  <c r="R221" i="38"/>
  <c r="N221" i="38"/>
  <c r="U220" i="38"/>
  <c r="Q220" i="38"/>
  <c r="M220" i="38"/>
  <c r="T224" i="38"/>
  <c r="P224" i="38"/>
  <c r="L224" i="38"/>
  <c r="S212" i="38"/>
  <c r="O212" i="38"/>
  <c r="K212" i="38"/>
  <c r="R213" i="38"/>
  <c r="N213" i="38"/>
  <c r="U211" i="38"/>
  <c r="Q211" i="38"/>
  <c r="M211" i="38"/>
  <c r="T215" i="38"/>
  <c r="P215" i="38"/>
  <c r="L215" i="38"/>
  <c r="S214" i="38"/>
  <c r="O214" i="38"/>
  <c r="K214" i="38"/>
  <c r="R216" i="38"/>
  <c r="N216" i="38"/>
  <c r="U186" i="38"/>
  <c r="Q186" i="38"/>
  <c r="M186" i="38"/>
  <c r="T185" i="38"/>
  <c r="P185" i="38"/>
  <c r="L185" i="38"/>
  <c r="S184" i="38"/>
  <c r="O184" i="38"/>
  <c r="K184" i="38"/>
  <c r="R183" i="38"/>
  <c r="N183" i="38"/>
  <c r="U182" i="38"/>
  <c r="Q182" i="38"/>
  <c r="M182" i="38"/>
  <c r="T181" i="38"/>
  <c r="P181" i="38"/>
  <c r="L181" i="38"/>
  <c r="S180" i="38"/>
  <c r="O180" i="38"/>
  <c r="K180" i="38"/>
  <c r="R179" i="38"/>
  <c r="N179" i="38"/>
  <c r="U178" i="38"/>
  <c r="Q178" i="38"/>
  <c r="M178" i="38"/>
  <c r="T177" i="38"/>
  <c r="P177" i="38"/>
  <c r="L177" i="38"/>
  <c r="S176" i="38"/>
  <c r="O176" i="38"/>
  <c r="K176" i="38"/>
  <c r="R175" i="38"/>
  <c r="N175" i="38"/>
  <c r="U174" i="38"/>
  <c r="Q174" i="38"/>
  <c r="M174" i="38"/>
  <c r="T173" i="38"/>
  <c r="P173" i="38"/>
  <c r="L173" i="38"/>
  <c r="S172" i="38"/>
  <c r="O172" i="38"/>
  <c r="K172" i="38"/>
  <c r="R171" i="38"/>
  <c r="N171" i="38"/>
  <c r="U190" i="38"/>
  <c r="Q190" i="38"/>
  <c r="M190" i="38"/>
  <c r="T189" i="38"/>
  <c r="P189" i="38"/>
  <c r="L189" i="38"/>
  <c r="S188" i="38"/>
  <c r="O188" i="38"/>
  <c r="K188" i="38"/>
  <c r="R187" i="38"/>
  <c r="N187" i="38"/>
  <c r="U167" i="38"/>
  <c r="Q167" i="38"/>
  <c r="M167" i="38"/>
  <c r="T168" i="38"/>
  <c r="P168" i="38"/>
  <c r="L168" i="38"/>
  <c r="S169" i="38"/>
  <c r="O169" i="38"/>
  <c r="K169" i="38"/>
  <c r="R170" i="38"/>
  <c r="N170" i="38"/>
  <c r="U159" i="38"/>
  <c r="Q159" i="38"/>
  <c r="M159" i="38"/>
  <c r="T158" i="38"/>
  <c r="P158" i="38"/>
  <c r="L158" i="38"/>
  <c r="S157" i="38"/>
  <c r="O157" i="38"/>
  <c r="K157" i="38"/>
  <c r="R156" i="38"/>
  <c r="N156" i="38"/>
  <c r="U155" i="38"/>
  <c r="Q155" i="38"/>
  <c r="M155" i="38"/>
  <c r="T154" i="38"/>
  <c r="P154" i="38"/>
  <c r="L154" i="38"/>
  <c r="S153" i="38"/>
  <c r="O153" i="38"/>
  <c r="K153" i="38"/>
  <c r="R152" i="38"/>
  <c r="N152" i="38"/>
  <c r="U162" i="38"/>
  <c r="Q162" i="38"/>
  <c r="M162" i="38"/>
  <c r="T161" i="38"/>
  <c r="P161" i="38"/>
  <c r="L161" i="38"/>
  <c r="S160" i="38"/>
  <c r="O160" i="38"/>
  <c r="K160" i="38"/>
  <c r="R141" i="38"/>
  <c r="N141" i="38"/>
  <c r="U140" i="38"/>
  <c r="Q140" i="38"/>
  <c r="M140" i="38"/>
  <c r="L142" i="38"/>
  <c r="P142" i="38"/>
  <c r="T142" i="38"/>
  <c r="M143" i="38"/>
  <c r="Q143" i="38"/>
  <c r="U143" i="38"/>
  <c r="R144" i="38"/>
  <c r="N144" i="38"/>
  <c r="U139" i="38"/>
  <c r="Q139" i="38"/>
  <c r="M139" i="38"/>
  <c r="T146" i="38"/>
  <c r="P146" i="38"/>
  <c r="L146" i="38"/>
  <c r="S145" i="38"/>
  <c r="O145" i="38"/>
  <c r="K145" i="38"/>
  <c r="R147" i="38"/>
  <c r="N147" i="38"/>
  <c r="U138" i="38"/>
  <c r="Q138" i="38"/>
  <c r="M138" i="38"/>
  <c r="T137" i="38"/>
  <c r="P137" i="38"/>
  <c r="L137" i="38"/>
  <c r="S136" i="38"/>
  <c r="O136" i="38"/>
  <c r="K136" i="38"/>
  <c r="R148" i="38"/>
  <c r="N148" i="38"/>
  <c r="U126" i="38"/>
  <c r="Q126" i="38"/>
  <c r="M126" i="38"/>
  <c r="T125" i="38"/>
  <c r="P125" i="38"/>
  <c r="L125" i="38"/>
  <c r="S124" i="38"/>
  <c r="O124" i="38"/>
  <c r="K124" i="38"/>
  <c r="R123" i="38"/>
  <c r="N123" i="38"/>
  <c r="U122" i="38"/>
  <c r="Q122" i="38"/>
  <c r="M122" i="38"/>
  <c r="T121" i="38"/>
  <c r="P121" i="38"/>
  <c r="L121" i="38"/>
  <c r="S129" i="38"/>
  <c r="O129" i="38"/>
  <c r="K129" i="38"/>
  <c r="R128" i="38"/>
  <c r="N128" i="38"/>
  <c r="U127" i="38"/>
  <c r="Q127" i="38"/>
  <c r="M127" i="38"/>
  <c r="T131" i="38"/>
  <c r="P131" i="38"/>
  <c r="L131" i="38"/>
  <c r="S130" i="38"/>
  <c r="O130" i="38"/>
  <c r="K130" i="38"/>
  <c r="R113" i="38"/>
  <c r="N113" i="38"/>
  <c r="U112" i="38"/>
  <c r="Q112" i="38"/>
  <c r="M112" i="38"/>
  <c r="T111" i="38"/>
  <c r="P111" i="38"/>
  <c r="L111" i="38"/>
  <c r="S110" i="38"/>
  <c r="O110" i="38"/>
  <c r="K110" i="38"/>
  <c r="R115" i="38"/>
  <c r="N115" i="38"/>
  <c r="U114" i="38"/>
  <c r="Q114" i="38"/>
  <c r="M114" i="38"/>
  <c r="T116" i="38"/>
  <c r="P116" i="38"/>
  <c r="L116" i="38"/>
  <c r="S109" i="38"/>
  <c r="O109" i="38"/>
  <c r="K109" i="38"/>
  <c r="R117" i="38"/>
  <c r="N117" i="38"/>
  <c r="U75" i="38"/>
  <c r="Q75" i="38"/>
  <c r="M75" i="38"/>
  <c r="T74" i="38"/>
  <c r="P74" i="38"/>
  <c r="L74" i="38"/>
  <c r="S76" i="38"/>
  <c r="O76" i="38"/>
  <c r="K76" i="38"/>
  <c r="R81" i="38"/>
  <c r="N81" i="38"/>
  <c r="K82" i="38"/>
  <c r="O82" i="38"/>
  <c r="S82" i="38"/>
  <c r="T79" i="38"/>
  <c r="P79" i="38"/>
  <c r="L79" i="38"/>
  <c r="S77" i="38"/>
  <c r="O77" i="38"/>
  <c r="K77" i="38"/>
  <c r="R78" i="38"/>
  <c r="N78" i="38"/>
  <c r="U70" i="38"/>
  <c r="Q70" i="38"/>
  <c r="M70" i="38"/>
  <c r="L71" i="38"/>
  <c r="P71" i="38"/>
  <c r="T71" i="38"/>
  <c r="S69" i="38"/>
  <c r="O69" i="38"/>
  <c r="K69" i="38"/>
  <c r="R68" i="38"/>
  <c r="N68" i="38"/>
  <c r="K72" i="38"/>
  <c r="O72" i="38"/>
  <c r="S72" i="38"/>
  <c r="T63" i="38"/>
  <c r="P63" i="38"/>
  <c r="L63" i="38"/>
  <c r="S64" i="38"/>
  <c r="O64" i="38"/>
  <c r="K64" i="38"/>
  <c r="R61" i="38"/>
  <c r="N61" i="38"/>
  <c r="U101" i="38"/>
  <c r="Q101" i="38"/>
  <c r="M101" i="38"/>
  <c r="T100" i="38"/>
  <c r="P100" i="38"/>
  <c r="L100" i="38"/>
  <c r="S99" i="38"/>
  <c r="O99" i="38"/>
  <c r="K99" i="38"/>
  <c r="R98" i="38"/>
  <c r="N98" i="38"/>
  <c r="U97" i="38"/>
  <c r="Q97" i="38"/>
  <c r="M97" i="38"/>
  <c r="T102" i="38"/>
  <c r="P102" i="38"/>
  <c r="L102" i="38"/>
  <c r="S103" i="38"/>
  <c r="O103" i="38"/>
  <c r="K103" i="38"/>
  <c r="R104" i="38"/>
  <c r="N104" i="38"/>
  <c r="U105" i="38"/>
  <c r="Q105" i="38"/>
  <c r="M105" i="38"/>
  <c r="T106" i="38"/>
  <c r="T95" i="38" s="1"/>
  <c r="T94" i="38" s="1"/>
  <c r="P106" i="38"/>
  <c r="P95" i="38" s="1"/>
  <c r="P94" i="38" s="1"/>
  <c r="L106" i="38"/>
  <c r="L95" i="38" s="1"/>
  <c r="L94" i="38" s="1"/>
  <c r="R96" i="38"/>
  <c r="M96" i="38"/>
  <c r="U51" i="38"/>
  <c r="Q51" i="38"/>
  <c r="M51" i="38"/>
  <c r="T52" i="38"/>
  <c r="P52" i="38"/>
  <c r="L52" i="38"/>
  <c r="S53" i="38"/>
  <c r="O53" i="38"/>
  <c r="K53" i="38"/>
  <c r="R54" i="38"/>
  <c r="N54" i="38"/>
  <c r="U55" i="38"/>
  <c r="Q55" i="38"/>
  <c r="M55" i="38"/>
  <c r="T56" i="38"/>
  <c r="P56" i="38"/>
  <c r="L56" i="38"/>
  <c r="S57" i="38"/>
  <c r="O57" i="38"/>
  <c r="K57" i="38"/>
  <c r="R58" i="38"/>
  <c r="N58" i="38"/>
  <c r="K59" i="38"/>
  <c r="O59" i="38"/>
  <c r="S59" i="38"/>
  <c r="T43" i="38"/>
  <c r="P43" i="38"/>
  <c r="L43" i="38"/>
  <c r="S44" i="38"/>
  <c r="O44" i="38"/>
  <c r="K44" i="38"/>
  <c r="R45" i="38"/>
  <c r="N45" i="38"/>
  <c r="U46" i="38"/>
  <c r="Q46" i="38"/>
  <c r="M46" i="38"/>
  <c r="T47" i="38"/>
  <c r="P47" i="38"/>
  <c r="L47" i="38"/>
  <c r="S48" i="38"/>
  <c r="O48" i="38"/>
  <c r="K48" i="38"/>
  <c r="R49" i="38"/>
  <c r="N49" i="38"/>
  <c r="U40" i="38"/>
  <c r="Q40" i="38"/>
  <c r="M40" i="38"/>
  <c r="T41" i="38"/>
  <c r="P41" i="38"/>
  <c r="L41" i="38"/>
  <c r="S38" i="38"/>
  <c r="O38" i="38"/>
  <c r="K38" i="38"/>
  <c r="R36" i="38"/>
  <c r="N36" i="38"/>
  <c r="U37" i="38"/>
  <c r="Q37" i="38"/>
  <c r="M37" i="38"/>
  <c r="T33" i="38"/>
  <c r="P33" i="38"/>
  <c r="L33" i="38"/>
  <c r="R89" i="38"/>
  <c r="N89" i="38"/>
  <c r="U90" i="38"/>
  <c r="Q90" i="38"/>
  <c r="M90" i="38"/>
  <c r="T91" i="38"/>
  <c r="P91" i="38"/>
  <c r="L91" i="38"/>
  <c r="S92" i="38"/>
  <c r="O92" i="38"/>
  <c r="K92" i="38"/>
  <c r="R86" i="38"/>
  <c r="N86" i="38"/>
  <c r="U87" i="38"/>
  <c r="Q87" i="38"/>
  <c r="M87" i="38"/>
  <c r="L88" i="38"/>
  <c r="P88" i="38"/>
  <c r="T88" i="38"/>
  <c r="S31" i="38"/>
  <c r="O31" i="38"/>
  <c r="K31" i="38"/>
  <c r="N32" i="38"/>
  <c r="R32" i="38"/>
  <c r="T29" i="38"/>
  <c r="O29" i="38"/>
  <c r="K29" i="38"/>
  <c r="S30" i="38"/>
  <c r="O30" i="38"/>
  <c r="K30" i="38"/>
  <c r="R27" i="38"/>
  <c r="N27" i="38"/>
  <c r="K28" i="38"/>
  <c r="O28" i="38"/>
  <c r="S28" i="38"/>
  <c r="T26" i="38"/>
  <c r="P26" i="38"/>
  <c r="L26" i="38"/>
  <c r="R24" i="38"/>
  <c r="M24" i="38"/>
  <c r="U23" i="38"/>
  <c r="Q23" i="38"/>
  <c r="M23" i="38"/>
  <c r="T22" i="38"/>
  <c r="P22" i="38"/>
  <c r="L22" i="38"/>
  <c r="S21" i="38"/>
  <c r="O21" i="38"/>
  <c r="K21" i="38"/>
  <c r="N19" i="38"/>
  <c r="R19" i="38"/>
  <c r="U17" i="38"/>
  <c r="Q17" i="38"/>
  <c r="M17" i="38"/>
  <c r="L16" i="38"/>
  <c r="P16" i="38"/>
  <c r="T16" i="38"/>
  <c r="S15" i="38"/>
  <c r="O15" i="38"/>
  <c r="K15" i="38"/>
  <c r="R14" i="38"/>
  <c r="N14" i="38"/>
  <c r="U13" i="38"/>
  <c r="Q13" i="38"/>
  <c r="M13" i="38"/>
  <c r="L12" i="38"/>
  <c r="M20" i="38"/>
  <c r="U20" i="38"/>
  <c r="R558" i="38"/>
  <c r="R557" i="38" s="1"/>
  <c r="N558" i="38"/>
  <c r="N557" i="38" s="1"/>
  <c r="U544" i="38"/>
  <c r="U543" i="38" s="1"/>
  <c r="Q544" i="38"/>
  <c r="M544" i="38"/>
  <c r="U517" i="38"/>
  <c r="Q517" i="38"/>
  <c r="M517" i="38"/>
  <c r="T448" i="38"/>
  <c r="P448" i="38"/>
  <c r="L448" i="38"/>
  <c r="S445" i="38"/>
  <c r="O445" i="38"/>
  <c r="K445" i="38"/>
  <c r="R435" i="38"/>
  <c r="N435" i="38"/>
  <c r="U431" i="38"/>
  <c r="Q431" i="38"/>
  <c r="M431" i="38"/>
  <c r="T428" i="38"/>
  <c r="P428" i="38"/>
  <c r="L428" i="38"/>
  <c r="S420" i="38"/>
  <c r="O420" i="38"/>
  <c r="K420" i="38"/>
  <c r="R419" i="38"/>
  <c r="N419" i="38"/>
  <c r="U411" i="38"/>
  <c r="Q411" i="38"/>
  <c r="M411" i="38"/>
  <c r="T408" i="38"/>
  <c r="P408" i="38"/>
  <c r="L408" i="38"/>
  <c r="S400" i="38"/>
  <c r="O400" i="38"/>
  <c r="K400" i="38"/>
  <c r="R397" i="38"/>
  <c r="N397" i="38"/>
  <c r="U392" i="38"/>
  <c r="Q392" i="38"/>
  <c r="M392" i="38"/>
  <c r="T389" i="38"/>
  <c r="P389" i="38"/>
  <c r="L389" i="38"/>
  <c r="S387" i="38"/>
  <c r="O387" i="38"/>
  <c r="K387" i="38"/>
  <c r="R382" i="38"/>
  <c r="N382" i="38"/>
  <c r="U338" i="38"/>
  <c r="Q338" i="38"/>
  <c r="M338" i="38"/>
  <c r="T336" i="38"/>
  <c r="P336" i="38"/>
  <c r="L336" i="38"/>
  <c r="S335" i="38"/>
  <c r="O335" i="38"/>
  <c r="K335" i="38"/>
  <c r="R332" i="38"/>
  <c r="N332" i="38"/>
  <c r="U313" i="38"/>
  <c r="Q313" i="38"/>
  <c r="M313" i="38"/>
  <c r="T268" i="38"/>
  <c r="P268" i="38"/>
  <c r="L268" i="38"/>
  <c r="S244" i="38"/>
  <c r="O244" i="38"/>
  <c r="K244" i="38"/>
  <c r="R228" i="38"/>
  <c r="N228" i="38"/>
  <c r="U225" i="38"/>
  <c r="Q225" i="38"/>
  <c r="M225" i="38"/>
  <c r="T219" i="38"/>
  <c r="P219" i="38"/>
  <c r="L219" i="38"/>
  <c r="S217" i="38"/>
  <c r="O217" i="38"/>
  <c r="K217" i="38"/>
  <c r="R208" i="38"/>
  <c r="N208" i="38"/>
  <c r="U200" i="38"/>
  <c r="Q200" i="38"/>
  <c r="M200" i="38"/>
  <c r="T193" i="38"/>
  <c r="P193" i="38"/>
  <c r="L193" i="38"/>
  <c r="S192" i="38"/>
  <c r="O192" i="38"/>
  <c r="K192" i="38"/>
  <c r="R166" i="38"/>
  <c r="N166" i="38"/>
  <c r="U164" i="38"/>
  <c r="Q164" i="38"/>
  <c r="M164" i="38"/>
  <c r="T163" i="38"/>
  <c r="P163" i="38"/>
  <c r="L163" i="38"/>
  <c r="S151" i="38"/>
  <c r="O151" i="38"/>
  <c r="K151" i="38"/>
  <c r="R149" i="38"/>
  <c r="N149" i="38"/>
  <c r="U135" i="38"/>
  <c r="Q135" i="38"/>
  <c r="M135" i="38"/>
  <c r="T133" i="38"/>
  <c r="P133" i="38"/>
  <c r="L133" i="38"/>
  <c r="S132" i="38"/>
  <c r="O132" i="38"/>
  <c r="K132" i="38"/>
  <c r="R120" i="38"/>
  <c r="N120" i="38"/>
  <c r="U118" i="38"/>
  <c r="Q118" i="38"/>
  <c r="M118" i="38"/>
  <c r="U93" i="38"/>
  <c r="Q93" i="38"/>
  <c r="M93" i="38"/>
  <c r="T85" i="38"/>
  <c r="P85" i="38"/>
  <c r="L85" i="38"/>
  <c r="S80" i="38"/>
  <c r="O80" i="38"/>
  <c r="K80" i="38"/>
  <c r="R67" i="38"/>
  <c r="N67" i="38"/>
  <c r="U65" i="38"/>
  <c r="Q65" i="38"/>
  <c r="M65" i="38"/>
  <c r="T62" i="38"/>
  <c r="P62" i="38"/>
  <c r="L62" i="38"/>
  <c r="S50" i="38"/>
  <c r="O50" i="38"/>
  <c r="K50" i="38"/>
  <c r="R42" i="38"/>
  <c r="N42" i="38"/>
  <c r="U39" i="38"/>
  <c r="Q39" i="38"/>
  <c r="M39" i="38"/>
  <c r="T34" i="38"/>
  <c r="P34" i="38"/>
  <c r="L34" i="38"/>
  <c r="S25" i="38"/>
  <c r="O25" i="38"/>
  <c r="K25" i="38"/>
  <c r="N11" i="38"/>
  <c r="R11" i="38"/>
  <c r="M11" i="38"/>
  <c r="U558" i="38"/>
  <c r="U557" i="38" s="1"/>
  <c r="Q558" i="38"/>
  <c r="Q557" i="38" s="1"/>
  <c r="M558" i="38"/>
  <c r="M557" i="38" s="1"/>
  <c r="T544" i="38"/>
  <c r="P544" i="38"/>
  <c r="L544" i="38"/>
  <c r="R517" i="38"/>
  <c r="N517" i="38"/>
  <c r="U448" i="38"/>
  <c r="Q448" i="38"/>
  <c r="M448" i="38"/>
  <c r="T445" i="38"/>
  <c r="P445" i="38"/>
  <c r="L445" i="38"/>
  <c r="S435" i="38"/>
  <c r="O435" i="38"/>
  <c r="K435" i="38"/>
  <c r="R431" i="38"/>
  <c r="N431" i="38"/>
  <c r="U428" i="38"/>
  <c r="Q428" i="38"/>
  <c r="M428" i="38"/>
  <c r="T420" i="38"/>
  <c r="P420" i="38"/>
  <c r="L420" i="38"/>
  <c r="S419" i="38"/>
  <c r="O419" i="38"/>
  <c r="K419" i="38"/>
  <c r="R411" i="38"/>
  <c r="N411" i="38"/>
  <c r="U408" i="38"/>
  <c r="Q408" i="38"/>
  <c r="M408" i="38"/>
  <c r="T400" i="38"/>
  <c r="P400" i="38"/>
  <c r="L400" i="38"/>
  <c r="S397" i="38"/>
  <c r="O397" i="38"/>
  <c r="K397" i="38"/>
  <c r="R392" i="38"/>
  <c r="N392" i="38"/>
  <c r="U389" i="38"/>
  <c r="Q389" i="38"/>
  <c r="M389" i="38"/>
  <c r="T387" i="38"/>
  <c r="P387" i="38"/>
  <c r="L387" i="38"/>
  <c r="S382" i="38"/>
  <c r="O382" i="38"/>
  <c r="K382" i="38"/>
  <c r="R338" i="38"/>
  <c r="N338" i="38"/>
  <c r="U336" i="38"/>
  <c r="Q336" i="38"/>
  <c r="M336" i="38"/>
  <c r="T335" i="38"/>
  <c r="P335" i="38"/>
  <c r="L335" i="38"/>
  <c r="S332" i="38"/>
  <c r="O332" i="38"/>
  <c r="K332" i="38"/>
  <c r="R313" i="38"/>
  <c r="N313" i="38"/>
  <c r="U268" i="38"/>
  <c r="Q268" i="38"/>
  <c r="M268" i="38"/>
  <c r="T244" i="38"/>
  <c r="P244" i="38"/>
  <c r="L244" i="38"/>
  <c r="S228" i="38"/>
  <c r="O228" i="38"/>
  <c r="K228" i="38"/>
  <c r="R225" i="38"/>
  <c r="N225" i="38"/>
  <c r="U219" i="38"/>
  <c r="Q219" i="38"/>
  <c r="M219" i="38"/>
  <c r="T217" i="38"/>
  <c r="P217" i="38"/>
  <c r="L217" i="38"/>
  <c r="S208" i="38"/>
  <c r="O208" i="38"/>
  <c r="K208" i="38"/>
  <c r="R200" i="38"/>
  <c r="N200" i="38"/>
  <c r="U193" i="38"/>
  <c r="Q193" i="38"/>
  <c r="M193" i="38"/>
  <c r="T192" i="38"/>
  <c r="P192" i="38"/>
  <c r="L192" i="38"/>
  <c r="S166" i="38"/>
  <c r="O166" i="38"/>
  <c r="K166" i="38"/>
  <c r="R164" i="38"/>
  <c r="N164" i="38"/>
  <c r="U163" i="38"/>
  <c r="Q163" i="38"/>
  <c r="M163" i="38"/>
  <c r="T151" i="38"/>
  <c r="P151" i="38"/>
  <c r="L151" i="38"/>
  <c r="S149" i="38"/>
  <c r="O149" i="38"/>
  <c r="K149" i="38"/>
  <c r="R135" i="38"/>
  <c r="N135" i="38"/>
  <c r="U133" i="38"/>
  <c r="Q133" i="38"/>
  <c r="M133" i="38"/>
  <c r="T132" i="38"/>
  <c r="P132" i="38"/>
  <c r="L132" i="38"/>
  <c r="S120" i="38"/>
  <c r="O120" i="38"/>
  <c r="K120" i="38"/>
  <c r="R118" i="38"/>
  <c r="N118" i="38"/>
  <c r="T93" i="38"/>
  <c r="P93" i="38"/>
  <c r="L93" i="38"/>
  <c r="S85" i="38"/>
  <c r="O85" i="38"/>
  <c r="K85" i="38"/>
  <c r="R80" i="38"/>
  <c r="N80" i="38"/>
  <c r="U67" i="38"/>
  <c r="Q67" i="38"/>
  <c r="M67" i="38"/>
  <c r="T65" i="38"/>
  <c r="P65" i="38"/>
  <c r="L65" i="38"/>
  <c r="S62" i="38"/>
  <c r="O62" i="38"/>
  <c r="K62" i="38"/>
  <c r="R50" i="38"/>
  <c r="N50" i="38"/>
  <c r="U42" i="38"/>
  <c r="Q42" i="38"/>
  <c r="M42" i="38"/>
  <c r="T39" i="38"/>
  <c r="P39" i="38"/>
  <c r="L39" i="38"/>
  <c r="S34" i="38"/>
  <c r="O34" i="38"/>
  <c r="K34" i="38"/>
  <c r="R25" i="38"/>
  <c r="N25" i="38"/>
  <c r="O11" i="38"/>
  <c r="K11" i="38"/>
  <c r="N583" i="38"/>
  <c r="N578" i="38" s="1"/>
  <c r="Q583" i="38"/>
  <c r="P583" i="38"/>
  <c r="S583" i="38"/>
  <c r="K254" i="38"/>
  <c r="R239" i="38"/>
  <c r="N239" i="38"/>
  <c r="U238" i="38"/>
  <c r="Q238" i="38"/>
  <c r="M238" i="38"/>
  <c r="T237" i="38"/>
  <c r="P237" i="38"/>
  <c r="L237" i="38"/>
  <c r="S236" i="38"/>
  <c r="O236" i="38"/>
  <c r="K236" i="38"/>
  <c r="R241" i="38"/>
  <c r="N241" i="38"/>
  <c r="U240" i="38"/>
  <c r="Q240" i="38"/>
  <c r="M240" i="38"/>
  <c r="T242" i="38"/>
  <c r="P242" i="38"/>
  <c r="L242" i="38"/>
  <c r="S230" i="38"/>
  <c r="O230" i="38"/>
  <c r="K230" i="38"/>
  <c r="R229" i="38"/>
  <c r="N229" i="38"/>
  <c r="U234" i="38"/>
  <c r="Q234" i="38"/>
  <c r="M234" i="38"/>
  <c r="T233" i="38"/>
  <c r="P233" i="38"/>
  <c r="L233" i="38"/>
  <c r="S232" i="38"/>
  <c r="O232" i="38"/>
  <c r="K232" i="38"/>
  <c r="R231" i="38"/>
  <c r="N231" i="38"/>
  <c r="U204" i="38"/>
  <c r="Q204" i="38"/>
  <c r="M204" i="38"/>
  <c r="T203" i="38"/>
  <c r="P203" i="38"/>
  <c r="L203" i="38"/>
  <c r="S202" i="38"/>
  <c r="O202" i="38"/>
  <c r="K202" i="38"/>
  <c r="R206" i="38"/>
  <c r="N206" i="38"/>
  <c r="U205" i="38"/>
  <c r="Q205" i="38"/>
  <c r="M205" i="38"/>
  <c r="T207" i="38"/>
  <c r="P207" i="38"/>
  <c r="L207" i="38"/>
  <c r="S196" i="38"/>
  <c r="O196" i="38"/>
  <c r="K196" i="38"/>
  <c r="N197" i="38"/>
  <c r="R197" i="38"/>
  <c r="U198" i="38"/>
  <c r="Q198" i="38"/>
  <c r="M198" i="38"/>
  <c r="T195" i="38"/>
  <c r="P195" i="38"/>
  <c r="L195" i="38"/>
  <c r="S199" i="38"/>
  <c r="O199" i="38"/>
  <c r="K199" i="38"/>
  <c r="R223" i="38"/>
  <c r="N223" i="38"/>
  <c r="U222" i="38"/>
  <c r="Q222" i="38"/>
  <c r="M222" i="38"/>
  <c r="T221" i="38"/>
  <c r="P221" i="38"/>
  <c r="L221" i="38"/>
  <c r="S220" i="38"/>
  <c r="O220" i="38"/>
  <c r="K220" i="38"/>
  <c r="R224" i="38"/>
  <c r="N224" i="38"/>
  <c r="U212" i="38"/>
  <c r="Q212" i="38"/>
  <c r="M212" i="38"/>
  <c r="T213" i="38"/>
  <c r="P213" i="38"/>
  <c r="L213" i="38"/>
  <c r="S211" i="38"/>
  <c r="O211" i="38"/>
  <c r="K211" i="38"/>
  <c r="R215" i="38"/>
  <c r="N215" i="38"/>
  <c r="U214" i="38"/>
  <c r="Q214" i="38"/>
  <c r="M214" i="38"/>
  <c r="T216" i="38"/>
  <c r="P216" i="38"/>
  <c r="L216" i="38"/>
  <c r="S186" i="38"/>
  <c r="O186" i="38"/>
  <c r="K186" i="38"/>
  <c r="R185" i="38"/>
  <c r="N185" i="38"/>
  <c r="U184" i="38"/>
  <c r="Q184" i="38"/>
  <c r="M184" i="38"/>
  <c r="T183" i="38"/>
  <c r="P183" i="38"/>
  <c r="L183" i="38"/>
  <c r="S182" i="38"/>
  <c r="O182" i="38"/>
  <c r="K182" i="38"/>
  <c r="R181" i="38"/>
  <c r="N181" i="38"/>
  <c r="U180" i="38"/>
  <c r="Q180" i="38"/>
  <c r="M180" i="38"/>
  <c r="T179" i="38"/>
  <c r="P179" i="38"/>
  <c r="L179" i="38"/>
  <c r="S178" i="38"/>
  <c r="O178" i="38"/>
  <c r="K178" i="38"/>
  <c r="R177" i="38"/>
  <c r="N177" i="38"/>
  <c r="U176" i="38"/>
  <c r="Q176" i="38"/>
  <c r="M176" i="38"/>
  <c r="T175" i="38"/>
  <c r="P175" i="38"/>
  <c r="L175" i="38"/>
  <c r="S174" i="38"/>
  <c r="O174" i="38"/>
  <c r="K174" i="38"/>
  <c r="R173" i="38"/>
  <c r="N173" i="38"/>
  <c r="U172" i="38"/>
  <c r="Q172" i="38"/>
  <c r="M172" i="38"/>
  <c r="T171" i="38"/>
  <c r="P171" i="38"/>
  <c r="L171" i="38"/>
  <c r="S190" i="38"/>
  <c r="O190" i="38"/>
  <c r="K190" i="38"/>
  <c r="R189" i="38"/>
  <c r="N189" i="38"/>
  <c r="U188" i="38"/>
  <c r="Q188" i="38"/>
  <c r="M188" i="38"/>
  <c r="T187" i="38"/>
  <c r="P187" i="38"/>
  <c r="L187" i="38"/>
  <c r="S167" i="38"/>
  <c r="O167" i="38"/>
  <c r="K167" i="38"/>
  <c r="R168" i="38"/>
  <c r="N168" i="38"/>
  <c r="U169" i="38"/>
  <c r="Q169" i="38"/>
  <c r="M169" i="38"/>
  <c r="T170" i="38"/>
  <c r="P170" i="38"/>
  <c r="L170" i="38"/>
  <c r="S159" i="38"/>
  <c r="O159" i="38"/>
  <c r="K159" i="38"/>
  <c r="R158" i="38"/>
  <c r="N158" i="38"/>
  <c r="U157" i="38"/>
  <c r="Q157" i="38"/>
  <c r="M157" i="38"/>
  <c r="T156" i="38"/>
  <c r="P156" i="38"/>
  <c r="L156" i="38"/>
  <c r="S155" i="38"/>
  <c r="O155" i="38"/>
  <c r="K155" i="38"/>
  <c r="R154" i="38"/>
  <c r="N154" i="38"/>
  <c r="U153" i="38"/>
  <c r="Q153" i="38"/>
  <c r="M153" i="38"/>
  <c r="T152" i="38"/>
  <c r="P152" i="38"/>
  <c r="L152" i="38"/>
  <c r="S162" i="38"/>
  <c r="O162" i="38"/>
  <c r="K162" i="38"/>
  <c r="R161" i="38"/>
  <c r="N161" i="38"/>
  <c r="U160" i="38"/>
  <c r="Q160" i="38"/>
  <c r="M160" i="38"/>
  <c r="T141" i="38"/>
  <c r="P141" i="38"/>
  <c r="L141" i="38"/>
  <c r="S140" i="38"/>
  <c r="O140" i="38"/>
  <c r="K140" i="38"/>
  <c r="N142" i="38"/>
  <c r="R142" i="38"/>
  <c r="K143" i="38"/>
  <c r="O143" i="38"/>
  <c r="S143" i="38"/>
  <c r="T144" i="38"/>
  <c r="P144" i="38"/>
  <c r="L144" i="38"/>
  <c r="S139" i="38"/>
  <c r="O139" i="38"/>
  <c r="K139" i="38"/>
  <c r="R146" i="38"/>
  <c r="N146" i="38"/>
  <c r="U145" i="38"/>
  <c r="Q145" i="38"/>
  <c r="M145" i="38"/>
  <c r="T147" i="38"/>
  <c r="P147" i="38"/>
  <c r="L147" i="38"/>
  <c r="S138" i="38"/>
  <c r="O138" i="38"/>
  <c r="K138" i="38"/>
  <c r="R137" i="38"/>
  <c r="N137" i="38"/>
  <c r="U136" i="38"/>
  <c r="Q136" i="38"/>
  <c r="M136" i="38"/>
  <c r="T148" i="38"/>
  <c r="P148" i="38"/>
  <c r="L148" i="38"/>
  <c r="S126" i="38"/>
  <c r="O126" i="38"/>
  <c r="K126" i="38"/>
  <c r="R125" i="38"/>
  <c r="N125" i="38"/>
  <c r="U124" i="38"/>
  <c r="Q124" i="38"/>
  <c r="M124" i="38"/>
  <c r="T123" i="38"/>
  <c r="P123" i="38"/>
  <c r="L123" i="38"/>
  <c r="S122" i="38"/>
  <c r="O122" i="38"/>
  <c r="K122" i="38"/>
  <c r="R121" i="38"/>
  <c r="N121" i="38"/>
  <c r="U129" i="38"/>
  <c r="Q129" i="38"/>
  <c r="M129" i="38"/>
  <c r="T128" i="38"/>
  <c r="P128" i="38"/>
  <c r="L128" i="38"/>
  <c r="S127" i="38"/>
  <c r="O127" i="38"/>
  <c r="K127" i="38"/>
  <c r="R131" i="38"/>
  <c r="N131" i="38"/>
  <c r="U130" i="38"/>
  <c r="Q130" i="38"/>
  <c r="M130" i="38"/>
  <c r="T113" i="38"/>
  <c r="P113" i="38"/>
  <c r="L113" i="38"/>
  <c r="S112" i="38"/>
  <c r="O112" i="38"/>
  <c r="K112" i="38"/>
  <c r="R111" i="38"/>
  <c r="N111" i="38"/>
  <c r="U110" i="38"/>
  <c r="Q110" i="38"/>
  <c r="M110" i="38"/>
  <c r="T115" i="38"/>
  <c r="P115" i="38"/>
  <c r="L115" i="38"/>
  <c r="S114" i="38"/>
  <c r="O114" i="38"/>
  <c r="K114" i="38"/>
  <c r="R116" i="38"/>
  <c r="N116" i="38"/>
  <c r="U109" i="38"/>
  <c r="Q109" i="38"/>
  <c r="M109" i="38"/>
  <c r="T117" i="38"/>
  <c r="P117" i="38"/>
  <c r="L117" i="38"/>
  <c r="S75" i="38"/>
  <c r="O75" i="38"/>
  <c r="K75" i="38"/>
  <c r="R74" i="38"/>
  <c r="N74" i="38"/>
  <c r="U76" i="38"/>
  <c r="Q76" i="38"/>
  <c r="M76" i="38"/>
  <c r="T81" i="38"/>
  <c r="P81" i="38"/>
  <c r="L81" i="38"/>
  <c r="M82" i="38"/>
  <c r="Q82" i="38"/>
  <c r="U82" i="38"/>
  <c r="R79" i="38"/>
  <c r="N79" i="38"/>
  <c r="U77" i="38"/>
  <c r="Q77" i="38"/>
  <c r="M77" i="38"/>
  <c r="T78" i="38"/>
  <c r="P78" i="38"/>
  <c r="L78" i="38"/>
  <c r="S70" i="38"/>
  <c r="O70" i="38"/>
  <c r="K70" i="38"/>
  <c r="N71" i="38"/>
  <c r="R71" i="38"/>
  <c r="U69" i="38"/>
  <c r="Q69" i="38"/>
  <c r="M69" i="38"/>
  <c r="T68" i="38"/>
  <c r="P68" i="38"/>
  <c r="L68" i="38"/>
  <c r="M72" i="38"/>
  <c r="Q72" i="38"/>
  <c r="U72" i="38"/>
  <c r="R63" i="38"/>
  <c r="N63" i="38"/>
  <c r="U64" i="38"/>
  <c r="Q64" i="38"/>
  <c r="M64" i="38"/>
  <c r="T61" i="38"/>
  <c r="P61" i="38"/>
  <c r="L61" i="38"/>
  <c r="S101" i="38"/>
  <c r="O101" i="38"/>
  <c r="K101" i="38"/>
  <c r="R100" i="38"/>
  <c r="N100" i="38"/>
  <c r="U99" i="38"/>
  <c r="Q99" i="38"/>
  <c r="M99" i="38"/>
  <c r="T98" i="38"/>
  <c r="P98" i="38"/>
  <c r="L98" i="38"/>
  <c r="S97" i="38"/>
  <c r="O97" i="38"/>
  <c r="K97" i="38"/>
  <c r="R102" i="38"/>
  <c r="N102" i="38"/>
  <c r="U103" i="38"/>
  <c r="Q103" i="38"/>
  <c r="M103" i="38"/>
  <c r="T104" i="38"/>
  <c r="P104" i="38"/>
  <c r="L104" i="38"/>
  <c r="S105" i="38"/>
  <c r="O105" i="38"/>
  <c r="K105" i="38"/>
  <c r="R106" i="38"/>
  <c r="R95" i="38" s="1"/>
  <c r="R94" i="38" s="1"/>
  <c r="N106" i="38"/>
  <c r="N95" i="38" s="1"/>
  <c r="N94" i="38" s="1"/>
  <c r="T96" i="38"/>
  <c r="P96" i="38"/>
  <c r="K96" i="38"/>
  <c r="S51" i="38"/>
  <c r="O51" i="38"/>
  <c r="K51" i="38"/>
  <c r="R52" i="38"/>
  <c r="N52" i="38"/>
  <c r="U53" i="38"/>
  <c r="Q53" i="38"/>
  <c r="M53" i="38"/>
  <c r="T54" i="38"/>
  <c r="P54" i="38"/>
  <c r="L54" i="38"/>
  <c r="S55" i="38"/>
  <c r="O55" i="38"/>
  <c r="K55" i="38"/>
  <c r="R56" i="38"/>
  <c r="N56" i="38"/>
  <c r="U57" i="38"/>
  <c r="Q57" i="38"/>
  <c r="M57" i="38"/>
  <c r="T58" i="38"/>
  <c r="P58" i="38"/>
  <c r="L58" i="38"/>
  <c r="M59" i="38"/>
  <c r="Q59" i="38"/>
  <c r="U59" i="38"/>
  <c r="R43" i="38"/>
  <c r="N43" i="38"/>
  <c r="U44" i="38"/>
  <c r="Q44" i="38"/>
  <c r="M44" i="38"/>
  <c r="T45" i="38"/>
  <c r="P45" i="38"/>
  <c r="L45" i="38"/>
  <c r="S46" i="38"/>
  <c r="O46" i="38"/>
  <c r="K46" i="38"/>
  <c r="R47" i="38"/>
  <c r="N47" i="38"/>
  <c r="U48" i="38"/>
  <c r="Q48" i="38"/>
  <c r="M48" i="38"/>
  <c r="T49" i="38"/>
  <c r="P49" i="38"/>
  <c r="L49" i="38"/>
  <c r="S40" i="38"/>
  <c r="O40" i="38"/>
  <c r="K40" i="38"/>
  <c r="R41" i="38"/>
  <c r="N41" i="38"/>
  <c r="U38" i="38"/>
  <c r="Q38" i="38"/>
  <c r="M38" i="38"/>
  <c r="T36" i="38"/>
  <c r="P36" i="38"/>
  <c r="L36" i="38"/>
  <c r="S37" i="38"/>
  <c r="O37" i="38"/>
  <c r="K37" i="38"/>
  <c r="R33" i="38"/>
  <c r="N33" i="38"/>
  <c r="T89" i="38"/>
  <c r="P89" i="38"/>
  <c r="L89" i="38"/>
  <c r="S90" i="38"/>
  <c r="O90" i="38"/>
  <c r="K90" i="38"/>
  <c r="R91" i="38"/>
  <c r="N91" i="38"/>
  <c r="U92" i="38"/>
  <c r="Q92" i="38"/>
  <c r="M92" i="38"/>
  <c r="T86" i="38"/>
  <c r="P86" i="38"/>
  <c r="L86" i="38"/>
  <c r="S87" i="38"/>
  <c r="O87" i="38"/>
  <c r="K87" i="38"/>
  <c r="N88" i="38"/>
  <c r="R88" i="38"/>
  <c r="U31" i="38"/>
  <c r="Q31" i="38"/>
  <c r="M31" i="38"/>
  <c r="L32" i="38"/>
  <c r="P32" i="38"/>
  <c r="T32" i="38"/>
  <c r="R29" i="38"/>
  <c r="M29" i="38"/>
  <c r="U30" i="38"/>
  <c r="Q30" i="38"/>
  <c r="M30" i="38"/>
  <c r="T27" i="38"/>
  <c r="P27" i="38"/>
  <c r="L27" i="38"/>
  <c r="M28" i="38"/>
  <c r="Q28" i="38"/>
  <c r="U28" i="38"/>
  <c r="R26" i="38"/>
  <c r="N26" i="38"/>
  <c r="T24" i="38"/>
  <c r="P24" i="38"/>
  <c r="K24" i="38"/>
  <c r="S23" i="38"/>
  <c r="O23" i="38"/>
  <c r="K23" i="38"/>
  <c r="R22" i="38"/>
  <c r="N22" i="38"/>
  <c r="U21" i="38"/>
  <c r="Q21" i="38"/>
  <c r="M21" i="38"/>
  <c r="L19" i="38"/>
  <c r="P19" i="38"/>
  <c r="T19" i="38"/>
  <c r="S17" i="38"/>
  <c r="O17" i="38"/>
  <c r="K17" i="38"/>
  <c r="N16" i="38"/>
  <c r="R16" i="38"/>
  <c r="U15" i="38"/>
  <c r="Q15" i="38"/>
  <c r="M15" i="38"/>
  <c r="T14" i="38"/>
  <c r="P14" i="38"/>
  <c r="L14" i="38"/>
  <c r="S13" i="38"/>
  <c r="O13" i="38"/>
  <c r="K13" i="38"/>
  <c r="K20" i="38"/>
  <c r="Q20" i="38"/>
  <c r="T558" i="38"/>
  <c r="T557" i="38" s="1"/>
  <c r="P558" i="38"/>
  <c r="P557" i="38" s="1"/>
  <c r="L558" i="38"/>
  <c r="L557" i="38" s="1"/>
  <c r="S544" i="38"/>
  <c r="O544" i="38"/>
  <c r="K544" i="38"/>
  <c r="S517" i="38"/>
  <c r="O517" i="38"/>
  <c r="K517" i="38"/>
  <c r="R448" i="38"/>
  <c r="N448" i="38"/>
  <c r="U445" i="38"/>
  <c r="Q445" i="38"/>
  <c r="M445" i="38"/>
  <c r="T435" i="38"/>
  <c r="T432" i="38" s="1"/>
  <c r="P435" i="38"/>
  <c r="P432" i="38" s="1"/>
  <c r="L435" i="38"/>
  <c r="L432" i="38" s="1"/>
  <c r="S431" i="38"/>
  <c r="S429" i="38" s="1"/>
  <c r="O431" i="38"/>
  <c r="O429" i="38" s="1"/>
  <c r="K431" i="38"/>
  <c r="R428" i="38"/>
  <c r="N428" i="38"/>
  <c r="U420" i="38"/>
  <c r="Q420" i="38"/>
  <c r="M420" i="38"/>
  <c r="T419" i="38"/>
  <c r="P419" i="38"/>
  <c r="L419" i="38"/>
  <c r="S411" i="38"/>
  <c r="O411" i="38"/>
  <c r="K411" i="38"/>
  <c r="R408" i="38"/>
  <c r="N408" i="38"/>
  <c r="U400" i="38"/>
  <c r="Q400" i="38"/>
  <c r="M400" i="38"/>
  <c r="T397" i="38"/>
  <c r="P397" i="38"/>
  <c r="L397" i="38"/>
  <c r="S392" i="38"/>
  <c r="O392" i="38"/>
  <c r="K392" i="38"/>
  <c r="R389" i="38"/>
  <c r="N389" i="38"/>
  <c r="U387" i="38"/>
  <c r="Q387" i="38"/>
  <c r="M387" i="38"/>
  <c r="T382" i="38"/>
  <c r="P382" i="38"/>
  <c r="L382" i="38"/>
  <c r="S338" i="38"/>
  <c r="O338" i="38"/>
  <c r="K338" i="38"/>
  <c r="R336" i="38"/>
  <c r="N336" i="38"/>
  <c r="U335" i="38"/>
  <c r="Q335" i="38"/>
  <c r="M335" i="38"/>
  <c r="T332" i="38"/>
  <c r="P332" i="38"/>
  <c r="L332" i="38"/>
  <c r="S313" i="38"/>
  <c r="O313" i="38"/>
  <c r="K313" i="38"/>
  <c r="R268" i="38"/>
  <c r="N268" i="38"/>
  <c r="U244" i="38"/>
  <c r="Q244" i="38"/>
  <c r="M244" i="38"/>
  <c r="T228" i="38"/>
  <c r="P228" i="38"/>
  <c r="L228" i="38"/>
  <c r="S225" i="38"/>
  <c r="O225" i="38"/>
  <c r="K225" i="38"/>
  <c r="R219" i="38"/>
  <c r="N219" i="38"/>
  <c r="U217" i="38"/>
  <c r="Q217" i="38"/>
  <c r="M217" i="38"/>
  <c r="T208" i="38"/>
  <c r="P208" i="38"/>
  <c r="L208" i="38"/>
  <c r="S200" i="38"/>
  <c r="O200" i="38"/>
  <c r="K200" i="38"/>
  <c r="R193" i="38"/>
  <c r="N193" i="38"/>
  <c r="U192" i="38"/>
  <c r="Q192" i="38"/>
  <c r="M192" i="38"/>
  <c r="T166" i="38"/>
  <c r="P166" i="38"/>
  <c r="L166" i="38"/>
  <c r="S164" i="38"/>
  <c r="O164" i="38"/>
  <c r="K164" i="38"/>
  <c r="R163" i="38"/>
  <c r="N163" i="38"/>
  <c r="U151" i="38"/>
  <c r="Q151" i="38"/>
  <c r="M151" i="38"/>
  <c r="T149" i="38"/>
  <c r="P149" i="38"/>
  <c r="L149" i="38"/>
  <c r="S135" i="38"/>
  <c r="O135" i="38"/>
  <c r="K135" i="38"/>
  <c r="R133" i="38"/>
  <c r="N133" i="38"/>
  <c r="U132" i="38"/>
  <c r="Q132" i="38"/>
  <c r="M132" i="38"/>
  <c r="T120" i="38"/>
  <c r="P120" i="38"/>
  <c r="L120" i="38"/>
  <c r="S118" i="38"/>
  <c r="O118" i="38"/>
  <c r="K118" i="38"/>
  <c r="S93" i="38"/>
  <c r="O93" i="38"/>
  <c r="K93" i="38"/>
  <c r="R85" i="38"/>
  <c r="N85" i="38"/>
  <c r="U80" i="38"/>
  <c r="Q80" i="38"/>
  <c r="M80" i="38"/>
  <c r="T67" i="38"/>
  <c r="P67" i="38"/>
  <c r="L67" i="38"/>
  <c r="S65" i="38"/>
  <c r="O65" i="38"/>
  <c r="K65" i="38"/>
  <c r="R62" i="38"/>
  <c r="N62" i="38"/>
  <c r="U50" i="38"/>
  <c r="Q50" i="38"/>
  <c r="M50" i="38"/>
  <c r="T42" i="38"/>
  <c r="P42" i="38"/>
  <c r="L42" i="38"/>
  <c r="S39" i="38"/>
  <c r="O39" i="38"/>
  <c r="K39" i="38"/>
  <c r="R34" i="38"/>
  <c r="N34" i="38"/>
  <c r="U25" i="38"/>
  <c r="Q25" i="38"/>
  <c r="M25" i="38"/>
  <c r="L11" i="38"/>
  <c r="P11" i="38"/>
  <c r="T11" i="38"/>
  <c r="Q11" i="38"/>
  <c r="S558" i="38"/>
  <c r="S557" i="38" s="1"/>
  <c r="O558" i="38"/>
  <c r="O557" i="38" s="1"/>
  <c r="K558" i="38"/>
  <c r="K557" i="38" s="1"/>
  <c r="R544" i="38"/>
  <c r="N544" i="38"/>
  <c r="T517" i="38"/>
  <c r="P517" i="38"/>
  <c r="L517" i="38"/>
  <c r="S448" i="38"/>
  <c r="O448" i="38"/>
  <c r="K448" i="38"/>
  <c r="R445" i="38"/>
  <c r="N445" i="38"/>
  <c r="U435" i="38"/>
  <c r="U432" i="38" s="1"/>
  <c r="Q435" i="38"/>
  <c r="M435" i="38"/>
  <c r="M432" i="38" s="1"/>
  <c r="T431" i="38"/>
  <c r="T429" i="38" s="1"/>
  <c r="P431" i="38"/>
  <c r="P429" i="38" s="1"/>
  <c r="L431" i="38"/>
  <c r="S428" i="38"/>
  <c r="S421" i="38" s="1"/>
  <c r="O428" i="38"/>
  <c r="K428" i="38"/>
  <c r="K421" i="38" s="1"/>
  <c r="R420" i="38"/>
  <c r="N420" i="38"/>
  <c r="U419" i="38"/>
  <c r="Q419" i="38"/>
  <c r="M419" i="38"/>
  <c r="T411" i="38"/>
  <c r="P411" i="38"/>
  <c r="L411" i="38"/>
  <c r="S408" i="38"/>
  <c r="O408" i="38"/>
  <c r="K408" i="38"/>
  <c r="R400" i="38"/>
  <c r="N400" i="38"/>
  <c r="U397" i="38"/>
  <c r="Q397" i="38"/>
  <c r="M397" i="38"/>
  <c r="T392" i="38"/>
  <c r="P392" i="38"/>
  <c r="L392" i="38"/>
  <c r="S389" i="38"/>
  <c r="O389" i="38"/>
  <c r="K389" i="38"/>
  <c r="R387" i="38"/>
  <c r="N387" i="38"/>
  <c r="U382" i="38"/>
  <c r="Q382" i="38"/>
  <c r="M382" i="38"/>
  <c r="T338" i="38"/>
  <c r="P338" i="38"/>
  <c r="L338" i="38"/>
  <c r="S336" i="38"/>
  <c r="O336" i="38"/>
  <c r="K336" i="38"/>
  <c r="R335" i="38"/>
  <c r="N335" i="38"/>
  <c r="U332" i="38"/>
  <c r="Q332" i="38"/>
  <c r="M332" i="38"/>
  <c r="T313" i="38"/>
  <c r="P313" i="38"/>
  <c r="L313" i="38"/>
  <c r="S268" i="38"/>
  <c r="O268" i="38"/>
  <c r="K268" i="38"/>
  <c r="R244" i="38"/>
  <c r="N244" i="38"/>
  <c r="U228" i="38"/>
  <c r="Q228" i="38"/>
  <c r="M228" i="38"/>
  <c r="T225" i="38"/>
  <c r="P225" i="38"/>
  <c r="L225" i="38"/>
  <c r="S219" i="38"/>
  <c r="O219" i="38"/>
  <c r="K219" i="38"/>
  <c r="R217" i="38"/>
  <c r="N217" i="38"/>
  <c r="U208" i="38"/>
  <c r="Q208" i="38"/>
  <c r="M208" i="38"/>
  <c r="T200" i="38"/>
  <c r="P200" i="38"/>
  <c r="L200" i="38"/>
  <c r="S193" i="38"/>
  <c r="O193" i="38"/>
  <c r="K193" i="38"/>
  <c r="R192" i="38"/>
  <c r="N192" i="38"/>
  <c r="U166" i="38"/>
  <c r="Q166" i="38"/>
  <c r="M166" i="38"/>
  <c r="T164" i="38"/>
  <c r="P164" i="38"/>
  <c r="L164" i="38"/>
  <c r="S163" i="38"/>
  <c r="O163" i="38"/>
  <c r="K163" i="38"/>
  <c r="R151" i="38"/>
  <c r="N151" i="38"/>
  <c r="U149" i="38"/>
  <c r="Q149" i="38"/>
  <c r="M149" i="38"/>
  <c r="T135" i="38"/>
  <c r="P135" i="38"/>
  <c r="L135" i="38"/>
  <c r="S133" i="38"/>
  <c r="O133" i="38"/>
  <c r="K133" i="38"/>
  <c r="R132" i="38"/>
  <c r="N132" i="38"/>
  <c r="U120" i="38"/>
  <c r="Q120" i="38"/>
  <c r="M120" i="38"/>
  <c r="T118" i="38"/>
  <c r="P118" i="38"/>
  <c r="L118" i="38"/>
  <c r="R93" i="38"/>
  <c r="N93" i="38"/>
  <c r="U85" i="38"/>
  <c r="Q85" i="38"/>
  <c r="M85" i="38"/>
  <c r="T80" i="38"/>
  <c r="P80" i="38"/>
  <c r="L80" i="38"/>
  <c r="S67" i="38"/>
  <c r="O67" i="38"/>
  <c r="K67" i="38"/>
  <c r="R65" i="38"/>
  <c r="N65" i="38"/>
  <c r="U62" i="38"/>
  <c r="Q62" i="38"/>
  <c r="M62" i="38"/>
  <c r="T50" i="38"/>
  <c r="P50" i="38"/>
  <c r="L50" i="38"/>
  <c r="S42" i="38"/>
  <c r="O42" i="38"/>
  <c r="K42" i="38"/>
  <c r="R39" i="38"/>
  <c r="N39" i="38"/>
  <c r="U34" i="38"/>
  <c r="Q34" i="38"/>
  <c r="M34" i="38"/>
  <c r="T25" i="38"/>
  <c r="P25" i="38"/>
  <c r="L25" i="38"/>
  <c r="S11" i="38"/>
  <c r="R583" i="38"/>
  <c r="R578" i="38" s="1"/>
  <c r="U583" i="38"/>
  <c r="T583" i="38"/>
  <c r="T578" i="38" s="1"/>
  <c r="L583" i="38"/>
  <c r="L578" i="38" s="1"/>
  <c r="M583" i="38"/>
  <c r="M578" i="38" s="1"/>
  <c r="Q18" i="38"/>
  <c r="M18" i="38"/>
  <c r="N18" i="38"/>
  <c r="P18" i="38"/>
  <c r="T18" i="38"/>
  <c r="O18" i="38"/>
  <c r="R18" i="38"/>
  <c r="U18" i="38"/>
  <c r="L18" i="38"/>
  <c r="O96" i="38"/>
  <c r="K583" i="38"/>
  <c r="O583" i="38"/>
  <c r="U33" i="38"/>
  <c r="S18" i="38"/>
  <c r="U11" i="38"/>
  <c r="N24" i="38"/>
  <c r="D34" i="27"/>
  <c r="D51" i="27" s="1"/>
  <c r="F19" i="8"/>
  <c r="G19" i="8" s="1"/>
  <c r="F18" i="8"/>
  <c r="G18" i="8" s="1"/>
  <c r="D10" i="8" s="1"/>
  <c r="V18" i="38" l="1"/>
  <c r="V10" i="38" s="1"/>
  <c r="V9" i="38" s="1"/>
  <c r="D5" i="8"/>
  <c r="P578" i="38"/>
  <c r="M543" i="38"/>
  <c r="Q436" i="38"/>
  <c r="M405" i="38"/>
  <c r="M404" i="38" s="1"/>
  <c r="L405" i="38"/>
  <c r="L404" i="38" s="1"/>
  <c r="Q578" i="38"/>
  <c r="O432" i="38"/>
  <c r="O447" i="38"/>
  <c r="O446" i="38" s="1"/>
  <c r="N447" i="38"/>
  <c r="N446" i="38" s="1"/>
  <c r="M447" i="38"/>
  <c r="M446" i="38" s="1"/>
  <c r="M429" i="38"/>
  <c r="Q516" i="38"/>
  <c r="O578" i="38"/>
  <c r="T337" i="38"/>
  <c r="T516" i="38"/>
  <c r="S516" i="38"/>
  <c r="R337" i="38"/>
  <c r="N429" i="38"/>
  <c r="S432" i="38"/>
  <c r="R516" i="38"/>
  <c r="R432" i="38"/>
  <c r="L447" i="38"/>
  <c r="L446" i="38" s="1"/>
  <c r="N401" i="38"/>
  <c r="K578" i="38"/>
  <c r="O421" i="38"/>
  <c r="N543" i="38"/>
  <c r="N542" i="38" s="1"/>
  <c r="M436" i="38"/>
  <c r="K543" i="38"/>
  <c r="K542" i="38" s="1"/>
  <c r="U516" i="38"/>
  <c r="U578" i="38"/>
  <c r="L429" i="38"/>
  <c r="Q432" i="38"/>
  <c r="R405" i="38"/>
  <c r="R404" i="38" s="1"/>
  <c r="K429" i="38"/>
  <c r="Q405" i="38"/>
  <c r="Q404" i="38" s="1"/>
  <c r="N516" i="38"/>
  <c r="P405" i="38"/>
  <c r="P404" i="38" s="1"/>
  <c r="N432" i="38"/>
  <c r="N436" i="38"/>
  <c r="N421" i="38"/>
  <c r="S578" i="38"/>
  <c r="R429" i="38"/>
  <c r="L436" i="38"/>
  <c r="L543" i="38"/>
  <c r="L542" i="38" s="1"/>
  <c r="Q429" i="38"/>
  <c r="K436" i="38"/>
  <c r="K405" i="38"/>
  <c r="K404" i="38" s="1"/>
  <c r="S447" i="38"/>
  <c r="S446" i="38" s="1"/>
  <c r="R447" i="38"/>
  <c r="R446" i="38" s="1"/>
  <c r="L421" i="38"/>
  <c r="T401" i="38"/>
  <c r="L194" i="38"/>
  <c r="P447" i="38"/>
  <c r="P446" i="38" s="1"/>
  <c r="T108" i="38"/>
  <c r="Q165" i="38"/>
  <c r="P194" i="38"/>
  <c r="N243" i="38"/>
  <c r="M328" i="38"/>
  <c r="M327" i="38" s="1"/>
  <c r="L337" i="38"/>
  <c r="L516" i="38"/>
  <c r="S108" i="38"/>
  <c r="Q150" i="38"/>
  <c r="P165" i="38"/>
  <c r="O194" i="38"/>
  <c r="N218" i="38"/>
  <c r="M243" i="38"/>
  <c r="K337" i="38"/>
  <c r="S410" i="38"/>
  <c r="R421" i="38"/>
  <c r="O543" i="38"/>
  <c r="O542" i="38" s="1"/>
  <c r="P60" i="38"/>
  <c r="O235" i="38"/>
  <c r="Q267" i="38"/>
  <c r="K432" i="38"/>
  <c r="U447" i="38"/>
  <c r="U446" i="38" s="1"/>
  <c r="P267" i="38"/>
  <c r="U429" i="38"/>
  <c r="T447" i="38"/>
  <c r="T446" i="38" s="1"/>
  <c r="M421" i="38"/>
  <c r="Q447" i="38"/>
  <c r="Q446" i="38" s="1"/>
  <c r="O66" i="38"/>
  <c r="U201" i="38"/>
  <c r="S267" i="38"/>
  <c r="R436" i="38"/>
  <c r="R543" i="38"/>
  <c r="R542" i="38" s="1"/>
  <c r="P66" i="38"/>
  <c r="U191" i="38"/>
  <c r="T201" i="38"/>
  <c r="R267" i="38"/>
  <c r="Q334" i="38"/>
  <c r="P381" i="38"/>
  <c r="O391" i="38"/>
  <c r="K516" i="38"/>
  <c r="L243" i="38"/>
  <c r="Q421" i="38"/>
  <c r="P436" i="38"/>
  <c r="P543" i="38"/>
  <c r="P542" i="38" s="1"/>
  <c r="U312" i="38"/>
  <c r="P421" i="38"/>
  <c r="O436" i="38"/>
  <c r="T194" i="38"/>
  <c r="M227" i="38"/>
  <c r="R243" i="38"/>
  <c r="L312" i="38"/>
  <c r="Q328" i="38"/>
  <c r="Q327" i="38" s="1"/>
  <c r="P337" i="38"/>
  <c r="S405" i="38"/>
  <c r="S404" i="38" s="1"/>
  <c r="K447" i="38"/>
  <c r="K446" i="38" s="1"/>
  <c r="P516" i="38"/>
  <c r="S194" i="38"/>
  <c r="Q243" i="38"/>
  <c r="K312" i="38"/>
  <c r="P328" i="38"/>
  <c r="P327" i="38" s="1"/>
  <c r="O337" i="38"/>
  <c r="U436" i="38"/>
  <c r="O516" i="38"/>
  <c r="S543" i="38"/>
  <c r="S542" i="38" s="1"/>
  <c r="S235" i="38"/>
  <c r="P243" i="38"/>
  <c r="U267" i="38"/>
  <c r="O328" i="38"/>
  <c r="O327" i="38" s="1"/>
  <c r="N337" i="38"/>
  <c r="U421" i="38"/>
  <c r="T436" i="38"/>
  <c r="T543" i="38"/>
  <c r="O243" i="38"/>
  <c r="T267" i="38"/>
  <c r="M337" i="38"/>
  <c r="T421" i="38"/>
  <c r="S436" i="38"/>
  <c r="M516" i="38"/>
  <c r="Q543" i="38"/>
  <c r="Q542" i="38" s="1"/>
  <c r="R260" i="38"/>
  <c r="L401" i="38"/>
  <c r="R150" i="38"/>
  <c r="O218" i="38"/>
  <c r="R334" i="38"/>
  <c r="Q381" i="38"/>
  <c r="P391" i="38"/>
  <c r="T410" i="38"/>
  <c r="T191" i="38"/>
  <c r="P334" i="38"/>
  <c r="S10" i="38"/>
  <c r="P560" i="38"/>
  <c r="L134" i="38"/>
  <c r="U165" i="38"/>
  <c r="T66" i="38"/>
  <c r="L119" i="38"/>
  <c r="U150" i="38"/>
  <c r="T165" i="38"/>
  <c r="M210" i="38"/>
  <c r="T381" i="38"/>
  <c r="T60" i="38"/>
  <c r="T334" i="38"/>
  <c r="Q84" i="38"/>
  <c r="Q83" i="38" s="1"/>
  <c r="P312" i="38"/>
  <c r="L410" i="38"/>
  <c r="P119" i="38"/>
  <c r="O134" i="38"/>
  <c r="L201" i="38"/>
  <c r="U243" i="38"/>
  <c r="K410" i="38"/>
  <c r="L191" i="38"/>
  <c r="T243" i="38"/>
  <c r="N312" i="38"/>
  <c r="S243" i="38"/>
  <c r="M312" i="38"/>
  <c r="Q337" i="38"/>
  <c r="P401" i="38"/>
  <c r="N499" i="38"/>
  <c r="N498" i="38" s="1"/>
  <c r="M84" i="38"/>
  <c r="M83" i="38" s="1"/>
  <c r="S218" i="38"/>
  <c r="U381" i="38"/>
  <c r="T391" i="38"/>
  <c r="K134" i="38"/>
  <c r="L227" i="38"/>
  <c r="U334" i="38"/>
  <c r="N10" i="38"/>
  <c r="L108" i="38"/>
  <c r="Q119" i="38"/>
  <c r="P134" i="38"/>
  <c r="N191" i="38"/>
  <c r="M201" i="38"/>
  <c r="R210" i="38"/>
  <c r="Q227" i="38"/>
  <c r="K267" i="38"/>
  <c r="K108" i="38"/>
  <c r="M191" i="38"/>
  <c r="Q210" i="38"/>
  <c r="P227" i="38"/>
  <c r="O312" i="38"/>
  <c r="T328" i="38"/>
  <c r="T327" i="38" s="1"/>
  <c r="S337" i="38"/>
  <c r="N73" i="38"/>
  <c r="U10" i="38"/>
  <c r="K66" i="38"/>
  <c r="U84" i="38"/>
  <c r="U83" i="38" s="1"/>
  <c r="P108" i="38"/>
  <c r="U119" i="38"/>
  <c r="T134" i="38"/>
  <c r="N150" i="38"/>
  <c r="M165" i="38"/>
  <c r="R191" i="38"/>
  <c r="Q201" i="38"/>
  <c r="K218" i="38"/>
  <c r="U227" i="38"/>
  <c r="O267" i="38"/>
  <c r="T312" i="38"/>
  <c r="N334" i="38"/>
  <c r="M381" i="38"/>
  <c r="L391" i="38"/>
  <c r="P410" i="38"/>
  <c r="L66" i="38"/>
  <c r="O108" i="38"/>
  <c r="T119" i="38"/>
  <c r="S134" i="38"/>
  <c r="M150" i="38"/>
  <c r="L165" i="38"/>
  <c r="Q191" i="38"/>
  <c r="K194" i="38"/>
  <c r="P201" i="38"/>
  <c r="U210" i="38"/>
  <c r="T227" i="38"/>
  <c r="N267" i="38"/>
  <c r="S312" i="38"/>
  <c r="M334" i="38"/>
  <c r="L381" i="38"/>
  <c r="K391" i="38"/>
  <c r="O410" i="38"/>
  <c r="L60" i="38"/>
  <c r="K235" i="38"/>
  <c r="P191" i="38"/>
  <c r="M267" i="38"/>
  <c r="R312" i="38"/>
  <c r="L334" i="38"/>
  <c r="L267" i="38"/>
  <c r="Q312" i="38"/>
  <c r="U337" i="38"/>
  <c r="N260" i="38"/>
  <c r="O375" i="38"/>
  <c r="S66" i="38"/>
  <c r="M119" i="38"/>
  <c r="N210" i="38"/>
  <c r="R218" i="38"/>
  <c r="R209" i="38" s="1"/>
  <c r="S391" i="38"/>
  <c r="T10" i="38"/>
  <c r="L10" i="38"/>
  <c r="N84" i="38"/>
  <c r="N83" i="38" s="1"/>
  <c r="P35" i="38"/>
  <c r="R73" i="38"/>
  <c r="Q66" i="38"/>
  <c r="K84" i="38"/>
  <c r="K83" i="38" s="1"/>
  <c r="S84" i="38"/>
  <c r="S83" i="38" s="1"/>
  <c r="N108" i="38"/>
  <c r="K119" i="38"/>
  <c r="S119" i="38"/>
  <c r="R134" i="38"/>
  <c r="L150" i="38"/>
  <c r="T150" i="38"/>
  <c r="K165" i="38"/>
  <c r="S165" i="38"/>
  <c r="R194" i="38"/>
  <c r="O201" i="38"/>
  <c r="L210" i="38"/>
  <c r="T210" i="38"/>
  <c r="Q218" i="38"/>
  <c r="K227" i="38"/>
  <c r="S227" i="38"/>
  <c r="K381" i="38"/>
  <c r="S381" i="38"/>
  <c r="R391" i="38"/>
  <c r="R390" i="38" s="1"/>
  <c r="N410" i="38"/>
  <c r="T542" i="38"/>
  <c r="M10" i="38"/>
  <c r="R66" i="38"/>
  <c r="L84" i="38"/>
  <c r="L83" i="38" s="1"/>
  <c r="T84" i="38"/>
  <c r="T83" i="38" s="1"/>
  <c r="M108" i="38"/>
  <c r="U108" i="38"/>
  <c r="R119" i="38"/>
  <c r="Q134" i="38"/>
  <c r="K150" i="38"/>
  <c r="S150" i="38"/>
  <c r="R165" i="38"/>
  <c r="O191" i="38"/>
  <c r="Q194" i="38"/>
  <c r="N201" i="38"/>
  <c r="K210" i="38"/>
  <c r="S210" i="38"/>
  <c r="P218" i="38"/>
  <c r="R227" i="38"/>
  <c r="K334" i="38"/>
  <c r="S334" i="38"/>
  <c r="R381" i="38"/>
  <c r="Q391" i="38"/>
  <c r="M410" i="38"/>
  <c r="U410" i="38"/>
  <c r="N35" i="38"/>
  <c r="R60" i="38"/>
  <c r="P73" i="38"/>
  <c r="Q235" i="38"/>
  <c r="K35" i="38"/>
  <c r="S35" i="38"/>
  <c r="O60" i="38"/>
  <c r="M73" i="38"/>
  <c r="U73" i="38"/>
  <c r="N235" i="38"/>
  <c r="N405" i="38"/>
  <c r="N404" i="38" s="1"/>
  <c r="R328" i="38"/>
  <c r="R327" i="38" s="1"/>
  <c r="K260" i="38"/>
  <c r="S260" i="38"/>
  <c r="M401" i="38"/>
  <c r="U401" i="38"/>
  <c r="O405" i="38"/>
  <c r="O404" i="38" s="1"/>
  <c r="Q35" i="38"/>
  <c r="M60" i="38"/>
  <c r="U60" i="38"/>
  <c r="K73" i="38"/>
  <c r="S73" i="38"/>
  <c r="L235" i="38"/>
  <c r="T235" i="38"/>
  <c r="P260" i="38"/>
  <c r="T405" i="38"/>
  <c r="T404" i="38" s="1"/>
  <c r="Q260" i="38"/>
  <c r="K401" i="38"/>
  <c r="S401" i="38"/>
  <c r="U405" i="38"/>
  <c r="U404" i="38" s="1"/>
  <c r="K375" i="38"/>
  <c r="S375" i="38"/>
  <c r="L375" i="38"/>
  <c r="T375" i="38"/>
  <c r="R499" i="38"/>
  <c r="R498" i="38" s="1"/>
  <c r="Q499" i="38"/>
  <c r="Q498" i="38" s="1"/>
  <c r="O525" i="38"/>
  <c r="L560" i="38"/>
  <c r="T560" i="38"/>
  <c r="P525" i="38"/>
  <c r="P515" i="38" s="1"/>
  <c r="M560" i="38"/>
  <c r="U560" i="38"/>
  <c r="Q375" i="38"/>
  <c r="R375" i="38"/>
  <c r="P499" i="38"/>
  <c r="P498" i="38" s="1"/>
  <c r="O499" i="38"/>
  <c r="O498" i="38" s="1"/>
  <c r="M525" i="38"/>
  <c r="U525" i="38"/>
  <c r="U515" i="38" s="1"/>
  <c r="R560" i="38"/>
  <c r="N525" i="38"/>
  <c r="K560" i="38"/>
  <c r="S560" i="38"/>
  <c r="Q10" i="38"/>
  <c r="P10" i="38"/>
  <c r="R84" i="38"/>
  <c r="R83" i="38" s="1"/>
  <c r="L35" i="38"/>
  <c r="T35" i="38"/>
  <c r="O10" i="38"/>
  <c r="M66" i="38"/>
  <c r="U66" i="38"/>
  <c r="O84" i="38"/>
  <c r="O83" i="38" s="1"/>
  <c r="R108" i="38"/>
  <c r="O119" i="38"/>
  <c r="N134" i="38"/>
  <c r="P150" i="38"/>
  <c r="O165" i="38"/>
  <c r="N194" i="38"/>
  <c r="K201" i="38"/>
  <c r="S201" i="38"/>
  <c r="P210" i="38"/>
  <c r="M218" i="38"/>
  <c r="U218" i="38"/>
  <c r="O227" i="38"/>
  <c r="O381" i="38"/>
  <c r="N391" i="38"/>
  <c r="R410" i="38"/>
  <c r="R10" i="38"/>
  <c r="N66" i="38"/>
  <c r="P84" i="38"/>
  <c r="P83" i="38" s="1"/>
  <c r="Q108" i="38"/>
  <c r="N119" i="38"/>
  <c r="M134" i="38"/>
  <c r="U134" i="38"/>
  <c r="O150" i="38"/>
  <c r="N165" i="38"/>
  <c r="K191" i="38"/>
  <c r="S191" i="38"/>
  <c r="M194" i="38"/>
  <c r="U194" i="38"/>
  <c r="R201" i="38"/>
  <c r="O210" i="38"/>
  <c r="L218" i="38"/>
  <c r="T218" i="38"/>
  <c r="N227" i="38"/>
  <c r="K243" i="38"/>
  <c r="O334" i="38"/>
  <c r="N381" i="38"/>
  <c r="M391" i="38"/>
  <c r="U391" i="38"/>
  <c r="Q410" i="38"/>
  <c r="M542" i="38"/>
  <c r="U542" i="38"/>
  <c r="R35" i="38"/>
  <c r="N60" i="38"/>
  <c r="L73" i="38"/>
  <c r="T73" i="38"/>
  <c r="M235" i="38"/>
  <c r="U235" i="38"/>
  <c r="O35" i="38"/>
  <c r="K60" i="38"/>
  <c r="S60" i="38"/>
  <c r="Q73" i="38"/>
  <c r="R235" i="38"/>
  <c r="U328" i="38"/>
  <c r="U327" i="38" s="1"/>
  <c r="N328" i="38"/>
  <c r="N327" i="38" s="1"/>
  <c r="O260" i="38"/>
  <c r="Q401" i="38"/>
  <c r="M35" i="38"/>
  <c r="U35" i="38"/>
  <c r="Q60" i="38"/>
  <c r="O73" i="38"/>
  <c r="P235" i="38"/>
  <c r="K328" i="38"/>
  <c r="K327" i="38" s="1"/>
  <c r="S328" i="38"/>
  <c r="S327" i="38" s="1"/>
  <c r="L260" i="38"/>
  <c r="T260" i="38"/>
  <c r="L328" i="38"/>
  <c r="L327" i="38" s="1"/>
  <c r="M260" i="38"/>
  <c r="U260" i="38"/>
  <c r="O401" i="38"/>
  <c r="P375" i="38"/>
  <c r="M499" i="38"/>
  <c r="M498" i="38" s="1"/>
  <c r="U499" i="38"/>
  <c r="U498" i="38" s="1"/>
  <c r="K525" i="38"/>
  <c r="S525" i="38"/>
  <c r="L525" i="38"/>
  <c r="T525" i="38"/>
  <c r="Q560" i="38"/>
  <c r="M375" i="38"/>
  <c r="U375" i="38"/>
  <c r="N375" i="38"/>
  <c r="L499" i="38"/>
  <c r="L498" i="38" s="1"/>
  <c r="T499" i="38"/>
  <c r="T498" i="38" s="1"/>
  <c r="K499" i="38"/>
  <c r="K498" i="38" s="1"/>
  <c r="S499" i="38"/>
  <c r="S498" i="38" s="1"/>
  <c r="Q525" i="38"/>
  <c r="N560" i="38"/>
  <c r="R525" i="38"/>
  <c r="O560" i="38"/>
  <c r="W18" i="38"/>
  <c r="K18" i="38"/>
  <c r="K10" i="38" s="1"/>
  <c r="E18" i="38"/>
  <c r="D559" i="38"/>
  <c r="C4" i="27" l="1"/>
  <c r="C14" i="27" s="1"/>
  <c r="I16" i="29"/>
  <c r="O515" i="38"/>
  <c r="R515" i="38"/>
  <c r="L515" i="38"/>
  <c r="K9" i="38"/>
  <c r="S515" i="38"/>
  <c r="Q515" i="38"/>
  <c r="O390" i="38"/>
  <c r="N515" i="38"/>
  <c r="U390" i="38"/>
  <c r="T390" i="38"/>
  <c r="T515" i="38"/>
  <c r="T409" i="38"/>
  <c r="K515" i="38"/>
  <c r="N209" i="38"/>
  <c r="Q409" i="38"/>
  <c r="M333" i="38"/>
  <c r="N390" i="38"/>
  <c r="M515" i="38"/>
  <c r="M409" i="38"/>
  <c r="L333" i="38"/>
  <c r="L409" i="38"/>
  <c r="S409" i="38"/>
  <c r="U209" i="38"/>
  <c r="U409" i="38"/>
  <c r="T333" i="38"/>
  <c r="N409" i="38"/>
  <c r="P390" i="38"/>
  <c r="K409" i="38"/>
  <c r="Q209" i="38"/>
  <c r="R409" i="38"/>
  <c r="L390" i="38"/>
  <c r="O409" i="38"/>
  <c r="P409" i="38"/>
  <c r="U9" i="38"/>
  <c r="T107" i="38"/>
  <c r="O209" i="38"/>
  <c r="N9" i="38"/>
  <c r="L209" i="38"/>
  <c r="M209" i="38"/>
  <c r="R333" i="38"/>
  <c r="P226" i="38"/>
  <c r="Q333" i="38"/>
  <c r="S209" i="38"/>
  <c r="T209" i="38"/>
  <c r="K390" i="38"/>
  <c r="P333" i="38"/>
  <c r="S107" i="38"/>
  <c r="K107" i="38"/>
  <c r="N333" i="38"/>
  <c r="Q226" i="38"/>
  <c r="L107" i="38"/>
  <c r="U333" i="38"/>
  <c r="U226" i="38"/>
  <c r="O333" i="38"/>
  <c r="Q107" i="38"/>
  <c r="P107" i="38"/>
  <c r="P9" i="38"/>
  <c r="K209" i="38"/>
  <c r="S9" i="38"/>
  <c r="S390" i="38"/>
  <c r="M390" i="38"/>
  <c r="N226" i="38"/>
  <c r="O107" i="38"/>
  <c r="T226" i="38"/>
  <c r="L226" i="38"/>
  <c r="M226" i="38"/>
  <c r="R9" i="38"/>
  <c r="R107" i="38"/>
  <c r="O9" i="38"/>
  <c r="K333" i="38"/>
  <c r="P209" i="38"/>
  <c r="M107" i="38"/>
  <c r="M9" i="38"/>
  <c r="S226" i="38"/>
  <c r="N107" i="38"/>
  <c r="T9" i="38"/>
  <c r="O226" i="38"/>
  <c r="Q9" i="38"/>
  <c r="Q390" i="38"/>
  <c r="S333" i="38"/>
  <c r="R226" i="38"/>
  <c r="U107" i="38"/>
  <c r="K226" i="38"/>
  <c r="L9" i="38"/>
  <c r="F18" i="38"/>
  <c r="E10" i="38"/>
  <c r="Y18" i="38"/>
  <c r="AL18" i="38" s="1"/>
  <c r="W10" i="38"/>
  <c r="D584" i="38"/>
  <c r="F578" i="38"/>
  <c r="F560" i="38"/>
  <c r="H560" i="38" s="1"/>
  <c r="E559" i="38"/>
  <c r="Q16" i="29" l="1"/>
  <c r="Q17" i="29" s="1"/>
  <c r="W9" i="38"/>
  <c r="Y9" i="38" s="1"/>
  <c r="AL9" i="38" s="1"/>
  <c r="Y10" i="38"/>
  <c r="AL10" i="38" s="1"/>
  <c r="E9" i="38"/>
  <c r="F9" i="38" s="1"/>
  <c r="F10" i="38"/>
  <c r="J18" i="38"/>
  <c r="H18" i="38"/>
  <c r="F559" i="38"/>
  <c r="G559" i="38"/>
  <c r="H578" i="38"/>
  <c r="I6" i="27" l="1"/>
  <c r="I15" i="27" s="1"/>
  <c r="E584" i="38"/>
  <c r="H9" i="38"/>
  <c r="J9" i="38"/>
  <c r="J10" i="38"/>
  <c r="H10" i="38"/>
  <c r="H559" i="38"/>
  <c r="G584" i="38"/>
  <c r="J578" i="38"/>
  <c r="I559" i="38"/>
  <c r="F584" i="38" l="1"/>
  <c r="F9" i="27" s="1"/>
  <c r="F16" i="27" s="1"/>
  <c r="I584" i="38"/>
  <c r="J559" i="38"/>
  <c r="J560" i="38"/>
  <c r="K559" i="38"/>
  <c r="K584" i="38" s="1"/>
  <c r="L559" i="38"/>
  <c r="L584" i="38" s="1"/>
  <c r="M559" i="38"/>
  <c r="M584" i="38" s="1"/>
  <c r="N559" i="38"/>
  <c r="N584" i="38" s="1"/>
  <c r="O559" i="38"/>
  <c r="O584" i="38" s="1"/>
  <c r="P559" i="38"/>
  <c r="P584" i="38" s="1"/>
  <c r="Q559" i="38"/>
  <c r="Q584" i="38" s="1"/>
  <c r="R559" i="38"/>
  <c r="R584" i="38" s="1"/>
  <c r="S559" i="38"/>
  <c r="S584" i="38" s="1"/>
  <c r="T559" i="38"/>
  <c r="T584" i="38" s="1"/>
  <c r="U559" i="38"/>
  <c r="U584" i="38" s="1"/>
  <c r="V559" i="38"/>
  <c r="F15" i="27" l="1"/>
  <c r="H584" i="38"/>
  <c r="J584" i="38"/>
  <c r="V584" i="38"/>
  <c r="W559" i="38"/>
  <c r="W584" i="38" l="1"/>
  <c r="Y578" i="38"/>
  <c r="X559" i="38"/>
  <c r="Y560" i="38"/>
  <c r="Y559" i="38" l="1"/>
  <c r="X584" i="38"/>
  <c r="Y584" i="38" s="1"/>
  <c r="Z559" i="38"/>
  <c r="Z584" i="38" l="1"/>
  <c r="AA559" i="38"/>
  <c r="AA584" i="38" l="1"/>
  <c r="AC578" i="38"/>
  <c r="AB559" i="38" l="1"/>
  <c r="AC559" i="38" l="1"/>
  <c r="AB584" i="38"/>
  <c r="AC584" i="38" s="1"/>
  <c r="AD559" i="38"/>
  <c r="AD584" i="38" s="1"/>
  <c r="AE559" i="38" l="1"/>
  <c r="AE584" i="38" l="1"/>
  <c r="AG578" i="38"/>
  <c r="AF559" i="38"/>
  <c r="AF584" i="38" l="1"/>
  <c r="AG584" i="38" s="1"/>
  <c r="AG559" i="38"/>
  <c r="AG560" i="38"/>
  <c r="AH559" i="38"/>
  <c r="AH584" i="38" s="1"/>
  <c r="AI559" i="38"/>
  <c r="AI584" i="38" l="1"/>
  <c r="AK578" i="38"/>
  <c r="AL578" i="38" s="1"/>
  <c r="AK560" i="38"/>
  <c r="AL560" i="38" s="1"/>
  <c r="AJ559" i="38"/>
  <c r="AK559" i="38" s="1"/>
  <c r="AL559" i="38" s="1"/>
  <c r="AJ584" i="38" l="1"/>
  <c r="AK584" i="38" s="1"/>
  <c r="AL584"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<sst xmlns="http://schemas.openxmlformats.org/spreadsheetml/2006/main" count="11956" uniqueCount="2262">
  <si>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</si>
  <si>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</si>
  <si>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</si>
  <si>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</si>
  <si>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</si>
  <si>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</si>
  <si>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</si>
  <si>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</si>
  <si>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</si>
  <si>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</si>
  <si>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</si>
  <si>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</si>
  <si>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</si>
  <si>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</si>
  <si>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</si>
  <si>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</si>
  <si>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</si>
  <si>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</si>
  <si>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</si>
  <si>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</si>
  <si>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</si>
  <si>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</si>
  <si>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</si>
  <si>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</si>
  <si>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</si>
  <si>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</si>
  <si>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</si>
  <si>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</si>
  <si>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</si>
  <si>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</si>
  <si>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</si>
  <si>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</si>
  <si>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</si>
  <si>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</si>
  <si>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</si>
  <si>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</si>
  <si>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</si>
  <si>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</si>
  <si>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</si>
  <si>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</si>
  <si>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</si>
  <si>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</si>
  <si>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</si>
  <si>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</si>
  <si>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</si>
  <si>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</si>
  <si>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</si>
  <si>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</si>
  <si>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</si>
  <si>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</si>
  <si>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</si>
  <si>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</si>
  <si>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</si>
  <si>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</si>
  <si>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</si>
  <si>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</si>
  <si>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</si>
  <si>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</si>
  <si>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</si>
  <si>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</si>
  <si>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</si>
  <si>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</si>
  <si>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</si>
  <si>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</si>
  <si>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</si>
  <si>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</si>
  <si>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</si>
  <si>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</si>
  <si>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</si>
  <si>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</si>
  <si>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</si>
  <si>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</si>
  <si>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</si>
  <si>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</si>
  <si>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</si>
  <si>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</si>
  <si>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</si>
  <si>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</si>
  <si>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</si>
  <si>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</si>
  <si>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</si>
  <si>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</si>
  <si>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</si>
  <si>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</si>
  <si>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</si>
  <si>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</si>
  <si>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</si>
  <si>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</si>
  <si>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</si>
  <si>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</si>
  <si>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</si>
  <si>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</si>
  <si>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</si>
  <si>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</si>
  <si>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</si>
  <si>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</si>
  <si>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</si>
  <si>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</si>
  <si>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</si>
  <si>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</si>
  <si>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</si>
  <si>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</si>
  <si>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</si>
  <si>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</si>
  <si>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</si>
  <si>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</si>
  <si>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</si>
  <si>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</si>
  <si>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</si>
  <si>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</si>
  <si>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</si>
  <si>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</si>
  <si>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</si>
  <si>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</si>
  <si>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</si>
  <si>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</si>
  <si>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</si>
  <si>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</si>
  <si>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AREAS ESTRATEGICAS</t>
  </si>
  <si>
    <t>DESARROLLO CURRICULAR</t>
  </si>
  <si>
    <t>TOTAL DESARROLLO CURRICULAR</t>
  </si>
  <si>
    <t>TOTAL DOCENCIA Y RECURSOS HUMANOS</t>
  </si>
  <si>
    <t>TOTAL ESTUDIANTES</t>
  </si>
  <si>
    <t>1) IDEM</t>
  </si>
  <si>
    <t>1) Encuestas de satisfacción comunitaria finalizadas.</t>
  </si>
  <si>
    <t>1) Se realizarán por lo menos una encuesta de satisfacción comunitaria por cada carrera en el período.</t>
  </si>
  <si>
    <t>TOTAL GRADUADOS</t>
  </si>
  <si>
    <t>1) % de unidades académicas que cuentan con unidades, institutos, o comités de investigación científica.</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</si>
  <si>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</si>
  <si>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</si>
  <si>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</si>
  <si>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</si>
  <si>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</si>
  <si>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</si>
  <si>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</si>
  <si>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</si>
  <si>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</si>
  <si>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</si>
  <si>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</si>
  <si>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</si>
  <si>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</si>
  <si>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</si>
  <si>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</si>
  <si>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</si>
  <si>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</si>
  <si>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</si>
  <si>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</si>
  <si>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</si>
  <si>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GESTIÓN ACADEMICA, UNIVERSITARIA Y RELACIONES INTERNACIONALES</t>
  </si>
  <si>
    <t>TOTAL GESTIÓN ACADEMICA, UNIVERSITARIA Y RELACIONES INTERNACIONALES</t>
  </si>
  <si>
    <t>TOTAL PROCESOS ADMINISTRATIVOS</t>
  </si>
  <si>
    <t>TOTAL GOBERNABILIDAD</t>
  </si>
  <si>
    <t>TOTAL LO ESENCIAL DE LA UNAH PARA LA CONSTRUCCIÓN DE CIUDADANÍA</t>
  </si>
  <si>
    <t>Personal docente y Administrativo , de Campo y Autoridades</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</si>
  <si>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</si>
  <si>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</si>
  <si>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</si>
  <si>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</si>
  <si>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</si>
  <si>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</si>
  <si>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</si>
  <si>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</si>
  <si>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</si>
  <si>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Taller</t>
  </si>
  <si>
    <t>Convenio</t>
  </si>
  <si>
    <t>Proyecto</t>
  </si>
  <si>
    <t>Estudiantes</t>
  </si>
  <si>
    <t>Talleres</t>
  </si>
  <si>
    <t>d.1 Crear en la UNAH revistas científicas en la que se publican las investigaciones importantes realizadas.</t>
  </si>
  <si>
    <t>Estudiantes y docentes</t>
  </si>
  <si>
    <t>c.1 Realizar encuestas del desempeño laboral de los egresados.</t>
  </si>
  <si>
    <t>e.1 Realizar encuestas de satisfacción comunitaria.</t>
  </si>
  <si>
    <t>d.4 realizar presentaciones para la difusión de los trabajos científicos al público en general, especialmente   a los sectores relacionados con los campos de la investigación.</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</si>
  <si>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</si>
  <si>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</si>
  <si>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</si>
  <si>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</si>
  <si>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</si>
  <si>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</si>
  <si>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</si>
  <si>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El nuevo modelo educativo de la UNAH</t>
  </si>
  <si>
    <t>Certificación bajo las normativas  de esta entidad y otras que aglutinan Instituciones  de Educación Superior a nivel  internacional</t>
  </si>
  <si>
    <t>b.1 se fortalecerán, promoverán y adoptarán políticas y practicas transparentes para la rendición de cuentas de las unidades académicas.</t>
  </si>
  <si>
    <t>Listas</t>
  </si>
  <si>
    <t>Mantener informado y dar seguimiento a procesos y leyes.</t>
  </si>
  <si>
    <t xml:space="preserve">a.1 Realizacion de giras de practicas a diferentes instutuciones y organizaciones del pais </t>
  </si>
  <si>
    <t>Visita</t>
  </si>
  <si>
    <t>Investigación</t>
  </si>
  <si>
    <t>a.4 Fortalecer el sistema de bibliotecas y  crear un sistema virtual para la obtención de documentos y materiales de trabajo de las diferentes carreras.</t>
  </si>
  <si>
    <t>Lápices</t>
  </si>
  <si>
    <t>ENERGIA ELECTRICA</t>
  </si>
  <si>
    <t xml:space="preserve">capacitaciones </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</si>
  <si>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</si>
  <si>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</si>
  <si>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</si>
  <si>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</si>
  <si>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</si>
  <si>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</si>
  <si>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</si>
  <si>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</si>
  <si>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</si>
  <si>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</si>
  <si>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</si>
  <si>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</si>
  <si>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</si>
  <si>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</si>
  <si>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</si>
  <si>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</si>
  <si>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</si>
  <si>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</si>
  <si>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</si>
  <si>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</si>
  <si>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</si>
  <si>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</si>
  <si>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</si>
  <si>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</si>
  <si>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</si>
  <si>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</si>
  <si>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</si>
  <si>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</si>
  <si>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</si>
  <si>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</si>
  <si>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</si>
  <si>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</si>
  <si>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</si>
  <si>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</si>
  <si>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</si>
  <si>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</si>
  <si>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</si>
  <si>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</si>
  <si>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</si>
  <si>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</si>
  <si>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</si>
  <si>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</si>
  <si>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</si>
  <si>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</si>
  <si>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</si>
  <si>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</si>
  <si>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</si>
  <si>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</si>
  <si>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</si>
  <si>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</si>
  <si>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</si>
  <si>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</si>
  <si>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</si>
  <si>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</si>
  <si>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</si>
  <si>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</si>
  <si>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</si>
  <si>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</si>
  <si>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</si>
  <si>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</si>
  <si>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</si>
  <si>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</si>
  <si>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</si>
  <si>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</si>
  <si>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</si>
  <si>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</si>
  <si>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</si>
  <si>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</si>
  <si>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</si>
  <si>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</si>
  <si>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</si>
  <si>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</si>
  <si>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</si>
  <si>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</si>
  <si>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</si>
  <si>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</si>
  <si>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</si>
  <si>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</si>
  <si>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</si>
  <si>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</si>
  <si>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</si>
  <si>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</si>
  <si>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</si>
  <si>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</si>
  <si>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</si>
  <si>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</si>
  <si>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</si>
  <si>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</si>
  <si>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</si>
  <si>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</si>
  <si>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</si>
  <si>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</si>
  <si>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</si>
  <si>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</si>
  <si>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</si>
  <si>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</si>
  <si>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</si>
  <si>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</si>
  <si>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</si>
  <si>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</si>
  <si>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</si>
  <si>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</si>
  <si>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</si>
  <si>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</si>
  <si>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</si>
  <si>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</si>
  <si>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</si>
  <si>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</si>
  <si>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</si>
  <si>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</si>
  <si>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</si>
  <si>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</si>
  <si>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</si>
  <si>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</si>
  <si>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</si>
  <si>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</si>
  <si>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</si>
  <si>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</si>
  <si>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</si>
  <si>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</si>
  <si>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</si>
  <si>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</si>
  <si>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</si>
  <si>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</si>
  <si>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</si>
  <si>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</si>
  <si>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</si>
  <si>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</si>
  <si>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</si>
  <si>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</si>
  <si>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</si>
  <si>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</si>
  <si>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</si>
  <si>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</si>
  <si>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</si>
  <si>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</si>
  <si>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</si>
  <si>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</si>
  <si>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</si>
  <si>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</si>
  <si>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</si>
  <si>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</si>
  <si>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</si>
  <si>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</si>
  <si>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</si>
  <si>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</si>
  <si>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</si>
  <si>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</si>
  <si>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</si>
  <si>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</si>
  <si>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</si>
  <si>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</si>
  <si>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</si>
  <si>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</si>
  <si>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</si>
  <si>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</si>
  <si>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</si>
  <si>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</si>
  <si>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</si>
  <si>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</si>
  <si>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</si>
  <si>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</si>
  <si>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</si>
  <si>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</si>
  <si>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</si>
  <si>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</si>
  <si>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</si>
  <si>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</si>
  <si>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</si>
  <si>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</si>
  <si>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</si>
  <si>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</si>
  <si>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</si>
  <si>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</si>
  <si>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</si>
  <si>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</si>
  <si>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</si>
  <si>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</si>
  <si>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</si>
  <si>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</si>
  <si>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</si>
  <si>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</si>
  <si>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</si>
  <si>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</si>
  <si>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</si>
  <si>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</si>
  <si>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</si>
  <si>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</si>
  <si>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</si>
  <si>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</si>
  <si>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</si>
  <si>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</si>
  <si>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</si>
  <si>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</si>
  <si>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</si>
  <si>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</si>
  <si>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</si>
  <si>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</si>
  <si>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</si>
  <si>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</si>
  <si>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</si>
  <si>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</si>
  <si>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</si>
  <si>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</si>
  <si>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</si>
  <si>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</si>
  <si>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</si>
  <si>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</si>
  <si>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</si>
  <si>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</si>
  <si>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</si>
  <si>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</si>
  <si>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</si>
  <si>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</si>
  <si>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</si>
  <si>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</si>
  <si>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</si>
  <si>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</si>
  <si>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</si>
  <si>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</si>
  <si>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</si>
  <si>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</si>
  <si>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</si>
  <si>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</si>
  <si>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</si>
  <si>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</si>
  <si>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</si>
  <si>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</si>
  <si>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</si>
  <si>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</si>
  <si>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</si>
  <si>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</si>
  <si>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</si>
  <si>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</si>
  <si>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</si>
  <si>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</si>
  <si>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</si>
  <si>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</si>
  <si>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</si>
  <si>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</si>
  <si>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</si>
  <si>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</si>
  <si>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</si>
  <si>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</si>
  <si>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</si>
  <si>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</si>
  <si>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</si>
  <si>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</si>
  <si>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</si>
  <si>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</si>
  <si>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</si>
  <si>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</si>
  <si>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</si>
  <si>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</si>
  <si>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</si>
  <si>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</si>
  <si>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</si>
  <si>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</si>
  <si>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</si>
  <si>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</si>
  <si>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</si>
  <si>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</si>
  <si>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</si>
  <si>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</si>
  <si>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</si>
  <si>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</si>
  <si>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</si>
  <si>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</si>
  <si>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</si>
  <si>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</si>
  <si>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</si>
  <si>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</si>
  <si>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</si>
  <si>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</si>
  <si>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</si>
  <si>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</si>
  <si>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</si>
  <si>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</si>
  <si>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</si>
  <si>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</si>
  <si>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</si>
  <si>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</si>
  <si>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</si>
  <si>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</si>
  <si>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</si>
  <si>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</si>
  <si>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</si>
  <si>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</si>
  <si>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</si>
  <si>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</si>
  <si>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</si>
  <si>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</si>
  <si>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</si>
  <si>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</si>
  <si>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</si>
  <si>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</si>
  <si>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</si>
  <si>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</si>
  <si>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</si>
  <si>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</si>
  <si>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</si>
  <si>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</si>
  <si>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Gestión del conocimiento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</si>
  <si>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</si>
  <si>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</si>
  <si>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</si>
  <si>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</si>
  <si>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</si>
  <si>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</si>
  <si>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</si>
  <si>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</si>
  <si>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</si>
  <si>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</si>
  <si>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</si>
  <si>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</si>
  <si>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</si>
  <si>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</si>
  <si>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</si>
  <si>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</si>
  <si>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</si>
  <si>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</si>
  <si>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</si>
  <si>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</si>
  <si>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</si>
  <si>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</si>
  <si>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</si>
  <si>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</si>
  <si>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</si>
  <si>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</si>
  <si>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</si>
  <si>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</si>
  <si>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</si>
  <si>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</si>
  <si>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</si>
  <si>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</si>
  <si>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</si>
  <si>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</si>
  <si>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</si>
  <si>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</si>
  <si>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</si>
  <si>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</si>
  <si>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</si>
  <si>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</si>
  <si>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</si>
  <si>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</si>
  <si>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</si>
  <si>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</si>
  <si>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</si>
  <si>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</si>
  <si>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</si>
  <si>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</si>
  <si>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</si>
  <si>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</si>
  <si>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</si>
  <si>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</si>
  <si>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</si>
  <si>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</si>
  <si>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</si>
  <si>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</si>
  <si>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</si>
  <si>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</si>
  <si>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</si>
  <si>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</si>
  <si>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</si>
  <si>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</si>
  <si>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</si>
  <si>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</si>
  <si>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</si>
  <si>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</si>
  <si>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</si>
  <si>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</si>
  <si>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</si>
  <si>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</si>
  <si>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</si>
  <si>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</si>
  <si>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</si>
  <si>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</si>
  <si>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</si>
  <si>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b) El proceso de aprendizaje de la carrera responde al Modelo Educativo de la UNAH.</t>
  </si>
  <si>
    <t xml:space="preserve">1) Convenios, redes, proyectos, grupos de trabajo de cooperación académica en ejecución.   </t>
  </si>
  <si>
    <t xml:space="preserve">2) Aplicación del Modelo Educativo en el proceso de enseñanza-aprendizaje en todas las Facultades y Centros Regionales. </t>
  </si>
  <si>
    <t xml:space="preserve">4) Mejora sostenida de los índices de  resultados de aprendizaje de los estudiantes. </t>
  </si>
  <si>
    <t>5)  Modelo educativo ha sido incorporado en las carreras programadas.</t>
  </si>
  <si>
    <t xml:space="preserve">1) Estudios de pertinencia realizados. </t>
  </si>
  <si>
    <t>2) A través de la implementación del proceso de Gestión de la Calidad Académica  se ejecutan acciones de mejora continua.</t>
  </si>
  <si>
    <t>2) Porcentaje de ejecución de las recomendaciones de mejora contenidas en los planes de Autoevaluación.</t>
  </si>
  <si>
    <t>3) Creadas las condiciones para que la UNAH participe del proceso de acreditación conducido por el SHACES y ACAP.</t>
  </si>
  <si>
    <t>UNAH participando de los órganos del SHACES y poyando efectivamente su organización y funcionamiento.</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</si>
  <si>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</si>
  <si>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</si>
  <si>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</si>
  <si>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</si>
  <si>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a.1 Creación y fortalecimiento en las Unidades Académicas, unidades, institutos o comités de investigación científica y de vinculación Universidad-Sociedad.</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</si>
  <si>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</si>
  <si>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</si>
  <si>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</si>
  <si>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2) Participar al menos en dos (2) programas de capacitación , talleres, cursos y seminarios internacionales por la Facultad y por Centro Regional.</t>
  </si>
  <si>
    <t>Número de docentes capacitados.</t>
  </si>
  <si>
    <t>3) Organizar al menos seis (6) talleres, cursos o seminarios por área de conocimiento a nivel nacional.</t>
  </si>
  <si>
    <t>Inventario actualizado de herramientas informáticas cuyo uso se ha promovido.</t>
  </si>
  <si>
    <t>c) Las Unidades Académicas de la UNAH en todos los niveles, socializan y aplican las políticas de investigación de la UNAH.</t>
  </si>
  <si>
    <t xml:space="preserve">1)Políticas de investigación aplicándose adecuadamente. </t>
  </si>
  <si>
    <t>c.1 Realizar reuniones y presentaciones para sociabilizar la aplicación de las políticas de investigación de la UNAH, o de la unidad académica específica inmersa en los procesos de investigación.</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</si>
  <si>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</si>
  <si>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</si>
  <si>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1) Se realiza al menos una presentación anual de socialización.                                                                                                                                                                                                         2)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t>
  </si>
  <si>
    <t>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t>
  </si>
  <si>
    <t>3) Al menos 20 trabajos de investigación se publican en revistas científicas del exterior.</t>
  </si>
  <si>
    <t>d.3 Difundir en revistas científicas del exterior aquellos trabajos científicos importantes.</t>
  </si>
  <si>
    <t>4) Realizar, al menos, una (1) reunión o presentación anual por cada unidad académica.</t>
  </si>
  <si>
    <t xml:space="preserve">e) Las Facultades y Centros Regionales Universitarios gestionan recursos internos y externos para el desarrollo de sus investigaciones científicas.  </t>
  </si>
  <si>
    <t>1) Recursos disponibles gestionados para los proyectos de investigación.</t>
  </si>
  <si>
    <t>1) En el período 2012-2015 se gestionará recursos para,  al menos, veinte (20) proyectos de investigación.</t>
  </si>
  <si>
    <t>f.1 Presentación ante las autoridades competentes o un Comité de Gestión Científica los proyectos a desarrollar, ya sea con fondos internos o externos, para su financiamiento.</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</si>
  <si>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</si>
  <si>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</si>
  <si>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</si>
  <si>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2) En ejecución convenios suscritos entre la UNAH e instancias de la Sociedad Civil, Gobierno Central, Local; Empresa privada, etc.,</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</si>
  <si>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</si>
  <si>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</si>
  <si>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DOCENCIA Y RECURSOS HUMANOS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</si>
  <si>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</si>
  <si>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</si>
  <si>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2) Procesos de selección ajustados a ley, transparentes y eficientes.</t>
  </si>
  <si>
    <t>2) % de docentes son enviados al exterior para capacitación de acuerdo al programa de formación aprobado.</t>
  </si>
  <si>
    <t>1) Diseñado e implementándose un Programa de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</si>
  <si>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</si>
  <si>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</si>
  <si>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</si>
  <si>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3) Fortalecido Sistema de bibliotecas tradicional y virtualmente</t>
  </si>
  <si>
    <t>4) Se fortalecerá el Sistema de Bibliotecas y se creará un sistema virtual para la obtención de documentos y materiales de trabajo de las diferentes carreras.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</si>
  <si>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</si>
  <si>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</si>
  <si>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</si>
  <si>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</si>
  <si>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</si>
  <si>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</si>
  <si>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</si>
  <si>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</si>
  <si>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</si>
  <si>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</si>
  <si>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</si>
  <si>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</si>
  <si>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</si>
  <si>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</si>
  <si>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Al menos un 80%  de los docentes contratados son de tiempo completo.                                                                                                                                                                                         2) Requisito y control de trabajo académico con enfoque integral de las funciones docentes.</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</si>
  <si>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</si>
  <si>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</si>
  <si>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</si>
  <si>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</si>
  <si>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</si>
  <si>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</si>
  <si>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</si>
  <si>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1) Estudio de satisfacción de graduados de la UNAH.</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</si>
  <si>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</si>
  <si>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</si>
  <si>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</si>
  <si>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</si>
  <si>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</si>
  <si>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</si>
  <si>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</si>
  <si>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a.1 Socialización e ejecución del proceso de organización y desarrollo de las redes educativas regionales con actores internos y externos a la UNAH.</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</si>
  <si>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</si>
  <si>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</si>
  <si>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</si>
  <si>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</si>
  <si>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</si>
  <si>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 xml:space="preserve">1) Número de campos de a ciencia y/o facultades que tranvesalizan el eje de ética y bioética.                                                                                                                                               </t>
  </si>
  <si>
    <t xml:space="preserve">2) Número de carreras que tranversalizan el eje ética y bioética.                                                                                                                                                                                                               </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</si>
  <si>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</si>
  <si>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</si>
  <si>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</si>
  <si>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</si>
  <si>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</si>
  <si>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</si>
  <si>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Inversión para la gestión de los proyectos culturales.</t>
  </si>
  <si>
    <t>3) Número de iniciativas elaboradas en red desde la plataforma cultural del país: AMHON, UNAH, SCAD, y SEPLAN</t>
  </si>
  <si>
    <t>Promoción activa y efectiva de iniciativas en red.</t>
  </si>
  <si>
    <t>c) CULTURA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</si>
  <si>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</si>
  <si>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</si>
  <si>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</si>
  <si>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</si>
  <si>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</si>
  <si>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</si>
  <si>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</si>
  <si>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</si>
  <si>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</si>
  <si>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</si>
  <si>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</si>
  <si>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2.2.2</t>
  </si>
  <si>
    <t>7.7.7</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</si>
  <si>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</si>
  <si>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</si>
  <si>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</si>
  <si>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</si>
  <si>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</si>
  <si>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</si>
  <si>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</si>
  <si>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</si>
  <si>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</si>
  <si>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</si>
  <si>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</si>
  <si>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</si>
  <si>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</si>
  <si>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</si>
  <si>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</si>
  <si>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</si>
  <si>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</si>
  <si>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</si>
  <si>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</si>
  <si>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</si>
  <si>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</si>
  <si>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</si>
  <si>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</si>
  <si>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</si>
  <si>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</si>
  <si>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</si>
  <si>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</si>
  <si>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</si>
  <si>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</si>
  <si>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</si>
  <si>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</si>
  <si>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</si>
  <si>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</si>
  <si>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</si>
  <si>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</si>
  <si>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</si>
  <si>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</si>
  <si>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</si>
  <si>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</si>
  <si>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</si>
  <si>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</si>
  <si>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</si>
  <si>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</si>
  <si>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</si>
  <si>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</si>
  <si>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</si>
  <si>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</si>
  <si>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</si>
  <si>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</si>
  <si>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</si>
  <si>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</si>
  <si>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</si>
  <si>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</si>
  <si>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</si>
  <si>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</si>
  <si>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</si>
  <si>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</si>
  <si>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</si>
  <si>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</si>
  <si>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</si>
  <si>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</si>
  <si>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</si>
  <si>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</si>
  <si>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</si>
  <si>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</si>
  <si>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</si>
  <si>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</si>
  <si>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</si>
  <si>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</si>
  <si>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</si>
  <si>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</si>
  <si>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</si>
  <si>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</si>
  <si>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</si>
  <si>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</si>
  <si>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</si>
  <si>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</si>
  <si>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</si>
  <si>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</si>
  <si>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</si>
  <si>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</si>
  <si>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</si>
  <si>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</si>
  <si>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</si>
  <si>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</si>
  <si>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</si>
  <si>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</si>
  <si>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</si>
  <si>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</si>
  <si>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</si>
  <si>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</si>
  <si>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</si>
  <si>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</si>
  <si>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</si>
  <si>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</si>
  <si>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</si>
  <si>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</si>
  <si>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</si>
  <si>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</si>
  <si>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</si>
  <si>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</si>
  <si>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</si>
  <si>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</si>
  <si>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</si>
  <si>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</si>
  <si>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</si>
  <si>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</si>
  <si>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</si>
  <si>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</si>
  <si>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</si>
  <si>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</si>
  <si>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</si>
  <si>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</si>
  <si>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</si>
  <si>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</si>
  <si>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</si>
  <si>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</si>
  <si>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</si>
  <si>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</si>
  <si>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</si>
  <si>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</si>
  <si>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</si>
  <si>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</si>
  <si>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</si>
  <si>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</si>
  <si>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</si>
  <si>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</si>
  <si>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</si>
  <si>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</si>
  <si>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</si>
  <si>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</si>
  <si>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</si>
  <si>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</si>
  <si>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</si>
  <si>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</si>
  <si>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</si>
  <si>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</si>
  <si>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</si>
  <si>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</si>
  <si>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</si>
  <si>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</si>
  <si>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</si>
  <si>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</si>
  <si>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</si>
  <si>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</si>
  <si>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</si>
  <si>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</si>
  <si>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</si>
  <si>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</si>
  <si>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</si>
  <si>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</si>
  <si>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</si>
  <si>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</si>
  <si>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</si>
  <si>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</si>
  <si>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</si>
  <si>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</si>
  <si>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</si>
  <si>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</si>
  <si>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</si>
  <si>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</si>
  <si>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</si>
  <si>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</si>
  <si>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</si>
  <si>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</si>
  <si>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</si>
  <si>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</si>
  <si>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</si>
  <si>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</si>
  <si>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</si>
  <si>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</si>
  <si>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</si>
  <si>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</si>
  <si>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</si>
  <si>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</si>
  <si>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</si>
  <si>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</si>
  <si>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</si>
  <si>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</si>
  <si>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</si>
  <si>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</si>
  <si>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</si>
  <si>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</si>
  <si>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</si>
  <si>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</si>
  <si>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</si>
  <si>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</si>
  <si>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</si>
  <si>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</si>
  <si>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</si>
  <si>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</si>
  <si>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</si>
  <si>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</si>
  <si>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</si>
  <si>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</si>
  <si>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</si>
  <si>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</si>
  <si>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</si>
  <si>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</si>
  <si>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</si>
  <si>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</si>
  <si>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</si>
  <si>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</si>
  <si>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</si>
  <si>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</si>
  <si>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</si>
  <si>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</si>
  <si>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</si>
  <si>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</si>
  <si>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</si>
  <si>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</si>
  <si>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</si>
  <si>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</si>
  <si>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</si>
  <si>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</si>
  <si>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</si>
  <si>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</si>
  <si>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</si>
  <si>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</si>
  <si>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</si>
  <si>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</si>
  <si>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</si>
  <si>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</si>
  <si>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</si>
  <si>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</si>
  <si>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</si>
  <si>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</si>
  <si>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</si>
  <si>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</si>
  <si>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</si>
  <si>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</si>
  <si>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</si>
  <si>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</si>
  <si>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</si>
  <si>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</si>
  <si>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</si>
  <si>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</si>
  <si>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</si>
  <si>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</si>
  <si>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</si>
  <si>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</si>
  <si>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</si>
  <si>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</si>
  <si>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</si>
  <si>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</si>
  <si>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</si>
  <si>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</si>
  <si>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</si>
  <si>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</si>
  <si>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</si>
  <si>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</si>
  <si>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</si>
  <si>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</si>
  <si>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</si>
  <si>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</si>
  <si>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</si>
  <si>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</si>
  <si>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</si>
  <si>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</si>
  <si>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</si>
  <si>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</si>
  <si>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</si>
  <si>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</si>
  <si>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</si>
  <si>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</si>
  <si>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</si>
  <si>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</si>
  <si>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</si>
  <si>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</si>
  <si>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</si>
  <si>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</si>
  <si>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</si>
  <si>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</si>
  <si>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</si>
  <si>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</si>
  <si>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</si>
  <si>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</si>
  <si>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</si>
  <si>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</si>
  <si>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</si>
  <si>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</si>
  <si>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</si>
  <si>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</si>
  <si>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</si>
  <si>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</si>
  <si>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</si>
  <si>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</si>
  <si>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</si>
  <si>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</si>
  <si>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</si>
  <si>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</si>
  <si>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</si>
  <si>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</si>
  <si>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</si>
  <si>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</si>
  <si>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</si>
  <si>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</si>
  <si>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</si>
  <si>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</si>
  <si>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</si>
  <si>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</si>
  <si>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</si>
  <si>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</si>
  <si>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</si>
  <si>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</si>
  <si>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</si>
  <si>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</si>
  <si>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</si>
  <si>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</si>
  <si>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</si>
  <si>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</si>
  <si>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</si>
  <si>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</si>
  <si>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</si>
  <si>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</si>
  <si>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</si>
  <si>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</si>
  <si>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</si>
  <si>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</si>
  <si>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</si>
  <si>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</si>
  <si>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</si>
  <si>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</si>
  <si>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</si>
  <si>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</si>
  <si>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</si>
  <si>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</si>
  <si>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</si>
  <si>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</si>
  <si>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</si>
  <si>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</si>
  <si>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</si>
  <si>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</si>
  <si>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</si>
  <si>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</si>
  <si>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</si>
  <si>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</si>
  <si>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</si>
  <si>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</si>
  <si>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</si>
  <si>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</si>
  <si>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</si>
  <si>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</si>
  <si>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</si>
  <si>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</si>
  <si>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</si>
  <si>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</si>
  <si>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</si>
  <si>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</si>
  <si>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</si>
  <si>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</si>
  <si>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</si>
  <si>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</si>
  <si>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</si>
  <si>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</si>
  <si>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</si>
  <si>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</si>
  <si>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</si>
  <si>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</si>
  <si>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</si>
  <si>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</si>
  <si>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</si>
  <si>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</si>
  <si>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</si>
  <si>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</si>
  <si>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</si>
  <si>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</si>
  <si>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</si>
  <si>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</si>
  <si>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</si>
  <si>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</si>
  <si>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</si>
  <si>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</si>
  <si>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</si>
  <si>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</si>
  <si>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</si>
  <si>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</si>
  <si>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</si>
  <si>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</si>
  <si>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</si>
  <si>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</si>
  <si>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</si>
  <si>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</si>
  <si>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</si>
  <si>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</si>
  <si>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</si>
  <si>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</si>
  <si>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</si>
  <si>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</si>
  <si>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</si>
  <si>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</si>
  <si>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</si>
  <si>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</si>
  <si>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</si>
  <si>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</si>
  <si>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</si>
  <si>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</si>
  <si>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</si>
  <si>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</si>
  <si>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</si>
  <si>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</si>
  <si>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</si>
  <si>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</si>
  <si>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</si>
  <si>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</si>
  <si>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</si>
  <si>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</si>
  <si>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</si>
  <si>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</si>
  <si>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</si>
  <si>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</si>
  <si>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</si>
  <si>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</si>
  <si>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</si>
  <si>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</si>
  <si>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</si>
  <si>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</si>
  <si>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</si>
  <si>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</si>
  <si>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</si>
  <si>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</si>
  <si>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</si>
  <si>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</si>
  <si>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</si>
  <si>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</si>
  <si>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</si>
  <si>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</si>
  <si>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</si>
  <si>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</si>
  <si>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</si>
  <si>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</si>
  <si>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</si>
  <si>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</si>
  <si>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</si>
  <si>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</si>
  <si>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</si>
  <si>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</si>
  <si>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</si>
  <si>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</si>
  <si>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</si>
  <si>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</si>
  <si>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</si>
  <si>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</si>
  <si>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</si>
  <si>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</si>
  <si>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</si>
  <si>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</si>
  <si>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</si>
  <si>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</si>
  <si>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</si>
  <si>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</si>
  <si>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</si>
  <si>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</si>
  <si>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</si>
  <si>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</si>
  <si>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</si>
  <si>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</si>
  <si>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</si>
  <si>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</si>
  <si>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</si>
  <si>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</si>
  <si>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</si>
  <si>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</si>
  <si>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</si>
  <si>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</si>
  <si>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</si>
  <si>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</si>
  <si>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</si>
  <si>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</si>
  <si>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</si>
  <si>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</si>
  <si>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</si>
  <si>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</si>
  <si>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</si>
  <si>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</si>
  <si>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</si>
  <si>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</si>
  <si>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</si>
  <si>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</si>
  <si>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</si>
  <si>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</si>
  <si>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</si>
  <si>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</si>
  <si>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</si>
  <si>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</si>
  <si>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</si>
  <si>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</si>
  <si>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</si>
  <si>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</si>
  <si>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</si>
  <si>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</si>
  <si>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</si>
  <si>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</si>
  <si>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</si>
  <si>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</si>
  <si>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</si>
  <si>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</si>
  <si>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</si>
  <si>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</si>
  <si>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</si>
  <si>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</si>
  <si>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</si>
  <si>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</si>
  <si>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</si>
  <si>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</si>
  <si>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</si>
  <si>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</si>
  <si>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</si>
  <si>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</si>
  <si>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</si>
  <si>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</si>
  <si>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</si>
  <si>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</si>
  <si>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</si>
  <si>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</si>
  <si>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</si>
  <si>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</si>
  <si>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</si>
  <si>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</si>
  <si>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</si>
  <si>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</si>
  <si>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</si>
  <si>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</si>
  <si>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</si>
  <si>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</si>
  <si>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</si>
  <si>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</si>
  <si>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</si>
  <si>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</si>
  <si>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</si>
  <si>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</si>
  <si>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</si>
  <si>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</si>
  <si>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</si>
  <si>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</si>
  <si>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</si>
  <si>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</si>
  <si>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</si>
  <si>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</si>
  <si>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</si>
  <si>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</si>
  <si>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</si>
  <si>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</si>
  <si>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</si>
  <si>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</si>
  <si>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</si>
  <si>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</si>
  <si>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</si>
  <si>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</si>
  <si>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</si>
  <si>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</si>
  <si>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</si>
  <si>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</si>
  <si>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</si>
  <si>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</si>
  <si>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</si>
  <si>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</si>
  <si>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</si>
  <si>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</si>
  <si>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</si>
  <si>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</si>
  <si>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</si>
  <si>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</si>
  <si>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</si>
  <si>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</si>
  <si>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</si>
  <si>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</si>
  <si>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</si>
  <si>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</si>
  <si>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</si>
  <si>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</si>
  <si>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</si>
  <si>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</si>
  <si>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</si>
  <si>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</si>
  <si>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</si>
  <si>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</si>
  <si>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</si>
  <si>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</si>
  <si>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</si>
  <si>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</si>
  <si>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</si>
  <si>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</si>
  <si>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</si>
  <si>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</si>
  <si>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</si>
  <si>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</si>
  <si>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</si>
  <si>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</si>
  <si>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</si>
  <si>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</si>
  <si>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</si>
  <si>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</si>
  <si>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</si>
  <si>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</si>
  <si>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</si>
  <si>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</si>
  <si>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</si>
  <si>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</si>
  <si>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</si>
  <si>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</si>
  <si>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</si>
  <si>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</si>
  <si>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</si>
  <si>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</si>
  <si>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</si>
  <si>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</si>
  <si>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</si>
  <si>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</si>
  <si>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</si>
  <si>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</si>
  <si>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</si>
  <si>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</si>
  <si>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</si>
  <si>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</si>
  <si>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</si>
  <si>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</si>
  <si>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</si>
  <si>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</si>
  <si>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</si>
  <si>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</si>
  <si>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</si>
  <si>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</si>
  <si>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</si>
  <si>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</si>
  <si>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</si>
  <si>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</si>
  <si>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</si>
  <si>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</si>
  <si>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</si>
  <si>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</si>
  <si>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</si>
  <si>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</si>
  <si>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</si>
  <si>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</si>
  <si>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</si>
  <si>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</si>
  <si>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</si>
  <si>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</si>
  <si>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</si>
  <si>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</si>
  <si>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</si>
  <si>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</si>
  <si>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</si>
  <si>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</si>
  <si>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</si>
  <si>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</si>
  <si>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</si>
  <si>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</si>
  <si>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</si>
  <si>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</si>
  <si>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</si>
  <si>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</si>
  <si>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</si>
  <si>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</si>
  <si>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</si>
  <si>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</si>
  <si>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</si>
  <si>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</si>
  <si>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</si>
  <si>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</si>
  <si>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</si>
  <si>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</si>
  <si>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</si>
  <si>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</si>
  <si>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</si>
  <si>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</si>
  <si>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</si>
  <si>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</si>
  <si>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</si>
  <si>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</si>
  <si>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</si>
  <si>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</si>
  <si>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</si>
  <si>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</si>
  <si>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</si>
  <si>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</si>
  <si>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</si>
  <si>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</si>
  <si>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</si>
  <si>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</si>
  <si>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</si>
  <si>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</si>
  <si>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</si>
  <si>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</si>
  <si>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</si>
  <si>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</si>
  <si>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</si>
  <si>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</si>
  <si>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</si>
  <si>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</si>
  <si>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</si>
  <si>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</si>
  <si>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</si>
  <si>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</si>
  <si>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</si>
  <si>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</si>
  <si>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</si>
  <si>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</si>
  <si>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</si>
  <si>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</si>
  <si>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</si>
  <si>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</si>
  <si>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</si>
  <si>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</si>
  <si>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</si>
  <si>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</si>
  <si>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</si>
  <si>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</si>
  <si>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</si>
  <si>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</si>
  <si>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</si>
  <si>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</si>
  <si>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</si>
  <si>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</si>
  <si>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</si>
  <si>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</si>
  <si>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</si>
  <si>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</si>
  <si>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</si>
  <si>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</si>
  <si>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</si>
  <si>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</si>
  <si>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</si>
  <si>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</si>
  <si>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</si>
  <si>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</si>
  <si>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</si>
  <si>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</si>
  <si>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</si>
  <si>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</si>
  <si>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</si>
  <si>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</si>
  <si>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</si>
  <si>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</si>
  <si>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</si>
  <si>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</si>
  <si>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</si>
  <si>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</si>
  <si>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</si>
  <si>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</si>
  <si>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</si>
  <si>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</si>
  <si>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</si>
  <si>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</si>
  <si>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</si>
  <si>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</si>
  <si>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</si>
  <si>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</si>
  <si>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</si>
  <si>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</si>
  <si>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</si>
  <si>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</si>
  <si>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</si>
  <si>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</si>
  <si>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</si>
  <si>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</si>
  <si>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</si>
  <si>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</si>
  <si>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</si>
  <si>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</si>
  <si>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</si>
  <si>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</si>
  <si>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</si>
  <si>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</si>
  <si>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</si>
  <si>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</si>
  <si>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</si>
  <si>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</si>
  <si>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</si>
  <si>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</si>
  <si>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</si>
  <si>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</si>
  <si>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</si>
  <si>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</si>
  <si>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</si>
  <si>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</si>
  <si>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</si>
  <si>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</si>
  <si>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</si>
  <si>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</si>
  <si>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</si>
  <si>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</si>
  <si>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</si>
  <si>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</si>
  <si>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</si>
  <si>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</si>
  <si>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</si>
  <si>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</si>
  <si>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</si>
  <si>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</si>
  <si>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</si>
  <si>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</si>
  <si>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</si>
  <si>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</si>
  <si>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</si>
  <si>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</si>
  <si>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</si>
  <si>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</si>
  <si>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</si>
  <si>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</si>
  <si>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</si>
  <si>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</si>
  <si>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</si>
  <si>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</si>
  <si>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</si>
  <si>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</si>
  <si>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</si>
  <si>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</si>
  <si>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</si>
  <si>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</si>
  <si>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</si>
  <si>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</si>
  <si>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</si>
  <si>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</si>
  <si>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</si>
  <si>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</si>
  <si>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</si>
  <si>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</si>
  <si>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</si>
  <si>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</si>
  <si>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</si>
  <si>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</si>
  <si>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</si>
  <si>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</si>
  <si>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</si>
  <si>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</si>
  <si>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</si>
  <si>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</si>
  <si>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</si>
  <si>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</si>
  <si>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</si>
  <si>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</si>
  <si>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</si>
  <si>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</si>
  <si>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</si>
  <si>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</si>
  <si>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</si>
  <si>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</si>
  <si>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</si>
  <si>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</si>
  <si>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</si>
  <si>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</si>
  <si>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</si>
  <si>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</si>
  <si>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</si>
  <si>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</si>
  <si>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</si>
  <si>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</si>
  <si>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</si>
  <si>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</si>
  <si>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</si>
  <si>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</si>
  <si>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</si>
  <si>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</si>
  <si>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</si>
  <si>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</si>
  <si>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</si>
  <si>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</si>
  <si>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</si>
  <si>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</si>
  <si>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</si>
  <si>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1.a.1</t>
  </si>
  <si>
    <t>ESTUDIANTES</t>
  </si>
  <si>
    <t>GESTIÓN ADMINISTRATIVA Y DE RECUSOS MATERIALES Y FINANCIEROS</t>
  </si>
  <si>
    <t>GESTIÓN ACADÉMICA: DESARROLLO Y RECURSOS HUMANOS</t>
  </si>
  <si>
    <t xml:space="preserve"> 2) Índice de repitencia, índice de eficiencia terminal, índice de deserción, índice académico global, porcentaje de aprobación.                         3) Informes de seguimiento a graduados.</t>
  </si>
  <si>
    <t>b.3.1</t>
  </si>
  <si>
    <t>b.4.1</t>
  </si>
  <si>
    <t>VINCULACIÓN UNIVERSIDAD SOCIEDAD</t>
  </si>
  <si>
    <t>c) La carrera realiza opciones de mejora de la pertinencia y calidad educativa</t>
  </si>
  <si>
    <r>
      <t xml:space="preserve">1) Currículos actualizados en todas las carreras y facultades de la UNAH </t>
    </r>
    <r>
      <rPr>
        <sz val="11"/>
        <color rgb="FF0033CC"/>
        <rFont val="Calibri"/>
        <family val="2"/>
      </rPr>
      <t xml:space="preserve">, </t>
    </r>
    <r>
      <rPr>
        <sz val="11"/>
        <rFont val="Calibri"/>
        <family val="2"/>
      </rPr>
      <t xml:space="preserve"> de acuerdo a exigencias y tendencias modernas  (desarrollo científico, tecnológico , entorno social  y  resultados de las investigaciones realizadas).</t>
    </r>
  </si>
  <si>
    <t xml:space="preserve">1.a.1              </t>
  </si>
  <si>
    <t>1.a.2</t>
  </si>
  <si>
    <t>1.a.3</t>
  </si>
  <si>
    <t>b. 1)  Realizar al menos cuatro (4) convenios con universidades del exterior para la adecuación de los currículos al Modelo Educativo y a la modernización de los mismos.</t>
  </si>
  <si>
    <t>b.2.2</t>
  </si>
  <si>
    <t>b.2.3</t>
  </si>
  <si>
    <t>b.3.2</t>
  </si>
  <si>
    <t>c.1.1</t>
  </si>
  <si>
    <t xml:space="preserve">c.2.1 </t>
  </si>
  <si>
    <r>
      <t xml:space="preserve">1) Creado y funcionando un Comité de Vinculación en </t>
    </r>
    <r>
      <rPr>
        <sz val="12"/>
        <color rgb="FF0066CC"/>
        <rFont val="Calibri"/>
        <family val="2"/>
      </rPr>
      <t>cada Escuela Universitaria y en cada Departamanto</t>
    </r>
    <r>
      <rPr>
        <sz val="12"/>
        <rFont val="Calibri"/>
        <family val="2"/>
      </rPr>
      <t>.</t>
    </r>
  </si>
  <si>
    <t>3.a.1</t>
  </si>
  <si>
    <t>b.2.2 Cada grupo docente de acuerdo a su área de conocimiento será agente multiplicador del Taller de Capacitacitación sobre los fundamentos y principios del nuevo Modelo Educativo en sus respectivos departamentos.</t>
  </si>
  <si>
    <t xml:space="preserve">b.2.1  Impartir talleres de capacitación a 162 docentes de la UNAH en el Valle de Sula divididos en Escuelas,  sobre los fundamentos y principios del nuevo modelo educativo.     </t>
  </si>
  <si>
    <t>B) Adecuación ó creación de mecanismos de registro y control docente con enfoque integral.</t>
  </si>
  <si>
    <t>Docentes reubicados en función de su disciplina y campo del conocimiento</t>
  </si>
  <si>
    <t xml:space="preserve">1) Docentes regularizados y contratados de acuerdo a la meta propuesta.                                                                                                                                                                                             </t>
  </si>
  <si>
    <t xml:space="preserve">Sección creada                       Plan de capacitación                           12 cursos de capacitación  </t>
  </si>
  <si>
    <t>No. De unidades</t>
  </si>
  <si>
    <t>Universidad está funcionando con normalidad</t>
  </si>
  <si>
    <t>Fortalecimiento de la Estructura de Investigación UNAH-VS</t>
  </si>
  <si>
    <t>Registro de Unidades de Investigación</t>
  </si>
  <si>
    <t>Unidades académicas/Investigadores</t>
  </si>
  <si>
    <t>Coordinación Regional de Investigación UNAH-VS</t>
  </si>
  <si>
    <t>Evento</t>
  </si>
  <si>
    <t>Socialización de las líneas y prioridades de UNAH-VS</t>
  </si>
  <si>
    <t>Listado de participantes</t>
  </si>
  <si>
    <t>Autoridades , docentes, investigadores y estudiantes  de UNAH-VS</t>
  </si>
  <si>
    <t>Diplomado presencial</t>
  </si>
  <si>
    <t>Autoridades y docentes de UNAH-VS</t>
  </si>
  <si>
    <t>Diplomado Virtual</t>
  </si>
  <si>
    <t>Apoyo a realización de diversos eventos cientìficos</t>
  </si>
  <si>
    <t>Coordinación Regional de Investigación UNAH-VS/Unidades Acadèmicas</t>
  </si>
  <si>
    <t>Elaboraciòn instrumento</t>
  </si>
  <si>
    <t>Autoridades, docentes, investigadores</t>
  </si>
  <si>
    <t>Establecimiento de líneas de investigación</t>
  </si>
  <si>
    <t>Líneas de investigación</t>
  </si>
  <si>
    <t>Coordinadores y jefes de Carreras participan en capacitación</t>
  </si>
  <si>
    <t>Identificación de líneas a prioridades a nivel de Escuelas</t>
  </si>
  <si>
    <t>Inversión institucional para la incorporación de herramientas informáticas y tecnològicas</t>
  </si>
  <si>
    <t>Acuerdos para el USO del Progarma CITAVI</t>
  </si>
  <si>
    <t>Convenio establecido</t>
  </si>
  <si>
    <t>Uso de Programa Informatica como herramienta para el investigador</t>
  </si>
  <si>
    <t>Progama instalado y funcionando</t>
  </si>
  <si>
    <t>Socializaciòn Polìtica de Investigaciòn Cientifica y Tecnològica</t>
  </si>
  <si>
    <t>Publicación</t>
  </si>
  <si>
    <t>Existen resultado de Investigación</t>
  </si>
  <si>
    <t>Difundir resultados de investigación</t>
  </si>
  <si>
    <t>Articulo publicado</t>
  </si>
  <si>
    <t>Docentes, investigadores</t>
  </si>
  <si>
    <t>Socialización de Política de Investigación UNAH</t>
  </si>
  <si>
    <t>Creación página Web de la Coordinación Regional de Investigación</t>
  </si>
  <si>
    <t>No. de unidades</t>
  </si>
  <si>
    <t>Se dispone de apoyo</t>
  </si>
  <si>
    <t>Difusión de la actividad científica UNAH-VS</t>
  </si>
  <si>
    <t>Página Web</t>
  </si>
  <si>
    <t>Investigadores/docentes usuarios en general</t>
  </si>
  <si>
    <t>Publicaciones en linea</t>
  </si>
  <si>
    <t>II Congreso de Investigación Científica</t>
  </si>
  <si>
    <t>La universidad funciona normalmente</t>
  </si>
  <si>
    <t>Difusión de los resultados de Investigación en UNAH-VS</t>
  </si>
  <si>
    <t>Docentes, Investigadores y estudiantes</t>
  </si>
  <si>
    <t>Estudiantes, investigadores, docentes</t>
  </si>
  <si>
    <t>Se conceden becas de Investigación</t>
  </si>
  <si>
    <t>Incentivos de apoyo a la Investigación</t>
  </si>
  <si>
    <t>Becas otorgado</t>
  </si>
  <si>
    <t>Investigadores</t>
  </si>
  <si>
    <t>Gestión de CATI</t>
  </si>
  <si>
    <t>Acceso a bases de patentes a nivel mundial</t>
  </si>
  <si>
    <t>CATI Funcionando</t>
  </si>
  <si>
    <t>Acondicionamiento Oficina</t>
  </si>
  <si>
    <t>Se cuenta con presupuesto</t>
  </si>
  <si>
    <t>Apoyo al funciomiento Cri-UNAH VS</t>
  </si>
  <si>
    <t>CRI UNAH-VS Acondicionada</t>
  </si>
  <si>
    <t>Coordinaciòn de Investigaciòn</t>
  </si>
  <si>
    <t>2.a.a</t>
  </si>
  <si>
    <t>2.b.1</t>
  </si>
  <si>
    <t>2.b.2.</t>
  </si>
  <si>
    <t>2.b.2</t>
  </si>
  <si>
    <t>2.b.3</t>
  </si>
  <si>
    <t xml:space="preserve">INVESTIGACION CIENTIFICA </t>
  </si>
  <si>
    <t>2.b.4</t>
  </si>
  <si>
    <t>2.b.5</t>
  </si>
  <si>
    <t>2.b.6</t>
  </si>
  <si>
    <t>3.a.2</t>
  </si>
  <si>
    <t>3.a.3</t>
  </si>
  <si>
    <t>3.a.4</t>
  </si>
  <si>
    <t xml:space="preserve">Realizacion de II Congreso de Investigacion Cientifica </t>
  </si>
  <si>
    <t xml:space="preserve">Acondicionamiento de Oficina Investigacion Cientifica </t>
  </si>
  <si>
    <t xml:space="preserve">Curriculos actualizados y pertinentes. </t>
  </si>
  <si>
    <t xml:space="preserve">No de Carreras que finalizaron el proceso de reforma curricular </t>
  </si>
  <si>
    <t xml:space="preserve">  1.a.2     18   Carreras realizando el  proceso de reforma curricular          </t>
  </si>
  <si>
    <t>Acompañamiento y elaboración de estrategias de mejora oportunas</t>
  </si>
  <si>
    <t>% de redisños curriculares realizándose con éxito.</t>
  </si>
  <si>
    <t xml:space="preserve">1..a.3  Seguimiento y evaluación del proceso de reforma curricular trimestralmente a cargo de la Subdirección académica a través del Departamento de Desarrollo Curricular de la Coordinación de Docencia.     </t>
  </si>
  <si>
    <t>Políticas y programas de apoyo a la docencia y desarrollo curricular diseñadas y ejecución.</t>
  </si>
  <si>
    <t>Un Departamento de Desarrollo Curricular creado.</t>
  </si>
  <si>
    <t>1.a.4</t>
  </si>
  <si>
    <t>1.a.4 Creación del Departamento de Desarrollo Curricular de la Coordinación de Docencia.</t>
  </si>
  <si>
    <t xml:space="preserve">numero de estudios realizados </t>
  </si>
  <si>
    <t xml:space="preserve">1) Porcentaje de planes de estudio actualizados a nivel  de UNAH en el Valle de Sula  en todas las carreras adscritas a los departamentos.    </t>
  </si>
  <si>
    <t xml:space="preserve">1.a.1 Realización de investigaciones  por carrera que permita evaluar la pertinencia de los planes de estudio.                                                                                                                                         </t>
  </si>
  <si>
    <t xml:space="preserve">Desarrollo Curricular Direccion </t>
  </si>
  <si>
    <t>1.a.4 Creación del Departamento de Desarrollo Curricular de la Coordinación de Docencia. Pago de plus</t>
  </si>
  <si>
    <t>b.1.1  Realizar con el apoyo de universidades líderes con las cuales se han firmado convenios,talleres y seminarios sobre  las exigencias del desarrollo tecnológico, científico y del entorno social para ajustar los planes y programas de estudio de las carreras de la UNAH.</t>
  </si>
  <si>
    <t>b.2 ) % de docentes de la UNAH  en el Valle de Sula que están aplicando el Modelo Educativo a nivel de aula y  desarrollando innovaciones educativas en lo que respecta a la implementaciónde Métodos problémicos y estrategias de aprendizaje..</t>
  </si>
  <si>
    <t xml:space="preserve">DESARROLLO CURRICULAR DIRECCION </t>
  </si>
  <si>
    <t>b.3.1  Ejecución de la ruta del desarrollo curricular en las unidades Académicas a nivel de  Programas de asignaturas y Planes de Clase.</t>
  </si>
  <si>
    <t xml:space="preserve">  b.3.2 Seguimiento, evaluación y asesoramiento continuo y sistemático a los docentes que están aplicando el Modelo Educativo a nivel de Aula.</t>
  </si>
  <si>
    <t>1) % de docentes que están implementando innovaciones educativos.                         2) Número de experiencias de innovación curricular.</t>
  </si>
  <si>
    <t xml:space="preserve">b.2.3 Impartir  5 Diplomados en didáctica autofinanciables  con enfoque constructivista, Teoría Crítica y Enfoque Humanista.        </t>
  </si>
  <si>
    <t xml:space="preserve">b.4.1 Capacitación en el manejo de la base de datos de Registro, Secretaría y Desarrollo Institucional  y demás instancias de Gestión Académica  de la UNAH en el Valle de Sula.                                                          b.4.2 Realización de investigaciones educativas para determinar las causas de la repitencia, deserción, etc.               </t>
  </si>
  <si>
    <t>3) Nuevo Modelo Educativo incorporado en por lo menos 18 carreras.</t>
  </si>
  <si>
    <t xml:space="preserve">b.5.1  Incorporar al menos 18 carreras al nuevo modelo educativo a nivel de planes de estudio, proceso a realizar durante la reforma curricular.                           </t>
  </si>
  <si>
    <t>c.1.1 Para las carreras existentes, actualizar permanentemente los currículos de acuerdo a estudios de pertinencia y de mercado, a realizar y conforme a los planes de mejora del proceso de autoevaluación.</t>
  </si>
  <si>
    <t>c.2.1 Ejecutar los planes de mejora propuestos producto del proceso de autoevaluación de las carreras de acuerdo al POA presentado por los departamentos a los que están adscritas.</t>
  </si>
  <si>
    <t xml:space="preserve">c.3.1  Apropiación, alineamiento y articulación de las unidades académicas de la UNAH en el Valle de Sula con los requerimientos del SHACES. </t>
  </si>
  <si>
    <t>1) Normas Académicas de la UNAH socializadas en tres etapas a 160 docentes                                                                                                                                                                                           2)Publicación disponible.</t>
  </si>
  <si>
    <t>d.4.1  Una vez aprobadas, socializar  las  Normas Académicas a toda la comunidad universitaria en tres etapas, en el caso de los docentes participantes harán el papel de replicadores en sus respectivos departamentos.                                                                                                                                                                                              d.4.2  Facilitar un ejemplar (físico y electrónico)de las Normas Académicas a cada docente de la UNAH en el Valle de Sula.            d.4.3 Dar seguimiento al proceso de socialización por parte de los replicadores.</t>
  </si>
  <si>
    <t xml:space="preserve">1) Aplicación del Modelo Educativo en el proceso de enseñanza-aprendizaje en el Depto de Lenguas Extranjeras. </t>
  </si>
  <si>
    <t>25 % de docentes que están desarrollando innovaciones educativas.</t>
  </si>
  <si>
    <t>1.b.1</t>
  </si>
  <si>
    <t xml:space="preserve">b.1 Realizar talleres de capacitacion a docentes sobre los fundamentos y principios del nuevo modelo educativo.                                                </t>
  </si>
  <si>
    <t>Participacion ISPD</t>
  </si>
  <si>
    <t>Pertinencia de la formacion del docente universitario</t>
  </si>
  <si>
    <t>Portafolio,</t>
  </si>
  <si>
    <t xml:space="preserve">Docentes </t>
  </si>
  <si>
    <t>ISPD y Depto. De Lenguas Extranjeras</t>
  </si>
  <si>
    <t>2) Implementándose innovaciones en la Didáctica aplicada en las asignaturas de idioma extranjero.</t>
  </si>
  <si>
    <t>75%  del personal docente utilizando innovaciones didacticas.</t>
  </si>
  <si>
    <t>1.b.2</t>
  </si>
  <si>
    <t>b.2 Ejecución y aplicación de tecnicas innovadoras en el proceso e-a</t>
  </si>
  <si>
    <t>docente</t>
  </si>
  <si>
    <t>Docentes inscritos parrticipando  en los programas de Maestria</t>
  </si>
  <si>
    <t>Necesidad de propiciar el desarrollo de  la compentencia comunicativa en idioma extranjero de los estudiantes</t>
  </si>
  <si>
    <t>Lisatado de matricula de docentes en Maestria de Enseñanza de Ingles como Lengua Extranjera</t>
  </si>
  <si>
    <t>Docentes del Depto. Lenguas Extranjeras UNAH-VS</t>
  </si>
  <si>
    <t>4) Contar con normativa académica actualizada y pertinente y aplicándose de forma correcta en las diferentes instacias de la UNAH.                                                        e) Diseño del Programa de Desarrollo del Modelo Educativo y sus diferentes componentes.</t>
  </si>
  <si>
    <t>Estudiantes de Ing. Industrial con competencias de comunicación en la lengua inglesa en desarrollo.</t>
  </si>
  <si>
    <t>Estudiantes de tercer año de Ing. Ind. Desarrollando competencias comunicativas en Inglés</t>
  </si>
  <si>
    <t>1.b.3</t>
  </si>
  <si>
    <t>Diplomado</t>
  </si>
  <si>
    <t>Contar con suficiente personal docente.</t>
  </si>
  <si>
    <t>El inglés como categoría curricular ha llegado a ser una auténtica necesidad en los planes de formación, evidenciada por razones de tipo laboral, profesional, cultural e intercambio de información</t>
  </si>
  <si>
    <t>Listado de estudiantes Ing. Ind. inscritos en el diplomado.</t>
  </si>
  <si>
    <t>Estudiantes de Ing. Ind.</t>
  </si>
  <si>
    <t>Depto. de Lenguas Extranjeras, Ing. Industrial, Docencia, Dirección UNAH-VS</t>
  </si>
  <si>
    <t xml:space="preserve">4) Contar con normativa académica actualizada y pertinente y aplicándose de forma correcta en las diferentes instacias            de la UNAH.                                                        </t>
  </si>
  <si>
    <t>1) Socializada la Normativa de la UNAH                                                                                                                                                                                                                          .</t>
  </si>
  <si>
    <t>1.b.4</t>
  </si>
  <si>
    <t>Docentes de Lenguas EXtranjeras</t>
  </si>
  <si>
    <t>Departamento de Lenguas Extranjeras</t>
  </si>
  <si>
    <t xml:space="preserve">Lenguas extranjeras </t>
  </si>
  <si>
    <t xml:space="preserve">lenguas extranjeras </t>
  </si>
  <si>
    <t>COMPUTADORA DE ESCRITORIO</t>
  </si>
  <si>
    <t xml:space="preserve">WEBCAM </t>
  </si>
  <si>
    <t>AURICULAR Y MICROFONO</t>
  </si>
  <si>
    <t>AIRE ACONDICIONADO</t>
  </si>
  <si>
    <t>RETROPROYECTOR</t>
  </si>
  <si>
    <t>IMPRESORA DE RED</t>
  </si>
  <si>
    <t>JUEGO DE MUEBLES PARA COMPUTADORA PERSONAL</t>
  </si>
  <si>
    <t>CABLE HMDI</t>
  </si>
  <si>
    <t>CABLE VGA</t>
  </si>
  <si>
    <t>SWITCH 48 Puertos</t>
  </si>
  <si>
    <t>ROUTER INALAMBRICO</t>
  </si>
  <si>
    <t>INSTALACION DE RED</t>
  </si>
  <si>
    <t>BATERIAS UPS</t>
  </si>
  <si>
    <t xml:space="preserve">laboratorio de lenguas extranjeras </t>
  </si>
  <si>
    <t>Proyector</t>
  </si>
  <si>
    <t>Parlantes</t>
  </si>
  <si>
    <t>Laptop</t>
  </si>
  <si>
    <t>Techo por aula</t>
  </si>
  <si>
    <t>Cielo Raso por aula</t>
  </si>
  <si>
    <t>Cubeta Pintura</t>
  </si>
  <si>
    <t>ventanas</t>
  </si>
  <si>
    <t>ventiladores</t>
  </si>
  <si>
    <t>mano de obra por cielo raso</t>
  </si>
  <si>
    <t xml:space="preserve">psicologia </t>
  </si>
  <si>
    <t>DEPTO DE PSICOLOGIA UNAH-VS</t>
  </si>
  <si>
    <t xml:space="preserve">registro </t>
  </si>
  <si>
    <t xml:space="preserve">Contratacion de personal docente y administrativo </t>
  </si>
  <si>
    <t xml:space="preserve">Numero de nuevas plazas </t>
  </si>
  <si>
    <t>JEFE DE REGISTRO DE REGISTRO</t>
  </si>
  <si>
    <t xml:space="preserve">secretaria y registro </t>
  </si>
  <si>
    <t>OFICINA DE REGISTRO  Y  SECRETARIA</t>
  </si>
  <si>
    <t xml:space="preserve">Cámaras de Seguridad registro </t>
  </si>
  <si>
    <t xml:space="preserve">Infraestructura remodelación oficina registro </t>
  </si>
  <si>
    <t>Transversalización del Eje de Ética en las actividades administrativas ya cadémicas de la UNAH.</t>
  </si>
  <si>
    <t>publicidad</t>
  </si>
  <si>
    <t>la coord. de Lo Esencial destina recursos para  reproducción de materiales de difusión  de código de ética y manuales del comportamiento axiológico en la comunidad u universitaria</t>
  </si>
  <si>
    <t>socializar los  lineamientos institucionales en el tema de ética, ciudadanía, cultura.</t>
  </si>
  <si>
    <t>Material impreso, manuales y códigos  de ética</t>
  </si>
  <si>
    <t>Unidades académicas, personal docente de todas  las carreras, comunidad estudiantil.</t>
  </si>
  <si>
    <t xml:space="preserve">Grupo gestor "Lo Esencial", jefes de las unidades académicas y administrativas </t>
  </si>
  <si>
    <t>talleres</t>
  </si>
  <si>
    <t xml:space="preserve"> Disposición de las autoridades  académicas en  brindar jornadas de trbajo a docentes y grupos de estudiantes. </t>
  </si>
  <si>
    <t>capacitar a las unidades académicas  en ejes de  ética y bioética</t>
  </si>
  <si>
    <t>talleres brindados, jornadas de trabajo realizadas</t>
  </si>
  <si>
    <t xml:space="preserve">Compromiso institucional en la ejecución de planes y búsqueda de aliados estratégicos para firma de convenios. </t>
  </si>
  <si>
    <t>alianzas estratégicas UNAH-VS y  entidades culturales del Valle de Sula</t>
  </si>
  <si>
    <t>planes de trabajo y  convenios suscritos</t>
  </si>
  <si>
    <t xml:space="preserve">Unidades acdémicas y administrativas </t>
  </si>
  <si>
    <t>proyecto</t>
  </si>
  <si>
    <t>Recursos destinados a implementación de proyectos culturales</t>
  </si>
  <si>
    <t>promoción y rescate de la cultura y el arte en el área comprendida RED 2</t>
  </si>
  <si>
    <t>Proyectos ejecutados</t>
  </si>
  <si>
    <t>Comunidad docente, administrativa y estudiantil UNAH-VS, comunidades  Red 2</t>
  </si>
  <si>
    <t>Grupo de voluntariado UNAH-VS, instituciones educativas, empresariales y artísticas del Valle de Sula</t>
  </si>
  <si>
    <t>Programa</t>
  </si>
  <si>
    <t>Disposición de las autoridades académicas  y voluntariado Lo Esencial para proponer proyectos de promoción.</t>
  </si>
  <si>
    <t xml:space="preserve">Trabajo conjunto Red 2 UNAH-VS  con  AMHON, SCAD Y SEPLAN. </t>
  </si>
  <si>
    <t>Convenios de participación conjunta.</t>
  </si>
  <si>
    <t>plan de acción</t>
  </si>
  <si>
    <t>Recursos destinados a implementación de los planes de accción</t>
  </si>
  <si>
    <t xml:space="preserve">Puesta en marcha los planes de los diferentes ejes                                                                                        </t>
  </si>
  <si>
    <t>planes de acción ejecutados progrevsivamente</t>
  </si>
  <si>
    <t>conferencias</t>
  </si>
  <si>
    <t xml:space="preserve">programa Lo Esencial, destina recursos para al menos un encuentro regional </t>
  </si>
  <si>
    <t xml:space="preserve">intercambio y retrolimentación  en el campo del  quehacer cultural </t>
  </si>
  <si>
    <t>encuentro/congreso</t>
  </si>
  <si>
    <t xml:space="preserve">Grupo de voluntros y comités de gesti+ón cultural </t>
  </si>
  <si>
    <t>Alianza estratégica</t>
  </si>
  <si>
    <t>Disposición de las autoridades académicas  y voluntariado Lo Esencial para proponer  alianzas estratégicas</t>
  </si>
  <si>
    <t>Necesidad  de alianzas  estratégicas en el campo cultural,ético, identidad, ciudadanía</t>
  </si>
  <si>
    <t>convenio firmados</t>
  </si>
  <si>
    <t xml:space="preserve"> Dirección UNAH-VS, Coordinadores de los  componentes, grupo gestor </t>
  </si>
  <si>
    <t>feria</t>
  </si>
  <si>
    <t>Recursos destinados a la  prácticas culturales</t>
  </si>
  <si>
    <t>rescate de buenas prácticas de cultura,identidad,etica, ciudadanía.</t>
  </si>
  <si>
    <t>feria anual</t>
  </si>
  <si>
    <t>Comunidades de Cortés Sant Bárbara, Parte de Yoro, comunidad UNAH-VS</t>
  </si>
  <si>
    <t xml:space="preserve">PUBLICIDAD LO ESCENCIAL </t>
  </si>
  <si>
    <t xml:space="preserve">LO ESCENCIAL </t>
  </si>
  <si>
    <t xml:space="preserve">EVENTOS LO ESCENCIAL </t>
  </si>
  <si>
    <t>6.a.1</t>
  </si>
  <si>
    <t>6.a.1 Monitoreo, seguimiento y evaluación del desarrollo y funcionamiento de la plataforma tecnológica en la UNAH - VS.</t>
  </si>
  <si>
    <t>6.b.1</t>
  </si>
  <si>
    <t>6.c.1</t>
  </si>
  <si>
    <t>6.d.1</t>
  </si>
  <si>
    <t xml:space="preserve">6.d.1 Regularizar docentes ya contratados para tener un mínimo de docentes a tiempo completo en todas las unidades.                                                                                                    </t>
  </si>
  <si>
    <t>6.d.2</t>
  </si>
  <si>
    <t>6.d.2 Aplicar el artícula 2 de las Disposiciones Generales del Reglamento de Departamentos y Carreras.</t>
  </si>
  <si>
    <t>6.e.1 Dotar a todas las Unidades Académicas y Administrativas de manuales de procedimientos y toda clase de normativa interna e institucional para el buen funcionamiento y cumplimiento de sus actividades.</t>
  </si>
  <si>
    <t>RRHH</t>
  </si>
  <si>
    <t xml:space="preserve">PUERTAS </t>
  </si>
  <si>
    <t xml:space="preserve">VENTANAS </t>
  </si>
  <si>
    <t xml:space="preserve">EQUIPAMIENTO DE AULAS </t>
  </si>
  <si>
    <t xml:space="preserve">PANTALLA DATA </t>
  </si>
  <si>
    <t xml:space="preserve">MEJORA DE AULAS </t>
  </si>
  <si>
    <t>6.f.4 Creacion de la Unidad de Clima Organizacional   que estara encargada de la motivacion, satisfaccion. (Contratacion docencia y RRHH)                          6.f.5  Disño de unplan para el desarrollo de valores, identidad, pertinencia,, compromiso y responsabilidad</t>
  </si>
  <si>
    <t>6.f.1  Crear  la Sección de Desarrollo del Talento teniendo entre sus funciones el desarrollo del talento humano. (Contratacion DOCENCIA Y RRHH)           6.f.2   Diseñar un plan de capacitación para todos los recursos humanos.    6.f.3  Desarrollar cursos de capacitación que contribuyan al desarrollo del talento humano</t>
  </si>
  <si>
    <t>A</t>
  </si>
  <si>
    <t xml:space="preserve">% de perfiles elaborados con visión estratégica de desarrollo académico.                                           %  de docentes contrados mediante el uso de estos perfiles . </t>
  </si>
  <si>
    <t>1.b.1        1.b.2          1.b.3</t>
  </si>
  <si>
    <t>% de concursos transparentes y eficientes</t>
  </si>
  <si>
    <t xml:space="preserve">2.b.1 </t>
  </si>
  <si>
    <t>2.b.1 En la reforma del Estatuto del Docente Universitario incluir medidas y mecanismos de transparencia, rendición de cuentas y eficacia que regulen los proceso de selección para los Comisiones de Concurso, Consejos Locales de Carrera Docente y Consejo General de Carrera Docente.</t>
  </si>
  <si>
    <t xml:space="preserve">1 Plan  Quinquenal de formación docente. </t>
  </si>
  <si>
    <t>3.b.1</t>
  </si>
  <si>
    <t xml:space="preserve">3.b.1 Elaboración del plan quinquenal de formación docente a nivel de posgrados y diplomados en las áreas disciplinarias de la UNAH en el Valle de Sula.        </t>
  </si>
  <si>
    <t>3.b.2</t>
  </si>
  <si>
    <t xml:space="preserve">Docentes profesionalizado a nivel de Licenciatura en Filosofía. </t>
  </si>
  <si>
    <t xml:space="preserve">Un programa de profesionalización.              </t>
  </si>
  <si>
    <t>3.b.3</t>
  </si>
  <si>
    <t>3.b.3 Crear un programa de profesionalización a nivel de Licenciatura en Filosofía y diseñar el currículum con una duración  de dos años y  un mínimo de 20 asignaturas y los perfiles de entrada, permanencia y egreso,</t>
  </si>
  <si>
    <t>4) Programa de evaluación del desempeño diseñado y aprobado por las autoridades superiores y puesto en funcionamiento con un piloto a partir del año 2014.</t>
  </si>
  <si>
    <t>1.b.1 Diplomado en planificación estratégica de desarrollo académico (expositor extranjero y 51 participantes).             1.b.2 Elaboración de perfiles docentes con visión estratégicade desarrollo académico que considere la diversidad del campo del conocimiento.               1. b.3  Socialización e implementación de mecanismos que aseguren el uso del perfil generado.</t>
  </si>
  <si>
    <t>3) Todas las unidades académicas cuentan con un plan quinquenal de formación docente a nivel de postgrados y de capacitación continua en las áreas disciplinares.</t>
  </si>
  <si>
    <t>DOCENCIA Y RRHH</t>
  </si>
  <si>
    <t xml:space="preserve">BECAS A PROFESORES DE FILOSOFIA </t>
  </si>
  <si>
    <t xml:space="preserve">BECAS A PROFESORES MEDICINA </t>
  </si>
  <si>
    <t xml:space="preserve">Estudiantes satisfechos formándose de manera integral. </t>
  </si>
  <si>
    <t>5)  xx áreas recreativas y xx áreasde estudio xx áreas físicas y virtuales creadas.</t>
  </si>
  <si>
    <t>a.5 Ubicar, diseñar y crear   áreas recreativas y de estudio para la satisfacción del estudiante de acuerdo al Plan de Desarrollo físico del Centro..</t>
  </si>
  <si>
    <t xml:space="preserve">10) Fortalecer y consolidar el gobierno universitario, basando sus acciones y decisiones en los principios de Democracia, Respeto, Responsabilidad, Subsidiaridad, Transparencia y Rendición de cuentas.
</t>
  </si>
  <si>
    <t>Manejo oportuno y eficiente de los conflictos internos que se originen producto de discrepancias o problemas entre los distintos sectores de la UNAH.</t>
  </si>
  <si>
    <t xml:space="preserve">Número de conflictos reducidos.                 </t>
  </si>
  <si>
    <t>10.a.1</t>
  </si>
  <si>
    <t>10.a.1  Dar asesoramiento tecnico y juridico                   2.2 recopilacion de datos y documentos.                              2.3 Envio de correspondencia e informacion</t>
  </si>
  <si>
    <t>1) Se realizarán dos (2) encuestas (lgrado y postgrado) de satisfacción de los graduados.</t>
  </si>
  <si>
    <t>2.a.1</t>
  </si>
  <si>
    <t xml:space="preserve">MEJORAMIENTO ATENCIONCONSULTORIO JURIDICO </t>
  </si>
  <si>
    <t xml:space="preserve">INVESTIGACION SOBRE ACOSO SEXUAL </t>
  </si>
  <si>
    <t xml:space="preserve">Funcionando con calidad y pertinencia la Red Norte. </t>
  </si>
  <si>
    <t xml:space="preserve"> Oferta académica con calidad, equidad y pertinencia regional y nacional, alineándose con las tendencias internacionales y regionales centroamericanos.</t>
  </si>
  <si>
    <t>1) Aumentar a nivel regional  la cobertura de la UNAH y el acceso actual de la población para ingresar a realizar estudios universitarios.
2) Aumentar la pertinencia de la oferta académica de la UNAH.</t>
  </si>
  <si>
    <t>9.b.1</t>
  </si>
  <si>
    <t>El proyecto fue aprobado por el CU</t>
  </si>
  <si>
    <t xml:space="preserve">Estudiantes      </t>
  </si>
  <si>
    <t>Rectoría          Vicerectrría Académica   Dirección UNAH              Grupo Gestor</t>
  </si>
  <si>
    <t>Proyecto  de creación del Instituto de  Mulatidisciplinario de Invesigación Científica aprobado e iniciando su funcionamiento</t>
  </si>
  <si>
    <t xml:space="preserve">Proyecto elaborado y presentado para su aprobación al CU            Reglamento del Instituto elaborado.                Manual de Organización </t>
  </si>
  <si>
    <t>9.b.2</t>
  </si>
  <si>
    <t>9.b.2 Elaboración del Proyecto de Creación del Instituto Mulidisciplinario de Investigación Cienífica de la UNAH en el Valle de Sula</t>
  </si>
  <si>
    <t>Dirección UNAH-VS       Grupo Gestor</t>
  </si>
  <si>
    <t>Proyectos de Investigación del impacto del cambio climático en la fauna y flora del Merendón</t>
  </si>
  <si>
    <t>Concesión de una zona en el Merndón para ubicar el Centro de Experimental              Proyecto elaborado y presentado para aprobación al CU.        Gestación de convenios y finaciamiento externo</t>
  </si>
  <si>
    <t>9.b.3</t>
  </si>
  <si>
    <t>9.b.3 Elaborar un proyecto de creación de un Centro Experimental de estudio de l impacto del cambio climático en la flora y fauna del Merndón.</t>
  </si>
  <si>
    <t xml:space="preserve">Dirección UNAH -VS           Departamento de Biología </t>
  </si>
  <si>
    <t>Rescate de la cultura precolombina en el Valle de Sula.                            Convenios internacionales con Universidades e instituciones de estudios precolombinos.</t>
  </si>
  <si>
    <t xml:space="preserve"> 1.)Proyecto elaborado y presentado para su aprobación al CU.          Contratación de especialistas en Arqueología, Antropología, Restauradores                       2.) Convenios con el Museo de Historia  y otras organizaciones e instituciones de estudios precolombinos extranjeros.                          3.) % de fondos obtenidos</t>
  </si>
  <si>
    <t>9.b.4</t>
  </si>
  <si>
    <t>9.b.4 Elaborar un proyecto de estudio e investigación de las culturas precolombinas en la zona de Curresté</t>
  </si>
  <si>
    <t xml:space="preserve"> Institucionalizada la participación de la UNAH en los Consejos Regionales de Desarrollo, a través de los Comités de Vinculación e Investigación Regionales.</t>
  </si>
  <si>
    <t xml:space="preserve">Número de programas y proyectos regionales realizados con la participación de la UNAH. </t>
  </si>
  <si>
    <t>9.b.5</t>
  </si>
  <si>
    <t>9.b.5 Participar en los Consejos Regionales de Desarrollo de la región que corresponde a la Red Norte, a través de los Coordinaciones de Vinculación e Investigación.</t>
  </si>
  <si>
    <t>Dirección UNAH-VS</t>
  </si>
  <si>
    <t xml:space="preserve">9.b.6 </t>
  </si>
  <si>
    <t>9.b.6 Celebrar Encuentros de  graduados y egresados de las diferentes carreras de la UNAH - VS</t>
  </si>
  <si>
    <t>Observatorio de las Profesiones, en proceso de diseño.</t>
  </si>
  <si>
    <t xml:space="preserve">% de egresados y graduados con acceso permantente a la página web </t>
  </si>
  <si>
    <t>9.b7</t>
  </si>
  <si>
    <t>9.b.7 Página Web de egresados y graduados de la UNAH - VS construida</t>
  </si>
  <si>
    <t xml:space="preserve">5 nuevas carreras anivel de Licenciatura ofertadas, 2  A a nivel de maestría .           Escuelas Universitarias organizadas.                    Estructura Orgánica en permanente                                                          </t>
  </si>
  <si>
    <t xml:space="preserve">5 nuevas carreras anivel de Licenciatura ofertadas, 2  A a nivel de maestría .           Escuelas Universitarias organizadas.                            %   Estructura Orgánica en permanente                                                          </t>
  </si>
  <si>
    <t>9.b.8</t>
  </si>
  <si>
    <t>Fortalecimiento de los sistemas de apoyo a la gestión del conocimiento en la UNAH.</t>
  </si>
  <si>
    <t>Página Web de la UNAH en funcionamiento, accesible para todas las sedes universitarias, modalidades y actualizada.</t>
  </si>
  <si>
    <t>9.b. 8 Consolidación del programa de formación y capacitación institucional en TIC.                                                                                                                                                                               2)Mantenimiento permanente y sostenido de página web de la UNAH.                                                                                                                                                                                            3) Monitoría y evaluación del Programa de Educación Permanente.</t>
  </si>
  <si>
    <t xml:space="preserve">TALLERES CARRERA DE PSICOLOGIA </t>
  </si>
  <si>
    <t xml:space="preserve">ESTUDIO SOBRE ACOSO SEXUAL CARRERA DE DERECHO </t>
  </si>
  <si>
    <t xml:space="preserve">9.b 1 Implementación del Proyecto " Impulso a la Tecnología e Innovación en la UNAH en el Valle de Sula" DONACION 615 MILLONES DE LEMPIRAS </t>
  </si>
  <si>
    <r>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t>
    </r>
    <r>
      <rPr>
        <sz val="11"/>
        <color rgb="FFFF0000"/>
        <rFont val="Calibri"/>
        <family val="2"/>
        <scheme val="minor"/>
      </rPr>
      <t/>
    </r>
  </si>
  <si>
    <t>3.a.2                         3.a.3               3.a.4</t>
  </si>
  <si>
    <t>3.a.2  Coordinar el programa Atención Primaria en Salud en el Municipio de  Colinas.                      3.a.3  Promover con las municipalidades la implementación del Programa Atención Primaria en Salud a través de cartas de Intenciones y convenios.                    3.a.4 . Estudiar las condiciones de implementación del Programa de Atención Primaria en Salud para el Municipio más pobre de Cortes : San Antonio de Cortés.</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</si>
  <si>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</si>
  <si>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3.a.1 Creación y funcionamiento de un Comité de Vinculación en cada Escuela Universitaria y en cada Departamento Académico para que promueva y gestione el desarrollo  de proyectos con la Coordinación Vinculación Universidad - Sociedad de la  UNAH- en el Valle de Sula,  para contribuir a la solución de problemas en el país.</t>
  </si>
  <si>
    <t xml:space="preserve">ADMON. DE EMPRESAS </t>
  </si>
  <si>
    <t xml:space="preserve">PEDAGOGIA </t>
  </si>
  <si>
    <t>2) Jornadas de trabajo (conferencias, exposiciones, talleres, y otros) interdisciplinarias orientadas a la transversalización efectiva y profunda del eje de ética. Taller en pedagogia lo escencial.</t>
  </si>
  <si>
    <t xml:space="preserve">ING. CIVIL </t>
  </si>
  <si>
    <t>Equipamiento de Oficinas Administrativas Y DEPARTAMENTOS ACADEMICOS</t>
  </si>
  <si>
    <t>marzo</t>
  </si>
  <si>
    <t xml:space="preserve">otorgar becas al personal docente de postgrados civil </t>
  </si>
  <si>
    <t xml:space="preserve">NUMERO DE PARTCIPANTES EN CONGRESOS </t>
  </si>
  <si>
    <t xml:space="preserve">Ampliaciones ING. CIVIL </t>
  </si>
  <si>
    <t xml:space="preserve"> Mecanismos de control docente abarcan las junciones de docencia, investigación, vinculación, gestión académica, gestión culturaL ETC.</t>
  </si>
  <si>
    <t xml:space="preserve">Mejoramiento de la infraestructura del campus </t>
  </si>
  <si>
    <t>ing.industrial</t>
  </si>
  <si>
    <t>ING.IND</t>
  </si>
  <si>
    <t xml:space="preserve">Equipo de laboratorio INGENIERIAS </t>
  </si>
  <si>
    <t xml:space="preserve">Mantenimiento de aires INGENIERIAS </t>
  </si>
  <si>
    <t>Becas  Actualización y capacitación Docente civil (1 DE ING.IND.)</t>
  </si>
  <si>
    <t>Becas Profesionalizantes Docentes civil (2 DE ING. IND.)</t>
  </si>
  <si>
    <t>inscripcion a congreso ING. CIVIL (2 DE ING.IND.)</t>
  </si>
  <si>
    <t>Incripcion a cusros ING. CIVIL (6 DE ING.IND)</t>
  </si>
  <si>
    <t>3.b.2 Enviar al exterior para  formación en postgrados de Morfología, Fisiología y Filosofía.  ING. CIVIL ,ING.IND.</t>
  </si>
  <si>
    <t xml:space="preserve">Aulas para maestrias </t>
  </si>
  <si>
    <t xml:space="preserve">Centro de Comidas </t>
  </si>
  <si>
    <t>Edificio de Aulas No.6</t>
  </si>
  <si>
    <t xml:space="preserve">Librería y Tienda Universitaria </t>
  </si>
  <si>
    <t>Pavimentacion del Campus (adoquines)</t>
  </si>
  <si>
    <t xml:space="preserve">Sala de Juicios Orales y Consultorio Juridico </t>
  </si>
  <si>
    <t>9.b. 8 Realizar las siguientes actividades:                                     1. Apertura de las siguientes carreras: Licenciatura en Lenguas Extranjeras Licenciatura en Biología Licenciatura en Física, Licenciatrua en Microbiología, Licenciatura en Música Ingeniería en Sistemas , MAESTRIA EN ING. MATEMATICA Maestría en Hidrogeología, Maestría en Epidemiología , las especialidades en Medicina Interna y Anestesia, la subespecialidad en Cirugía Pediátrica 2. Organización de las Escuela Universitarias 3. Continuar con la estructuración orgánica deL Centro de acuerdo al Modelo de la UNAH-Valle de Sula.</t>
  </si>
  <si>
    <t xml:space="preserve">CONST.DE LAB.CARRERA DE MICROBIOLOGIA </t>
  </si>
  <si>
    <t xml:space="preserve">EQUIPO LABORATORIO CARRERA DE ING. EN SISTEMAS </t>
  </si>
  <si>
    <t xml:space="preserve">EQUIPO LABORATORIO CARRERA DE MICROBIOLOGIA </t>
  </si>
  <si>
    <t xml:space="preserve">EQUIPO DE LABORATORIO LIC. FISICA </t>
  </si>
  <si>
    <t xml:space="preserve">AMPLIACION LAB. DE FISICA </t>
  </si>
  <si>
    <t xml:space="preserve">INSTRUMENTOS CARRERA DE MUSICA </t>
  </si>
  <si>
    <t xml:space="preserve">EQUIPO LAB. CARRERA DE BIOLOGIA </t>
  </si>
  <si>
    <t xml:space="preserve">EQUIPAMIENTO DE LA ESCUELA UNIVERSITARIA DE CIENCIAS DE LA SALUD </t>
  </si>
  <si>
    <t>1 A ING.CIVIL, 3 ESPECILADADES MEDICINA</t>
  </si>
  <si>
    <t>MEJORAS EDIFICIO CARRERA DE ODONTOLOGIA</t>
  </si>
  <si>
    <t xml:space="preserve">COMPRESOR INDUSTRIAL CARRERA DE ODONTOLOGIA </t>
  </si>
  <si>
    <t xml:space="preserve">SILLONES DENTALES CARRERA DE ODONTOLOGIA </t>
  </si>
  <si>
    <t xml:space="preserve">APARATO DE RAYOS X CARRERA DE ODONTOLOGIA </t>
  </si>
  <si>
    <t xml:space="preserve">INSUMOS LABORATORIO ODONTOLOGIA </t>
  </si>
  <si>
    <t>REMODELACION OFICINA DE DIRECCION</t>
  </si>
  <si>
    <t xml:space="preserve">Construccion de garaje estacionamento UNAH-VS </t>
  </si>
  <si>
    <t xml:space="preserve">REFORZAMIENTO TANQUE METALICO DE AGUA </t>
  </si>
  <si>
    <t>ROTULOS METALICOS</t>
  </si>
  <si>
    <t xml:space="preserve">REMODELACION SANITARIOS M. DE ING. </t>
  </si>
  <si>
    <t xml:space="preserve">REPARACION OFICINA DE REGISTRO </t>
  </si>
  <si>
    <t>IMPERMEABILIZACION AZOTEA EDIF. 3</t>
  </si>
  <si>
    <t xml:space="preserve">CONSTRUCCION DE LA ESTACION METEREOLOGICA </t>
  </si>
  <si>
    <t xml:space="preserve">AMPLIACION DE TECHO EDIFI.1 </t>
  </si>
  <si>
    <t xml:space="preserve">CONST. BODEGA DE RECICLAJE </t>
  </si>
  <si>
    <t xml:space="preserve">Funcionando con calidad y pertinencia los programas de diseño en línea y las ofertas académica en línea </t>
  </si>
  <si>
    <t>Unidad creada</t>
  </si>
  <si>
    <t>9.a.1</t>
  </si>
  <si>
    <t xml:space="preserve">Proceso de capacitación de la plataforma tecnológica , diseño de asignaturas en línea  llevándose a caboen forma oportuna con calidad y eficiencia </t>
  </si>
  <si>
    <t>5 plazas adjudicadas</t>
  </si>
  <si>
    <t>9.a.2</t>
  </si>
  <si>
    <t>Asignaturas en línea con la calidad y nivel científica de las impartidas presencialmente.</t>
  </si>
  <si>
    <t>9.a.3</t>
  </si>
  <si>
    <t xml:space="preserve">9.a.3  Revisión periódica de asignaturas diseñadas virtualmente a fin de mejorar e incorporar el Modelo Educativo de la UNAH. </t>
  </si>
  <si>
    <t>Funcionando con calidad y pertinencia  las redes educativas regionales de la UNAH acorde con la Política de Redes.</t>
  </si>
  <si>
    <t>1)Funcionando con calidad y pertinencia____ nuevas redes educativas regionales de la UNAH y el Departamento de Gracias a Dios como sede especial universitaria.</t>
  </si>
  <si>
    <t>9.a.4</t>
  </si>
  <si>
    <t>9.a.4 Socialización e ejecución del proceso de organización y desarrollo de las redes educativas regionales con actores internos y externos a la UNAH.</t>
  </si>
  <si>
    <t>Desarrollo e implementación de innovaciones tecnológicas aplicadas al proceso enseñanza-aprendizaje</t>
  </si>
  <si>
    <t>Red Académica de la Red Norte creada</t>
  </si>
  <si>
    <t>9.a.5</t>
  </si>
  <si>
    <t>9.a.5 Crear y desarrollar una red académica de docentes innovadores tecnológicos de la  Red Norte</t>
  </si>
  <si>
    <t>Proyecto de Ampliación de cobertura geográfica y de carreras cortas pertinentes</t>
  </si>
  <si>
    <t>Estudio Realizado             Oferta de carreras cortas definida</t>
  </si>
  <si>
    <t>9.a.6</t>
  </si>
  <si>
    <t>9.a.6 Estudio de factibilidad y  oferta académica pertinente del Instituto Tecnológico de  Puerto Cortés con apoyo de la Municipalidad y el Grupo Gestor.</t>
  </si>
  <si>
    <t xml:space="preserve">Ampliación de la oferta  y mayor cobertura.              Docentes capacitados en modalidad b-learning.                          Estudisntes </t>
  </si>
  <si>
    <t>No. De alumnos inscritos.                                    Docentes capacitados en modalidad b-learning</t>
  </si>
  <si>
    <t>9.a.7</t>
  </si>
  <si>
    <t xml:space="preserve">Aumento de oferta académica pertinente.     Plan de estudios diseñado                  10 asignaturas diseñadas en línea.                         </t>
  </si>
  <si>
    <t>Plan de Estudios diseñado                                    % de asignaturas diseñadas</t>
  </si>
  <si>
    <t>9.a.8</t>
  </si>
  <si>
    <t>9.a.8 Diseño del Plan de Estudios de la carrera corta Administración Aduanera y puesta en ejecución el diseño en línea para ofertar en el Telecentro de Puerto Cortés.</t>
  </si>
  <si>
    <t>Aumento de cobertura geográfica.</t>
  </si>
  <si>
    <t>Estudio de viabilidad y oferta de carrera definida</t>
  </si>
  <si>
    <t>9.a.9</t>
  </si>
  <si>
    <t>9.a.9 Estudio viabilidad Telecentro a ubicarse en alguno de los municipios del Departamento de Cortés  cercanos al Lago de Yojoa.</t>
  </si>
  <si>
    <t xml:space="preserve">Aumento de oferta académica pertinente y cobertura geográfica </t>
  </si>
  <si>
    <t>% de estudianates inscritos en el Telcentro                             Oferta académica definida         % de planes de estudios  y asignaturas diseñándose en línea.</t>
  </si>
  <si>
    <t>9.a.10</t>
  </si>
  <si>
    <t>9.a.10 Funcionando el Telecentro de Santa Bárbara y en ejecución el estudio oferta y demanda para ese departamento y la región colilndante con el Lago de Yojoa, con la participación de las Municipalidades y las comunidades.</t>
  </si>
  <si>
    <t>1) Funcionando con calidad y pertinencia  las redes educativas regionales de la UNAH acorde con la Política de Redes.</t>
  </si>
  <si>
    <t>1)Funcionando con calidad y pertinencia la irelación entre redes Norte y del Litoral Atlático, específicamente con el Instituto Tecnológico Superiro de Tela</t>
  </si>
  <si>
    <t>9.A.11</t>
  </si>
  <si>
    <t xml:space="preserve">9.a.11  Ajpoyo en el proceso de estructuración orgánica al Instituto Tecnológico.  9.a.12 Apoyo del Instituto Tecnológico a la UNAH-VS en el proceso de investigación de Oferta y Demanda para Sana Bárbara, municpios de Cortés aledaños al Lago de Yojoa, Puerto Cortés y Omoa. </t>
  </si>
  <si>
    <t>Oferta académica con calidad, equidad y pertinencia regional y nacional, alineándose con las tendencias internacionales y regionales centroamericanos.</t>
  </si>
  <si>
    <t>9.b.1 Realización de estudios regionalizados de cobertura y equidad en el acceso a la UNAH y de estudios de oferta y demanda de estudios universitarios, de problemas a investigar y necesidades de Vinculación Universidad -Sociedad,  en la región educativa de la Red Norte.</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</si>
  <si>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</si>
  <si>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</si>
  <si>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9.b.2 Socializados los resultados de estudio de oferta y demanda academica.                                                                                                                                                                           9.b.3 Acompañamiento en el diseño de un programa de mejoramiento de oferta academica de educació superior.                                                                                                   9.b.4 Diseño e implantación de programas y proyectos de investigación y de vinculación Universidad – Sociedad de las redes educativas regionales, en consonancia con las líneas prioritarias de la UNAH.</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</si>
  <si>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</si>
  <si>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</si>
  <si>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</si>
  <si>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 xml:space="preserve">RED NORTE </t>
  </si>
  <si>
    <t>9.a.1 Creación de la Unidad de Innovación Educativa adscrita a la Sub-dirección Académica y (contratar 1  docente Titular II  DOCENCIA Y  RRHH )</t>
  </si>
  <si>
    <t xml:space="preserve">9.a.2 Creación y adjudicación mediante concurso de las plazas (5 con categoría docente,  auxilaiar  ESTA EN DOCENCIA Y RR HH) de las  secciones de Tecnología y mediación Pedagógica de Innovación Educativa; </t>
  </si>
  <si>
    <t>9.a.7  Impartir Len el tercer período académico del 2014, a carrera de Técnico en Microfinanzas en la modalidad semipresencial los finas de semana en la UNAH en el Valle de Sula contratando dos docentes y cpacitando a 10 del Departamento de Contaduría Pública.(ESTA EN RRHH Y DOCENCIA)</t>
  </si>
  <si>
    <t>2 ING. EN SISTEMAS , 6 de microbiologia, 2 DE FISICA , 3 DE MUSICA , 3 DE BIOLOGIA, 1 PARA RED NORTE , 2 PARA RED NORTE MODALIDAD BE LEARNING</t>
  </si>
  <si>
    <t xml:space="preserve">DISE;O EN LINEA DE 10 ASIGNATURAS TECNICO EN ADMON. ADDUANERA </t>
  </si>
  <si>
    <t xml:space="preserve">ESTUDIO OFERTA Y DEMANDA DE LA RED NORTE </t>
  </si>
  <si>
    <t>FISIC A</t>
  </si>
  <si>
    <t xml:space="preserve">DIPLOMADO EN CAMBIO CLIMATICO </t>
  </si>
  <si>
    <t xml:space="preserve">DIPLOMADO EN ENERGIA RENOVABLE </t>
  </si>
  <si>
    <t>MAYO</t>
  </si>
  <si>
    <t>b.1 Creación de un programa de formación, capacitación y actualización científica en la Universidad, a través de becas, programas, talleres, cursos y seminarios. (DIPLOMADO CAMBIO CLIMATICO Y ENERGIA RENOVABLE)</t>
  </si>
  <si>
    <t xml:space="preserve">VIATICOS UNIDAD DE RELACIONES INTERNACIONALES </t>
  </si>
  <si>
    <t xml:space="preserve">CONSTRUCCION DE ESTACION SISMOLOGICA PARA LA UNAH-VS </t>
  </si>
  <si>
    <t xml:space="preserve">MEJORAS OFICINA DE INVESTIGACION </t>
  </si>
  <si>
    <t xml:space="preserve">Minisplit para registro / LABORATORIOS Y BODEGA DE FISICA </t>
  </si>
  <si>
    <t>Centro de Arte y Cultura (Teatro)</t>
  </si>
  <si>
    <t>DIRECTOR DE ORQUESTA, 2 PARA U.R.I. Y JEFATUARA DE D.INST. 1 para RELACIONAOR PUBLICO.</t>
  </si>
  <si>
    <t>CREACION ESTACION SISMOLOGICA</t>
  </si>
  <si>
    <t xml:space="preserve">PROYECTO DE SE;ALIZACION CAMPUS UNAH-VS </t>
  </si>
  <si>
    <t>% Aumento de la cobertura de la UNAH a nivel regional. % Aumento de inscripción de la población para ingresar a realizar estudios universitarios.
No de Carreras ofertadas con pertinencia.                      No. De problemas regionales a investigar</t>
  </si>
  <si>
    <t xml:space="preserve">9.b 1 Implementación del Proyecto " Impulso a la Tecnología e Innovación en la UNAH en el Valle de Sula" PRESTAMO 615 MILLONES DE LEMPIRAS </t>
  </si>
  <si>
    <t xml:space="preserve">Ampliacion ing. Civil , 3 aulas para maestrias , Construccion de centro de comidas, construccion de edificio de aulas no.6, librería y tienda universitaria, pavimentacion del campus (adoquin), construccion de sala de juicios orales y consultorio juridico, centro de arte y cultura(teatro) , CONSTRUCCION LAB. CARRERA DE MICROBIOLOGIA, AMPLIACION LAB. DE FISICA , MEJORAS EDIFICIO DE ODONTOLOGIA , REMODELACION OFICINA DE DIRECCION, GARAJE, TANQUE DE AGUA, ROTULOS, SANITARIOS MAES.EN ING. ,REGISTRO,AZOTEA EDIF.3, ESTACION METEROLOGICA, TECHO EDIF.1, BODEGA DE RECICLAJE.PROYECTO SENALIZACION </t>
  </si>
  <si>
    <t xml:space="preserve">INGENIERIA ELECTRICA </t>
  </si>
  <si>
    <t>1 PARA ING. ELECTR.</t>
  </si>
  <si>
    <t xml:space="preserve">2 PARA ING. ELECTR. </t>
  </si>
  <si>
    <t xml:space="preserve">ING. ELECTRICA </t>
  </si>
  <si>
    <t xml:space="preserve">SECRETARIA, Registro,ING. CIVIL ,ING.IND. AIRES LAB. Y BODEGA DE FISICA, ING. ELECTRICA </t>
  </si>
  <si>
    <t>a.1.2</t>
  </si>
  <si>
    <t xml:space="preserve">Promocionar y Mercadear la carrera de Ingeniería eléctrica en los colegios e institutos con los alumnos de los últimos años </t>
  </si>
  <si>
    <t xml:space="preserve">Mercadear la carrera de Ingeniería eléctrica en las empresas donde trabajaran los futuros ingenieros </t>
  </si>
  <si>
    <t>Crear una biblioteca para catedráticos y alumnos de la carrera de ingeniería eléctrica (200 Libros)</t>
  </si>
  <si>
    <t xml:space="preserve">a.1.1  Promocionar y Mercadear la carrera de Ingeniería eléctrica en los colegios e institutos con los alumnos de los últimos años </t>
  </si>
  <si>
    <t>b.1 Mercadear la carrera de Ingeniería eléctrica en las empresas donde trabajaran los futuros ingenieros</t>
  </si>
  <si>
    <t>d.2.1 Crear una biblioteca para catedráticos y alumnos de la carrera de ingeniería eléctrica (200 Libros)</t>
  </si>
  <si>
    <t xml:space="preserve">3.b.3 Crear un programa de profesionalización a nivel de Licenciatura en Filosofía y diseñar el currículum con una duración  de dos años y  un mínimo de 20 asignaturas y los perfiles de entrada, permanencia y egreso, </t>
  </si>
  <si>
    <t xml:space="preserve">Otorgar becas al personal docente de postgrados ING. ELECTRIVA </t>
  </si>
  <si>
    <t>Becas  Actualización y capacitación Docente ING. ELECTRICA</t>
  </si>
  <si>
    <t xml:space="preserve">Becas Profesionalizantes Docentes ING. ELECTRICA </t>
  </si>
  <si>
    <t>Laboratorio para la carrera de Ing. Electricaen las ares de : Potencia, Electronica, Comunicaciones ,etc</t>
  </si>
  <si>
    <t>INFORMATICA ADVA.</t>
  </si>
  <si>
    <t xml:space="preserve">1.B.1. .- Socialización con los docentes de la carrera Informatica Administrativa de todos los documentos, políticas, acuerdos y acciones de la trasformación de la UNAH. </t>
  </si>
  <si>
    <t>2.B.1.1.  Realización de eventos y encuentros anuales que involucren a los equipos de las Coordinaciones Regionales y de Facultades.</t>
  </si>
  <si>
    <t>B.1 Invitar a un investigador extranjero para la  de formación, capacitación y actualización científica en la Universidad, a través de becas, programas, talleres, cursos y seminarios.</t>
  </si>
  <si>
    <t>A.1.) Inversión para la ejecución del plan de profesionalización docente con ayuda de los docentes de pedagocia</t>
  </si>
  <si>
    <t>D.1.1.1.  Simposio de la carrera Informatica Administrativa  aprobado por el depto. De finanzas</t>
  </si>
  <si>
    <t>A.5 Ampliar las áreas recreativas y de estudio para la satisfacción del estudiante de acuerdo al Plan de Desarrollo físico de la Universidad.</t>
  </si>
  <si>
    <t>Mano de Obra</t>
  </si>
  <si>
    <t>USA</t>
  </si>
  <si>
    <t>Becas  Actualización y capacitación Docente INF.ADVA.</t>
  </si>
  <si>
    <t>Pago Agua anual INF.ADVA.</t>
  </si>
  <si>
    <t>Pago Gasolina Anual INF.ADVA.</t>
  </si>
  <si>
    <t>Pago Energia INF.ADVA.</t>
  </si>
  <si>
    <t>Alquiler habitacion INF. ADVA.</t>
  </si>
  <si>
    <t>Pasajes aereos ida y regreso INF. ADVA.</t>
  </si>
  <si>
    <t>8 corresponden a psicologia Y 2 para Admin. De Emp.10 DE CIENCIAS SOCIALES. 1 PARA ING. ELECT. 2 para inf.adva.</t>
  </si>
  <si>
    <t>3 corresponden a psicologia Y 3 ADMINISTRACION DE EMPRESAS. 2 para inf.adva.</t>
  </si>
  <si>
    <t>B.1.2.2. Compra de equipo tecnologico para laboratorio # 2</t>
  </si>
  <si>
    <t>Computadora de Escritorio</t>
  </si>
  <si>
    <t>Computadora Portatil</t>
  </si>
  <si>
    <t>Labo No. 2</t>
  </si>
  <si>
    <t>C.1 Mejorar los servicios de tecnología educativa en las diferentes aulas. De por lo menos 4 aulas de la carrera Informática Administrativa</t>
  </si>
  <si>
    <t>A.9.4.1 Establecimiento de un sistema de gestion de diplomados y cursos libres entre las unidades</t>
  </si>
  <si>
    <t>Computadora portatil</t>
  </si>
  <si>
    <t>Papel para diplomas</t>
  </si>
  <si>
    <t xml:space="preserve">Investigaciones de mercado que permitan evaluar la pertinencia del plan de estudios  de la carrera de Inf. Adva. </t>
  </si>
  <si>
    <t>F.1 Presentación ante las autoridades competentes o un Comité de Gestión Científica los proyectosde la carrera Informatica Administrativa a desarrollar, ya sea con fondos internos o externos, para su financiamiento.</t>
  </si>
  <si>
    <t>B1.2.1. Gestionar la apertura  del laboratorio de computación # 2  de la carrera de informática administrativainternos o externos, para su financiamiento.</t>
  </si>
  <si>
    <t>A.11.2.1.1. Desarrollo de actividades deportivas de la carrera Informatica administrativa</t>
  </si>
  <si>
    <t xml:space="preserve">  Realización de eventos y encuentros anuales que involucren a los equipos de las Coordinaciones Regionales y de Facultades.</t>
  </si>
  <si>
    <t>Invitar a un investigador extranjero para la  de formación, capacitación y actualización científica en la Universidad, a través de becas, programas, talleres, cursos y seminarios.</t>
  </si>
  <si>
    <t xml:space="preserve">Simposio de la Carrera de Informatica Administrativa </t>
  </si>
  <si>
    <t xml:space="preserve">QUIMICA </t>
  </si>
  <si>
    <t>4.a.1</t>
  </si>
  <si>
    <t>a.1 Aplicar encuesta a empleadores y egresados de la carrera de Quimica Industrial</t>
  </si>
  <si>
    <t xml:space="preserve">8 corresponden a lenguas extranjeras, 4 a Pedagogia, 4 A ING. CIVIL , 1 de Ing. Ind. 5 DE LA RED NORTE,10 PARA CIENCIAS SOCIALES, 2 PARA ING. ELECT. 2 PARA QUIMICA </t>
  </si>
  <si>
    <t xml:space="preserve">1 de ing.civil y 1 de ing.indust.1 PARA ING. ELECT. 1 de inf.adva. 10 PARA QUIMICA </t>
  </si>
  <si>
    <t xml:space="preserve">PARA QUIMICA </t>
  </si>
  <si>
    <t>5.a.1</t>
  </si>
  <si>
    <t xml:space="preserve">APLICAR ENCUESTA A EGRESADOS DE LA CARRERA DE QUIMICA INDUSTRIAL </t>
  </si>
  <si>
    <t>Mejora fisica laboratorios de quimica industrial</t>
  </si>
  <si>
    <t xml:space="preserve">6.b.1 Crear y equipar el laboratorio de Lenguas Extranjeras. Equipo para el  Mejoramiento atencion consultorio juridico.Equipamiento Carrera de Administracion de empresas, ING.CIVIL, PEDAGOGIA. EQUIPAMIENTO DE EDIF. EUCS. EQUIPAMIENTO CARRERA DE ODONTOLOGIA. LABORATORIO ING. ELECTRICA (POTENCIA, ELECTRONICA, MUNICACIONES, ETC) LAB.#2 DE INF. mejoras lab.quimica industrial </t>
  </si>
  <si>
    <t xml:space="preserve">compra de reactivos quimica industrial </t>
  </si>
  <si>
    <t xml:space="preserve">compra de equipo de laboratorio quimica industrial </t>
  </si>
  <si>
    <t xml:space="preserve">6.c.1  Mejorar los servicios de tecnología educativa, equipando con data show y equipos multimedia y seguridad en ldiferentes aulas de los cuatro edificios y anexos. 4 AULAS DE INF.ADVA.  quimica industrial                                                                                                                                                                             </t>
  </si>
  <si>
    <t xml:space="preserve">2 laboratorio de lenguas 1 TESORERIA. 1 para tienda </t>
  </si>
  <si>
    <t>sub director de finanzas, academico, sudecad,</t>
  </si>
  <si>
    <t xml:space="preserve">Encuentros </t>
  </si>
  <si>
    <t xml:space="preserve">Intercambio de conocimientos </t>
  </si>
  <si>
    <t xml:space="preserve">listados de asistencia </t>
  </si>
  <si>
    <t xml:space="preserve">docentes </t>
  </si>
  <si>
    <t xml:space="preserve">jefes de departamentos </t>
  </si>
  <si>
    <t xml:space="preserve">realizar investigaciones </t>
  </si>
  <si>
    <t xml:space="preserve">evaluar la pertinencia de los planes de estudio </t>
  </si>
  <si>
    <t xml:space="preserve">estudios realizados </t>
  </si>
  <si>
    <t xml:space="preserve">poblacion estudiantil </t>
  </si>
  <si>
    <t xml:space="preserve">Coordinadores de Carrera </t>
  </si>
  <si>
    <t xml:space="preserve">reforma curricular completa </t>
  </si>
  <si>
    <t xml:space="preserve">innovacion en la curricula </t>
  </si>
  <si>
    <t xml:space="preserve">numero de carreras con el proceso terminado </t>
  </si>
  <si>
    <t xml:space="preserve">estudiantes </t>
  </si>
  <si>
    <t xml:space="preserve">comisiones de desarrollo curricular </t>
  </si>
  <si>
    <t xml:space="preserve">seguimiento trimestral </t>
  </si>
  <si>
    <t xml:space="preserve">presentar informes de avences </t>
  </si>
  <si>
    <t xml:space="preserve">numero de informes </t>
  </si>
  <si>
    <t xml:space="preserve">creacion de departamento </t>
  </si>
  <si>
    <t xml:space="preserve">seguimiento a la reforma curricular </t>
  </si>
  <si>
    <t xml:space="preserve">departamento creado </t>
  </si>
  <si>
    <t xml:space="preserve">departamento de docencia </t>
  </si>
  <si>
    <t xml:space="preserve">firma de convenios con universidades </t>
  </si>
  <si>
    <t xml:space="preserve">mejorar  planes y programas de estudio </t>
  </si>
  <si>
    <t xml:space="preserve">numero de talleres seminarios </t>
  </si>
  <si>
    <t xml:space="preserve">carreras </t>
  </si>
  <si>
    <t xml:space="preserve">departamento de desarrollo curricular </t>
  </si>
  <si>
    <t xml:space="preserve">impartir talleres </t>
  </si>
  <si>
    <t xml:space="preserve">capacitacion modelo educativo </t>
  </si>
  <si>
    <t xml:space="preserve">numero de docentes capacitados </t>
  </si>
  <si>
    <t xml:space="preserve">cada docente sera agente multiplicador </t>
  </si>
  <si>
    <t xml:space="preserve">conocimiento del modelo educativo </t>
  </si>
  <si>
    <t xml:space="preserve">impartir diplomados </t>
  </si>
  <si>
    <t xml:space="preserve">capacitacion en teoria critica y enfoque humanista </t>
  </si>
  <si>
    <t xml:space="preserve">listado de participantes </t>
  </si>
  <si>
    <t>3) Implementándose innovaciones en la Didáctica aplicada en las diferentes programas y planes de clase de las asignaturas que se imparten como servicio a las                                                diferentes carreras.</t>
  </si>
  <si>
    <t xml:space="preserve">Ejecucion de desarrollo curricular </t>
  </si>
  <si>
    <t xml:space="preserve">desarrollo curricular en programas , asignaturas </t>
  </si>
  <si>
    <t xml:space="preserve">unidades academicas ejecutando la ruta de desarrollo curricular </t>
  </si>
  <si>
    <t>estudiantes</t>
  </si>
  <si>
    <t xml:space="preserve">seguimiento en la aplicación del modelo educativo </t>
  </si>
  <si>
    <t xml:space="preserve">control y asesoramiento en el modelo educativo </t>
  </si>
  <si>
    <t xml:space="preserve">numero de docentes aplicando el modelo educativo </t>
  </si>
  <si>
    <t xml:space="preserve">capacitaciones e investigaciones </t>
  </si>
  <si>
    <t xml:space="preserve">determinar las causas de repitencia y desercion </t>
  </si>
  <si>
    <t>personal que trabaja en areas de registro , desarrollo institucional</t>
  </si>
  <si>
    <t>DEGT</t>
  </si>
  <si>
    <t>conocer las normas academicas en la UNAH-VS</t>
  </si>
  <si>
    <t>los docentes capacitados seran replicadores en sus departamentos</t>
  </si>
  <si>
    <t xml:space="preserve">numero de docentes que conocen las normas academicas </t>
  </si>
  <si>
    <t xml:space="preserve">Sub direccion Academica </t>
  </si>
  <si>
    <t xml:space="preserve">investigacion </t>
  </si>
  <si>
    <t xml:space="preserve">proceso </t>
  </si>
  <si>
    <t xml:space="preserve">convenio </t>
  </si>
  <si>
    <t xml:space="preserve">talleres </t>
  </si>
  <si>
    <t xml:space="preserve">capacitacion </t>
  </si>
  <si>
    <t xml:space="preserve">evaluacion </t>
  </si>
  <si>
    <t xml:space="preserve">actualizacion cientifica </t>
  </si>
  <si>
    <t xml:space="preserve">numero de participantes </t>
  </si>
  <si>
    <t xml:space="preserve">creacion de comites </t>
  </si>
  <si>
    <t xml:space="preserve">departamentos </t>
  </si>
  <si>
    <t xml:space="preserve">vinculacion universidad sociedad </t>
  </si>
  <si>
    <t>programa</t>
  </si>
  <si>
    <t xml:space="preserve">coordinar programa </t>
  </si>
  <si>
    <t xml:space="preserve">promover la implementacion del programa </t>
  </si>
  <si>
    <t xml:space="preserve">programa funcionando </t>
  </si>
  <si>
    <t>municipio san antonio cortes</t>
  </si>
  <si>
    <t xml:space="preserve">proyectos </t>
  </si>
  <si>
    <t xml:space="preserve">realizar actividades de divulgacion </t>
  </si>
  <si>
    <t xml:space="preserve">divulgar las activiades de vinculacion </t>
  </si>
  <si>
    <t xml:space="preserve">actividades realizadas </t>
  </si>
  <si>
    <t xml:space="preserve">eventos </t>
  </si>
  <si>
    <t>mejorar la matricula en la carrera</t>
  </si>
  <si>
    <t xml:space="preserve">alumnos de media </t>
  </si>
  <si>
    <t xml:space="preserve">oportunidad de empleo para egresados </t>
  </si>
  <si>
    <t xml:space="preserve">empresas </t>
  </si>
  <si>
    <t>biblioteca</t>
  </si>
  <si>
    <t xml:space="preserve">mejora de la infraestructura de la carrera </t>
  </si>
  <si>
    <t>biblioteca funcionando</t>
  </si>
  <si>
    <t xml:space="preserve">diplomado </t>
  </si>
  <si>
    <t>personal docente</t>
  </si>
  <si>
    <t>departamento de docencia</t>
  </si>
  <si>
    <t xml:space="preserve">rendicion de cuentas </t>
  </si>
  <si>
    <t xml:space="preserve">mecanismos de transparencia en procesos </t>
  </si>
  <si>
    <t xml:space="preserve">trasnparencia en rendicion de cuentas, concursos </t>
  </si>
  <si>
    <t xml:space="preserve">reformas </t>
  </si>
  <si>
    <t>plan</t>
  </si>
  <si>
    <t xml:space="preserve">elaboracion de plan </t>
  </si>
  <si>
    <t>formacion docente</t>
  </si>
  <si>
    <t xml:space="preserve">plan elaborado </t>
  </si>
  <si>
    <t xml:space="preserve">postgrados </t>
  </si>
  <si>
    <t xml:space="preserve">formacion en postgrados </t>
  </si>
  <si>
    <t xml:space="preserve">capacitacion en areas de morfologia, fisiologia </t>
  </si>
  <si>
    <t>docentes con postgrados en las areas</t>
  </si>
  <si>
    <t xml:space="preserve">programa creado </t>
  </si>
  <si>
    <t xml:space="preserve">unidad </t>
  </si>
  <si>
    <t xml:space="preserve">crear unidad de carrera laboral </t>
  </si>
  <si>
    <t>unidad creada</t>
  </si>
  <si>
    <t>personal en general</t>
  </si>
  <si>
    <t xml:space="preserve">Oficina de recursos Humanos </t>
  </si>
  <si>
    <t>congresos</t>
  </si>
  <si>
    <t>departamento de recursos humanos</t>
  </si>
  <si>
    <t xml:space="preserve">contratacion </t>
  </si>
  <si>
    <t>contratcion de personal</t>
  </si>
  <si>
    <t>crecimiento poblacion estudiantil</t>
  </si>
  <si>
    <t>numero de personal contratado</t>
  </si>
  <si>
    <t>bilblioteca</t>
  </si>
  <si>
    <t>Sudecad</t>
  </si>
  <si>
    <t xml:space="preserve">reglamentos </t>
  </si>
  <si>
    <t xml:space="preserve">fortalecer reglamentos estudiantiles </t>
  </si>
  <si>
    <t xml:space="preserve">monitoreo de plataforma tecnologica </t>
  </si>
  <si>
    <t xml:space="preserve">mejor funcionamiento de la plataforma </t>
  </si>
  <si>
    <t xml:space="preserve">informes de seguimiento </t>
  </si>
  <si>
    <t>poblacion estudiantil</t>
  </si>
  <si>
    <t>degt</t>
  </si>
  <si>
    <t xml:space="preserve">Sub direccion de finanzas </t>
  </si>
  <si>
    <t>equipo</t>
  </si>
  <si>
    <t xml:space="preserve">equipar laboratorios </t>
  </si>
  <si>
    <t xml:space="preserve">implentar proyecto de equipamiento de laboratorios </t>
  </si>
  <si>
    <t xml:space="preserve">numero de laboratorios equipados </t>
  </si>
  <si>
    <t xml:space="preserve">equipar aulas </t>
  </si>
  <si>
    <t xml:space="preserve">numero de aulas equipadas </t>
  </si>
  <si>
    <t xml:space="preserve">implentar proyecto de equipamiento de aulas </t>
  </si>
  <si>
    <t xml:space="preserve">recursos humanos </t>
  </si>
  <si>
    <t xml:space="preserve">creacion de una unidad </t>
  </si>
  <si>
    <t xml:space="preserve">creacion de la unidad de desarrollo del talento humano </t>
  </si>
  <si>
    <t xml:space="preserve">creacion de la unidad de clima organizacional </t>
  </si>
  <si>
    <t>todo el personal</t>
  </si>
  <si>
    <t xml:space="preserve">infraestructura </t>
  </si>
  <si>
    <t xml:space="preserve">mejoras fisicas </t>
  </si>
  <si>
    <t xml:space="preserve">ampliacion, construccion y mejoras de espacios fisicos </t>
  </si>
  <si>
    <t xml:space="preserve">numero de proyectos realizados </t>
  </si>
  <si>
    <t xml:space="preserve">poblacion estudiantil docente y administrativo </t>
  </si>
  <si>
    <t xml:space="preserve">sub direccion de finanzas </t>
  </si>
  <si>
    <t xml:space="preserve">Rectoría. Vice Rectoría  Académica. Direccion </t>
  </si>
  <si>
    <t>estudio</t>
  </si>
  <si>
    <t xml:space="preserve">realizar estudio </t>
  </si>
  <si>
    <t xml:space="preserve">encuesta a egresados </t>
  </si>
  <si>
    <t>egresados</t>
  </si>
  <si>
    <t xml:space="preserve">Coordinador de carrera </t>
  </si>
  <si>
    <t>b.3 Implementar un diplomado de inglés para los estudiantes de la Carrera de Igeniería Industrial.</t>
  </si>
  <si>
    <t>b.4 Socialización y Análisis de la Normativa Universitaria</t>
  </si>
  <si>
    <t>Contar con la Normativa Completa de la UNAH en físico y electrónico</t>
  </si>
  <si>
    <t xml:space="preserve">Conocimiento y apropiación de la normativa de la UNAH </t>
  </si>
  <si>
    <t>Lista de asistencia al taller y participación en plenaria.</t>
  </si>
  <si>
    <t xml:space="preserve">realización de eventos </t>
  </si>
  <si>
    <t xml:space="preserve">Curso de Investigaciones </t>
  </si>
  <si>
    <t xml:space="preserve">Capacitación Líneas de Investigación </t>
  </si>
  <si>
    <t xml:space="preserve">Socialización de líneas de investigación </t>
  </si>
  <si>
    <t>Elaboraciòn de la Polìtica de Investigaciòn Científica y Tecnológica de UNAH-VS</t>
  </si>
  <si>
    <t>Política Elaborada</t>
  </si>
  <si>
    <t xml:space="preserve">comités </t>
  </si>
  <si>
    <t xml:space="preserve">promover el desarrollo de proyetos de vinculación </t>
  </si>
  <si>
    <t xml:space="preserve">numero de comités </t>
  </si>
  <si>
    <t xml:space="preserve">vinculación universidad sociedad </t>
  </si>
  <si>
    <t>promocionar la carrera de Ing. Eléctrica</t>
  </si>
  <si>
    <t xml:space="preserve">número de institutos visitados </t>
  </si>
  <si>
    <t xml:space="preserve">número de empresas visitadas </t>
  </si>
  <si>
    <t xml:space="preserve">crear biblioteca de Ing. Eléctrica </t>
  </si>
  <si>
    <t xml:space="preserve">docentes y estudiantes de Ing. Eléctrica </t>
  </si>
  <si>
    <t xml:space="preserve">vinculaciÓn universidad sociedad </t>
  </si>
  <si>
    <t xml:space="preserve">desarrollo académico </t>
  </si>
  <si>
    <t>elaboración de perfiles con visión estratégica</t>
  </si>
  <si>
    <t>crear programa de profesionalización</t>
  </si>
  <si>
    <t xml:space="preserve">diseñar curriculo </t>
  </si>
  <si>
    <t>4. b 1  Crear la unidad de Carrera Laboral (Contratación)     4.b.2 Socialización de la evaluación del desempeño a docentes.                       4.b.3 Diseñar y socializar un sistema de evaluación del desempeño al  personal administrativo            4.b.4.                                                                                                                                                                   Implementación de la Evaluación del desempeño                4.b.5  Planificar, organizar y dirigir  programas de capacitación para mejorar el desempeño laboral</t>
  </si>
  <si>
    <t>contratación, evaluación, del personal</t>
  </si>
  <si>
    <t xml:space="preserve">Inscripción a Congresos Ingeniería Civil </t>
  </si>
  <si>
    <t xml:space="preserve">Inversión para la ejecución del plan de profesionalización docente con ayuda de los docentes de pedagogía, sistema de gestión de diplomados entre las unidades </t>
  </si>
  <si>
    <t xml:space="preserve">diseñar currículo </t>
  </si>
  <si>
    <t xml:space="preserve">formación en postgrados </t>
  </si>
  <si>
    <t xml:space="preserve">capacitación en áreas de morfología, fisiología </t>
  </si>
  <si>
    <t>docentes con postgrados en las áreas</t>
  </si>
  <si>
    <t>Aumentar oferta de postgrados a docentes Ingeniería Eléctrica , Informática Administrativa.</t>
  </si>
  <si>
    <t xml:space="preserve">Áreas recreativas para el estudiante </t>
  </si>
  <si>
    <t>Fortalecer el sistema bibliotecario</t>
  </si>
  <si>
    <t>Sistema virtual creado</t>
  </si>
  <si>
    <t xml:space="preserve">Sub dirección académica </t>
  </si>
  <si>
    <t xml:space="preserve">Desarrollo físico </t>
  </si>
  <si>
    <t>Crear áreas de satisfacción para el estudiante</t>
  </si>
  <si>
    <t xml:space="preserve">áreas construidas </t>
  </si>
  <si>
    <t xml:space="preserve">Sud dirección de finanzas </t>
  </si>
  <si>
    <t>Proyectos de Estandarización de Buenas prácticas educativas para lograr Certificaciones educativas.</t>
  </si>
  <si>
    <t>número de encuestas aplicadas</t>
  </si>
  <si>
    <t>Evitar continuas demandas a la institución</t>
  </si>
  <si>
    <t>Asesoría Legal</t>
  </si>
  <si>
    <t xml:space="preserve">1) Socialización de los lineamientos metodológicos.  en el eje de ética                                                                                                                                                                                                                                     </t>
  </si>
  <si>
    <r>
      <rPr>
        <b/>
        <sz val="12"/>
        <color rgb="FFFF0000"/>
        <rFont val="Calibri"/>
        <family val="2"/>
        <scheme val="minor"/>
      </rPr>
      <t>Cuanto es el costo</t>
    </r>
    <r>
      <rPr>
        <b/>
        <sz val="12"/>
        <color theme="1"/>
        <rFont val="Calibri"/>
        <family val="2"/>
        <scheme val="minor"/>
      </rPr>
      <t xml:space="preserve"> </t>
    </r>
  </si>
  <si>
    <t>Cuanto es el costo</t>
  </si>
  <si>
    <t xml:space="preserve">Falta completarlo </t>
  </si>
  <si>
    <t xml:space="preserve">Falta completarlo si la van  a desarrollar esta actividad </t>
  </si>
  <si>
    <t xml:space="preserve">Realizar el link con la actividad ya sea talleres, investigación, contratación de personal, equipo tecnológicos o actividad especial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</si>
</sst>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 #,##0.00000_ ;_ * \-#,##0.00000_ ;_ * &quot;-&quot;??_ ;_ @_ "/>
    <numFmt numFmtId="176" formatCode="_ &quot;L.&quot;\ * #,##0_ ;_ &quot;L.&quot;\ * \-#,##0_ ;_ &quot;L.&quot;\ * &quot;-&quot;??_ ;_ @_ "/>
    <numFmt numFmtId="177" formatCode="&quot;L.&quot;\ #,##0"/>
  </numFmts>
  <fonts count="8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2"/>
      <color rgb="FF002060"/>
      <name val="Calibri"/>
      <family val="2"/>
      <scheme val="minor"/>
    </font>
    <font>
      <b/>
      <sz val="14"/>
      <color rgb="FF002060"/>
      <name val="Calibri"/>
      <family val="2"/>
      <scheme val="minor"/>
    </font>
    <font>
      <b/>
      <sz val="16"/>
      <color rgb="FF002060"/>
      <name val="Calibri"/>
      <family val="2"/>
      <scheme val="minor"/>
    </font>
    <font>
      <sz val="11"/>
      <color rgb="FF0033CC"/>
      <name val="Calibri"/>
      <family val="2"/>
    </font>
    <font>
      <sz val="12"/>
      <color rgb="FFFF0000"/>
      <name val="Calibri"/>
      <family val="2"/>
    </font>
    <font>
      <b/>
      <sz val="14"/>
      <color rgb="FF002060"/>
      <name val="Arial"/>
      <family val="2"/>
    </font>
    <font>
      <sz val="12"/>
      <color rgb="FF0066CC"/>
      <name val="Calibri"/>
      <family val="2"/>
    </font>
    <font>
      <sz val="11"/>
      <color rgb="FFFF0000"/>
      <name val="Calibri"/>
      <family val="2"/>
      <scheme val="minor"/>
    </font>
    <font>
      <b/>
      <sz val="22"/>
      <color indexed="56"/>
      <name val="Calibri"/>
      <family val="2"/>
    </font>
    <font>
      <sz val="14"/>
      <name val="Calibri"/>
      <family val="2"/>
    </font>
    <font>
      <b/>
      <sz val="12"/>
      <color theme="0"/>
      <name val="Calibri"/>
      <family val="2"/>
    </font>
    <font>
      <b/>
      <sz val="12"/>
      <color indexed="8"/>
      <name val="Calibri"/>
      <family val="2"/>
    </font>
    <font>
      <b/>
      <sz val="16"/>
      <color indexed="56"/>
      <name val="Calibri"/>
      <family val="2"/>
    </font>
    <font>
      <sz val="12"/>
      <color rgb="FF1D1B11"/>
      <name val="Calibri"/>
      <family val="2"/>
      <scheme val="minor"/>
    </font>
    <font>
      <b/>
      <i/>
      <sz val="12"/>
      <color theme="1"/>
      <name val="Arial"/>
      <family val="2"/>
    </font>
    <font>
      <b/>
      <sz val="16"/>
      <color theme="3" tint="-0.499984740745262"/>
      <name val="Calibri"/>
      <family val="2"/>
      <scheme val="minor"/>
    </font>
    <font>
      <b/>
      <sz val="8"/>
      <color indexed="56"/>
      <name val="Calibri"/>
      <family val="2"/>
    </font>
    <font>
      <sz val="10"/>
      <name val="Calibri"/>
      <family val="2"/>
      <scheme val="minor"/>
    </font>
    <font>
      <sz val="12"/>
      <color rgb="FFFF0000"/>
      <name val="Calibri"/>
      <family val="2"/>
      <scheme val="minor"/>
    </font>
    <font>
      <b/>
      <sz val="14"/>
      <color theme="1"/>
      <name val="Calibri"/>
      <family val="2"/>
      <scheme val="minor"/>
    </font>
    <font>
      <sz val="10"/>
      <name val="Calibri"/>
      <family val="2"/>
    </font>
    <font>
      <b/>
      <sz val="9"/>
      <color indexed="56"/>
      <name val="Calibri"/>
      <family val="2"/>
    </font>
    <font>
      <b/>
      <sz val="12"/>
      <color theme="1"/>
      <name val="Calibri"/>
      <family val="2"/>
      <scheme val="minor"/>
    </font>
    <font>
      <b/>
      <sz val="12"/>
      <color rgb="FFFF0000"/>
      <name val="Calibri"/>
      <family val="2"/>
      <scheme val="minor"/>
    </font>
    <font>
      <b/>
      <sz val="12"/>
      <color rgb="FFFF0000"/>
      <name val="Calibri"/>
      <family val="2"/>
    </font>
    <font>
      <sz val="10"/>
      <color rgb="FF000000"/>
      <name val="Arial"/>
      <family val="2"/>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rgb="FFC00000"/>
        <bgColor indexed="64"/>
      </patternFill>
    </fill>
  </fills>
  <borders count="7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diagonal/>
    </border>
    <border>
      <left/>
      <right/>
      <top style="thin">
        <color auto="1"/>
      </top>
      <bottom/>
      <diagonal/>
    </border>
    <border>
      <left style="medium">
        <color auto="1"/>
      </left>
      <right/>
      <top style="thin">
        <color auto="1"/>
      </top>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style="thin">
        <color auto="1"/>
      </top>
      <bottom style="medium">
        <color auto="1"/>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93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2" fillId="0" borderId="26" xfId="0" applyFont="1" applyFill="1" applyBorder="1" applyAlignment="1">
      <alignment horizontal="center" vertical="top" wrapText="1"/>
    </xf>
    <xf numFmtId="0" fontId="32" fillId="2" borderId="26" xfId="0" applyFont="1" applyFill="1" applyBorder="1" applyAlignment="1">
      <alignment horizontal="center" vertical="top" wrapText="1"/>
    </xf>
    <xf numFmtId="0" fontId="41" fillId="0" borderId="0" xfId="0" applyFont="1" applyAlignment="1">
      <alignment horizontal="center" vertical="center"/>
    </xf>
    <xf numFmtId="0" fontId="41" fillId="0" borderId="0" xfId="0" applyFont="1" applyAlignment="1">
      <alignment vertical="center"/>
    </xf>
    <xf numFmtId="173" fontId="41" fillId="0" borderId="0" xfId="18" applyNumberFormat="1" applyFont="1" applyAlignment="1">
      <alignment vertical="center"/>
    </xf>
    <xf numFmtId="0" fontId="42" fillId="0" borderId="0" xfId="0" applyFont="1" applyAlignment="1">
      <alignment vertical="center"/>
    </xf>
    <xf numFmtId="173"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4"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1" fillId="0" borderId="0" xfId="18" applyNumberFormat="1" applyFont="1" applyAlignment="1">
      <alignment horizontal="center" vertical="center"/>
    </xf>
    <xf numFmtId="173" fontId="43" fillId="0" borderId="0" xfId="18" applyNumberFormat="1" applyFont="1" applyAlignment="1">
      <alignment horizontal="center" vertical="center"/>
    </xf>
    <xf numFmtId="174" fontId="45"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9" fillId="14" borderId="26" xfId="0" applyFont="1" applyFill="1" applyBorder="1" applyAlignment="1">
      <alignment horizontal="center" vertical="center"/>
    </xf>
    <xf numFmtId="0" fontId="49" fillId="14" borderId="26" xfId="0" applyFont="1" applyFill="1" applyBorder="1" applyAlignment="1">
      <alignment vertical="center"/>
    </xf>
    <xf numFmtId="173" fontId="49" fillId="14" borderId="26" xfId="18" applyNumberFormat="1" applyFont="1" applyFill="1" applyBorder="1" applyAlignment="1">
      <alignment horizontal="center" vertical="center"/>
    </xf>
    <xf numFmtId="0" fontId="48"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3" fontId="47" fillId="3" borderId="26" xfId="18" applyNumberFormat="1" applyFont="1" applyFill="1" applyBorder="1" applyAlignment="1">
      <alignment horizontal="center" vertical="center"/>
    </xf>
    <xf numFmtId="0" fontId="49" fillId="16" borderId="40" xfId="0" applyFont="1" applyFill="1" applyBorder="1" applyAlignment="1">
      <alignment horizontal="center" vertical="center"/>
    </xf>
    <xf numFmtId="0" fontId="49" fillId="16" borderId="41" xfId="0" applyFont="1" applyFill="1" applyBorder="1" applyAlignment="1">
      <alignment horizontal="center" vertical="center"/>
    </xf>
    <xf numFmtId="43" fontId="49" fillId="16" borderId="39" xfId="18" applyFont="1" applyFill="1" applyBorder="1" applyAlignment="1">
      <alignment horizontal="center" vertical="center"/>
    </xf>
    <xf numFmtId="0" fontId="44"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2" fillId="0" borderId="0" xfId="0" applyFont="1" applyAlignment="1">
      <alignment vertical="center"/>
    </xf>
    <xf numFmtId="0" fontId="54" fillId="14" borderId="0" xfId="0" applyFont="1" applyFill="1" applyAlignment="1">
      <alignment horizontal="left" vertical="center"/>
    </xf>
    <xf numFmtId="44" fontId="54" fillId="14" borderId="0" xfId="10" applyFont="1" applyFill="1" applyAlignment="1">
      <alignment horizontal="center" vertical="center"/>
    </xf>
    <xf numFmtId="0" fontId="37" fillId="2" borderId="26" xfId="0" applyFont="1" applyFill="1" applyBorder="1" applyAlignment="1">
      <alignment vertical="center" wrapText="1"/>
    </xf>
    <xf numFmtId="0" fontId="55" fillId="0" borderId="0" xfId="0" applyNumberFormat="1" applyFont="1" applyFill="1" applyAlignment="1">
      <alignment horizontal="left" vertical="center"/>
    </xf>
    <xf numFmtId="43" fontId="49" fillId="16" borderId="39" xfId="18" applyFont="1" applyFill="1" applyBorder="1" applyAlignment="1">
      <alignment horizontal="center" vertical="center" wrapText="1"/>
    </xf>
    <xf numFmtId="43" fontId="48" fillId="14" borderId="0" xfId="18" applyFont="1" applyFill="1" applyAlignment="1">
      <alignment horizontal="center" vertical="center"/>
    </xf>
    <xf numFmtId="43" fontId="56"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8"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48" fillId="14" borderId="0" xfId="0" applyFont="1" applyFill="1" applyAlignment="1">
      <alignment vertical="center"/>
    </xf>
    <xf numFmtId="0" fontId="57"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7"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9"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11" borderId="26" xfId="18" applyFont="1" applyFill="1" applyBorder="1" applyAlignment="1">
      <alignment vertical="top" wrapText="1"/>
    </xf>
    <xf numFmtId="43" fontId="0" fillId="0" borderId="0" xfId="18" applyFont="1"/>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Fill="1" applyBorder="1" applyAlignment="1">
      <alignment vertical="top" wrapText="1"/>
    </xf>
    <xf numFmtId="0" fontId="59" fillId="0" borderId="0" xfId="0" applyFont="1" applyAlignment="1">
      <alignment horizontal="center" vertical="center"/>
    </xf>
    <xf numFmtId="43" fontId="59" fillId="0" borderId="0" xfId="18" applyFont="1" applyAlignment="1">
      <alignment vertical="center"/>
    </xf>
    <xf numFmtId="173" fontId="59" fillId="0" borderId="0" xfId="18" applyNumberFormat="1" applyFont="1" applyAlignment="1">
      <alignment vertical="center"/>
    </xf>
    <xf numFmtId="173" fontId="59" fillId="0" borderId="0" xfId="0" applyNumberFormat="1" applyFont="1" applyAlignment="1">
      <alignment vertical="center"/>
    </xf>
    <xf numFmtId="0" fontId="28" fillId="13" borderId="26" xfId="0" applyFont="1" applyFill="1" applyBorder="1" applyAlignment="1" applyProtection="1">
      <alignment horizontal="center" vertical="center" wrapText="1"/>
      <protection locked="0"/>
    </xf>
    <xf numFmtId="0" fontId="29" fillId="13" borderId="26" xfId="0" applyFont="1" applyFill="1" applyBorder="1" applyAlignment="1" applyProtection="1">
      <alignment horizontal="center" vertical="top" wrapText="1"/>
      <protection locked="0"/>
    </xf>
    <xf numFmtId="0" fontId="36" fillId="0" borderId="26" xfId="19" applyFont="1" applyBorder="1" applyAlignment="1">
      <alignment vertical="center" wrapText="1"/>
    </xf>
    <xf numFmtId="41" fontId="37" fillId="2" borderId="26" xfId="0" applyNumberFormat="1" applyFont="1" applyFill="1" applyBorder="1" applyAlignment="1">
      <alignment horizontal="left" vertical="center" wrapText="1"/>
    </xf>
    <xf numFmtId="41" fontId="37" fillId="2" borderId="26" xfId="0" applyNumberFormat="1" applyFont="1" applyFill="1" applyBorder="1" applyAlignment="1">
      <alignment vertical="center" wrapText="1"/>
    </xf>
    <xf numFmtId="41" fontId="37" fillId="2" borderId="26" xfId="0" applyNumberFormat="1" applyFont="1" applyFill="1" applyBorder="1" applyAlignment="1">
      <alignment horizontal="justify" vertical="center"/>
    </xf>
    <xf numFmtId="0" fontId="60" fillId="0" borderId="26" xfId="19" applyFont="1" applyBorder="1" applyAlignment="1">
      <alignment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9" fillId="0" borderId="26" xfId="19" applyFont="1" applyBorder="1" applyAlignment="1">
      <alignment vertical="center" wrapText="1"/>
    </xf>
    <xf numFmtId="0" fontId="38" fillId="0" borderId="26" xfId="19" applyFont="1" applyBorder="1" applyAlignment="1">
      <alignment vertical="center" wrapText="1"/>
    </xf>
    <xf numFmtId="0" fontId="38" fillId="0" borderId="26" xfId="19" applyFont="1" applyBorder="1" applyAlignment="1">
      <alignment horizontal="lef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8"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0" fontId="33" fillId="2" borderId="26" xfId="19" applyFont="1" applyFill="1" applyBorder="1" applyAlignment="1">
      <alignment horizontal="center" vertical="center" wrapText="1"/>
    </xf>
    <xf numFmtId="43" fontId="58"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39" fillId="0" borderId="26" xfId="19" applyFont="1" applyBorder="1" applyAlignment="1">
      <alignment horizontal="right" vertical="top"/>
    </xf>
    <xf numFmtId="0" fontId="39" fillId="0" borderId="26" xfId="19" applyFont="1" applyBorder="1" applyAlignment="1">
      <alignment vertical="top"/>
    </xf>
    <xf numFmtId="0" fontId="39" fillId="0" borderId="26" xfId="19" applyFont="1" applyBorder="1" applyAlignment="1">
      <alignment vertical="top" wrapText="1"/>
    </xf>
    <xf numFmtId="0" fontId="33" fillId="0" borderId="26" xfId="19" applyFont="1" applyBorder="1" applyAlignment="1">
      <alignment vertical="top" wrapText="1"/>
    </xf>
    <xf numFmtId="3" fontId="39" fillId="0" borderId="26" xfId="19" applyNumberFormat="1" applyFont="1" applyBorder="1" applyAlignment="1">
      <alignment horizontal="right" vertical="top"/>
    </xf>
    <xf numFmtId="9" fontId="33" fillId="0" borderId="26" xfId="19" applyNumberFormat="1" applyFont="1" applyBorder="1" applyAlignment="1">
      <alignment horizontal="right" vertical="top" wrapText="1"/>
    </xf>
    <xf numFmtId="9" fontId="39" fillId="0" borderId="26" xfId="19" applyNumberFormat="1" applyFont="1" applyBorder="1" applyAlignment="1">
      <alignment horizontal="right" vertical="top"/>
    </xf>
    <xf numFmtId="43" fontId="33" fillId="11" borderId="26" xfId="19" applyNumberFormat="1" applyFont="1" applyFill="1" applyBorder="1" applyAlignment="1">
      <alignment vertical="top" wrapText="1"/>
    </xf>
    <xf numFmtId="43" fontId="39"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43" fontId="33" fillId="11" borderId="26" xfId="18" applyNumberFormat="1" applyFont="1" applyFill="1" applyBorder="1" applyAlignment="1">
      <alignment vertical="top" wrapText="1"/>
    </xf>
    <xf numFmtId="0" fontId="33" fillId="2" borderId="26" xfId="19" applyFont="1" applyFill="1" applyBorder="1" applyAlignment="1">
      <alignment vertical="top"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0" fontId="38"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37"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9" fillId="0" borderId="26" xfId="19" applyFont="1" applyFill="1" applyBorder="1" applyAlignment="1">
      <alignment vertical="top"/>
    </xf>
    <xf numFmtId="0" fontId="40" fillId="0" borderId="28" xfId="0" applyFont="1" applyBorder="1" applyAlignment="1">
      <alignment vertical="top" wrapText="1"/>
    </xf>
    <xf numFmtId="0" fontId="39"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5" fillId="8" borderId="0" xfId="19" applyFont="1" applyFill="1" applyBorder="1" applyAlignment="1">
      <alignmen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4" fillId="14"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1" fillId="0" borderId="0" xfId="0" applyFont="1" applyAlignment="1">
      <alignment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6" fillId="0" borderId="26" xfId="19" applyFont="1" applyBorder="1" applyAlignment="1">
      <alignment vertical="top" wrapText="1"/>
    </xf>
    <xf numFmtId="0" fontId="29" fillId="11" borderId="26" xfId="19" applyFont="1" applyFill="1" applyBorder="1" applyAlignment="1">
      <alignment vertical="center"/>
    </xf>
    <xf numFmtId="0" fontId="0" fillId="0" borderId="26" xfId="0" applyFont="1" applyFill="1" applyBorder="1" applyAlignment="1">
      <alignment horizontal="center" vertical="center" wrapText="1"/>
    </xf>
    <xf numFmtId="0" fontId="0" fillId="0" borderId="26" xfId="0" applyFont="1" applyFill="1" applyBorder="1" applyAlignment="1">
      <alignment horizontal="center" vertical="top" wrapText="1"/>
    </xf>
    <xf numFmtId="0" fontId="28" fillId="13" borderId="36" xfId="0" applyFont="1" applyFill="1" applyBorder="1" applyAlignment="1" applyProtection="1">
      <alignment horizontal="center" vertical="center" wrapText="1"/>
      <protection locked="0"/>
    </xf>
    <xf numFmtId="0" fontId="34" fillId="11" borderId="36" xfId="19" applyFont="1" applyFill="1" applyBorder="1" applyAlignment="1">
      <alignment horizontal="center" vertical="center" wrapText="1"/>
    </xf>
    <xf numFmtId="0" fontId="33" fillId="11" borderId="36" xfId="19" applyFont="1" applyFill="1" applyBorder="1" applyAlignment="1">
      <alignment vertical="top" wrapText="1"/>
    </xf>
    <xf numFmtId="0" fontId="34" fillId="11" borderId="26" xfId="19" applyFont="1" applyFill="1" applyBorder="1" applyAlignment="1">
      <alignment vertical="center"/>
    </xf>
    <xf numFmtId="0" fontId="29" fillId="11" borderId="26" xfId="19" applyFont="1" applyFill="1" applyBorder="1" applyAlignment="1">
      <alignment vertical="top"/>
    </xf>
    <xf numFmtId="0" fontId="27" fillId="0" borderId="26" xfId="19" applyFont="1" applyFill="1" applyBorder="1" applyAlignment="1">
      <alignment horizontal="center" vertical="center" wrapText="1"/>
    </xf>
    <xf numFmtId="0" fontId="27" fillId="11" borderId="37" xfId="19" applyFont="1" applyFill="1" applyBorder="1" applyAlignment="1">
      <alignment vertical="center"/>
    </xf>
    <xf numFmtId="0" fontId="27" fillId="11" borderId="16" xfId="19" applyFont="1" applyFill="1" applyBorder="1" applyAlignment="1">
      <alignment vertical="center"/>
    </xf>
    <xf numFmtId="0" fontId="36" fillId="0" borderId="26" xfId="19" applyFont="1" applyFill="1" applyBorder="1" applyAlignment="1">
      <alignment horizontal="center" vertical="top" wrapText="1"/>
    </xf>
    <xf numFmtId="0" fontId="27" fillId="0" borderId="26" xfId="19" applyFont="1" applyFill="1" applyBorder="1" applyAlignment="1">
      <alignment horizontal="center" vertical="top" wrapText="1"/>
    </xf>
    <xf numFmtId="9" fontId="32" fillId="0" borderId="26" xfId="0" applyNumberFormat="1" applyFont="1" applyBorder="1" applyAlignment="1">
      <alignment horizontal="center" vertical="center"/>
    </xf>
    <xf numFmtId="9" fontId="45" fillId="0" borderId="36" xfId="0" applyNumberFormat="1" applyFont="1" applyFill="1" applyBorder="1" applyAlignment="1">
      <alignment horizontal="center" vertical="center" wrapText="1"/>
    </xf>
    <xf numFmtId="0" fontId="32" fillId="0" borderId="36" xfId="0" applyFont="1" applyFill="1" applyBorder="1" applyAlignment="1">
      <alignment horizontal="center" vertical="center" wrapText="1"/>
    </xf>
    <xf numFmtId="9" fontId="32" fillId="0" borderId="36" xfId="0" applyNumberFormat="1" applyFont="1" applyFill="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8" fillId="0" borderId="26" xfId="19" applyFont="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9" fillId="8" borderId="13" xfId="19" applyFont="1" applyFill="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7" fillId="0" borderId="27" xfId="19" applyFont="1" applyFill="1" applyBorder="1" applyAlignment="1">
      <alignment horizontal="center" vertical="top" wrapText="1"/>
    </xf>
    <xf numFmtId="0" fontId="40" fillId="0" borderId="30" xfId="0" applyFont="1" applyBorder="1" applyAlignment="1">
      <alignment horizontal="center" vertical="top" wrapText="1"/>
    </xf>
    <xf numFmtId="0" fontId="32" fillId="0" borderId="26" xfId="0" applyFont="1" applyBorder="1" applyAlignment="1">
      <alignment horizontal="center" vertical="center" wrapText="1"/>
    </xf>
    <xf numFmtId="0" fontId="70" fillId="0" borderId="26" xfId="19" applyFont="1" applyBorder="1" applyAlignment="1">
      <alignment horizontal="center" vertical="center" wrapText="1"/>
    </xf>
    <xf numFmtId="1" fontId="70" fillId="0" borderId="26" xfId="19" applyNumberFormat="1" applyFont="1" applyBorder="1" applyAlignment="1">
      <alignment horizontal="center" vertical="center" wrapText="1"/>
    </xf>
    <xf numFmtId="1" fontId="70" fillId="0" borderId="26" xfId="18" applyNumberFormat="1" applyFont="1" applyBorder="1" applyAlignment="1">
      <alignment horizontal="center" vertical="center" wrapText="1"/>
    </xf>
    <xf numFmtId="0" fontId="36" fillId="0" borderId="26" xfId="19" applyFont="1" applyBorder="1" applyAlignment="1">
      <alignment horizontal="center" vertical="center" wrapText="1"/>
    </xf>
    <xf numFmtId="0" fontId="70" fillId="2" borderId="26" xfId="19" applyFont="1" applyFill="1" applyBorder="1" applyAlignment="1">
      <alignment horizontal="center" vertical="center" wrapText="1"/>
    </xf>
    <xf numFmtId="0" fontId="33" fillId="0" borderId="0" xfId="19" applyFont="1" applyAlignment="1">
      <alignment vertical="center" wrapText="1"/>
    </xf>
    <xf numFmtId="0" fontId="29" fillId="8" borderId="0" xfId="19" applyFont="1" applyFill="1" applyBorder="1" applyAlignment="1">
      <alignment vertical="center"/>
    </xf>
    <xf numFmtId="0" fontId="29" fillId="8" borderId="13" xfId="19" applyFont="1" applyFill="1" applyBorder="1" applyAlignment="1">
      <alignment vertical="top"/>
    </xf>
    <xf numFmtId="0" fontId="29" fillId="8" borderId="13" xfId="19" applyFont="1" applyFill="1" applyBorder="1" applyAlignment="1">
      <alignment vertical="center" wrapText="1"/>
    </xf>
    <xf numFmtId="0" fontId="25" fillId="8" borderId="13" xfId="19" applyFont="1" applyFill="1" applyBorder="1" applyAlignment="1">
      <alignment vertical="center" wrapText="1"/>
    </xf>
    <xf numFmtId="0" fontId="25" fillId="13" borderId="26" xfId="0" applyFont="1" applyFill="1" applyBorder="1" applyAlignment="1" applyProtection="1">
      <alignment horizontal="center" vertical="center" wrapText="1"/>
      <protection locked="0"/>
    </xf>
    <xf numFmtId="0" fontId="72" fillId="0" borderId="26" xfId="19" applyFont="1" applyBorder="1" applyAlignment="1">
      <alignment horizontal="left" vertical="center" wrapText="1"/>
    </xf>
    <xf numFmtId="1" fontId="70" fillId="0" borderId="26" xfId="19" applyNumberFormat="1" applyFont="1" applyBorder="1" applyAlignment="1">
      <alignment horizontal="right" vertical="center" wrapText="1"/>
    </xf>
    <xf numFmtId="1" fontId="70" fillId="0" borderId="26" xfId="18" applyNumberFormat="1" applyFont="1" applyBorder="1" applyAlignment="1">
      <alignment horizontal="right" vertical="center" wrapText="1"/>
    </xf>
    <xf numFmtId="0" fontId="70"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 fontId="70" fillId="0" borderId="26" xfId="17" applyNumberFormat="1" applyFont="1" applyBorder="1" applyAlignment="1">
      <alignment horizontal="center" vertical="center" wrapText="1"/>
    </xf>
    <xf numFmtId="1" fontId="70" fillId="2" borderId="26" xfId="19" applyNumberFormat="1" applyFont="1" applyFill="1" applyBorder="1" applyAlignment="1">
      <alignment horizontal="center" vertical="center" wrapText="1"/>
    </xf>
    <xf numFmtId="0" fontId="29" fillId="0" borderId="37" xfId="19" applyFont="1" applyBorder="1" applyAlignment="1">
      <alignment horizontal="center" vertical="top" wrapText="1"/>
    </xf>
    <xf numFmtId="43" fontId="70" fillId="11" borderId="26" xfId="19" applyNumberFormat="1" applyFont="1" applyFill="1" applyBorder="1" applyAlignment="1">
      <alignment vertical="center" wrapText="1"/>
    </xf>
    <xf numFmtId="43" fontId="70" fillId="11" borderId="26" xfId="18" applyNumberFormat="1" applyFont="1" applyFill="1" applyBorder="1" applyAlignment="1">
      <alignment vertical="center" wrapText="1"/>
    </xf>
    <xf numFmtId="0" fontId="70" fillId="11" borderId="26" xfId="19" applyFont="1" applyFill="1" applyBorder="1" applyAlignment="1">
      <alignment vertical="center" wrapText="1"/>
    </xf>
    <xf numFmtId="0" fontId="70" fillId="0" borderId="0" xfId="19" applyFont="1" applyBorder="1" applyAlignment="1">
      <alignment vertical="center" wrapText="1"/>
    </xf>
    <xf numFmtId="164" fontId="33" fillId="0" borderId="0" xfId="19" applyNumberFormat="1" applyFont="1" applyBorder="1" applyAlignment="1">
      <alignment vertical="center" wrapText="1"/>
    </xf>
    <xf numFmtId="0" fontId="38" fillId="2" borderId="26" xfId="19" applyFont="1" applyFill="1" applyBorder="1" applyAlignment="1">
      <alignment horizontal="center" vertical="center" wrapText="1"/>
    </xf>
    <xf numFmtId="0" fontId="33" fillId="2" borderId="26" xfId="19" applyFont="1" applyFill="1" applyBorder="1" applyAlignment="1">
      <alignment horizontal="left" vertical="center" wrapText="1"/>
    </xf>
    <xf numFmtId="0" fontId="0" fillId="0" borderId="0" xfId="0" applyBorder="1" applyAlignment="1">
      <alignment horizontal="center" vertical="center"/>
    </xf>
    <xf numFmtId="0" fontId="22" fillId="5" borderId="12" xfId="0" applyFont="1" applyFill="1" applyBorder="1" applyAlignment="1">
      <alignment vertical="center" wrapText="1"/>
    </xf>
    <xf numFmtId="0" fontId="25" fillId="8" borderId="0" xfId="19" applyFont="1" applyFill="1" applyBorder="1" applyAlignment="1">
      <alignment vertical="center" wrapText="1"/>
    </xf>
    <xf numFmtId="0" fontId="27" fillId="9" borderId="13" xfId="19" applyFont="1" applyFill="1" applyBorder="1" applyAlignment="1" applyProtection="1">
      <alignment vertical="center"/>
      <protection locked="0"/>
    </xf>
    <xf numFmtId="0" fontId="65" fillId="0" borderId="26" xfId="19" applyFont="1" applyBorder="1" applyAlignment="1">
      <alignment horizontal="center" vertical="center" wrapText="1"/>
    </xf>
    <xf numFmtId="164" fontId="33" fillId="0" borderId="26" xfId="19" applyNumberFormat="1" applyFont="1" applyBorder="1" applyAlignment="1">
      <alignment horizontal="center" vertical="center" wrapText="1"/>
    </xf>
    <xf numFmtId="0" fontId="33" fillId="0" borderId="26" xfId="19" applyFont="1" applyFill="1" applyBorder="1" applyAlignment="1">
      <alignment vertical="center" wrapText="1"/>
    </xf>
    <xf numFmtId="0" fontId="29" fillId="11" borderId="26" xfId="19" applyFont="1" applyFill="1" applyBorder="1" applyAlignment="1">
      <alignment vertical="center" wrapText="1"/>
    </xf>
    <xf numFmtId="0" fontId="36" fillId="0" borderId="26" xfId="19" applyFont="1" applyFill="1" applyBorder="1" applyAlignment="1">
      <alignment vertical="center" wrapText="1"/>
    </xf>
    <xf numFmtId="9" fontId="33" fillId="0" borderId="26" xfId="19" applyNumberFormat="1" applyFont="1" applyFill="1" applyBorder="1" applyAlignment="1">
      <alignment horizontal="center" vertical="center" wrapText="1"/>
    </xf>
    <xf numFmtId="4" fontId="33" fillId="0" borderId="26" xfId="19" applyNumberFormat="1" applyFont="1" applyFill="1" applyBorder="1" applyAlignment="1">
      <alignment horizontal="center" vertical="center" wrapText="1"/>
    </xf>
    <xf numFmtId="43" fontId="33" fillId="0" borderId="26" xfId="18" applyFont="1" applyFill="1" applyBorder="1" applyAlignment="1">
      <alignment horizontal="center" vertical="center" wrapText="1"/>
    </xf>
    <xf numFmtId="0" fontId="36" fillId="2" borderId="26" xfId="19" applyFont="1" applyFill="1" applyBorder="1" applyAlignment="1">
      <alignment vertical="center" wrapText="1"/>
    </xf>
    <xf numFmtId="9" fontId="33" fillId="2" borderId="26" xfId="19" applyNumberFormat="1" applyFont="1" applyFill="1" applyBorder="1" applyAlignment="1">
      <alignment horizontal="center" vertical="center" wrapText="1"/>
    </xf>
    <xf numFmtId="4" fontId="33" fillId="2" borderId="26" xfId="19" applyNumberFormat="1" applyFont="1" applyFill="1" applyBorder="1" applyAlignment="1">
      <alignment horizontal="center" vertical="center" wrapText="1"/>
    </xf>
    <xf numFmtId="0" fontId="4" fillId="0" borderId="0" xfId="0" applyFont="1" applyAlignment="1">
      <alignment vertical="center" wrapText="1"/>
    </xf>
    <xf numFmtId="9" fontId="33" fillId="2" borderId="26" xfId="19" applyNumberFormat="1" applyFont="1" applyFill="1" applyBorder="1" applyAlignment="1">
      <alignment horizontal="left" vertical="center" wrapText="1"/>
    </xf>
    <xf numFmtId="0" fontId="36" fillId="2" borderId="30" xfId="19" applyFont="1" applyFill="1" applyBorder="1" applyAlignment="1">
      <alignment horizontal="center" vertical="center" wrapText="1"/>
    </xf>
    <xf numFmtId="0" fontId="60" fillId="2" borderId="26" xfId="19" applyFont="1" applyFill="1" applyBorder="1" applyAlignment="1">
      <alignment vertical="center" wrapText="1"/>
    </xf>
    <xf numFmtId="0" fontId="60" fillId="2" borderId="30" xfId="19" applyFont="1" applyFill="1" applyBorder="1" applyAlignment="1">
      <alignment horizontal="center" vertical="center" wrapText="1"/>
    </xf>
    <xf numFmtId="0" fontId="33" fillId="2" borderId="26" xfId="19" applyNumberFormat="1" applyFont="1" applyFill="1" applyBorder="1" applyAlignment="1">
      <alignment horizontal="center" vertical="center" wrapText="1"/>
    </xf>
    <xf numFmtId="173" fontId="33" fillId="2" borderId="26" xfId="12" applyNumberFormat="1" applyFont="1" applyFill="1" applyBorder="1" applyAlignment="1">
      <alignment horizontal="center" vertical="center" wrapText="1"/>
    </xf>
    <xf numFmtId="9" fontId="33" fillId="2" borderId="26" xfId="19" applyNumberFormat="1" applyFont="1" applyFill="1" applyBorder="1" applyAlignment="1">
      <alignment horizontal="right" vertical="center" wrapText="1"/>
    </xf>
    <xf numFmtId="0" fontId="33" fillId="2" borderId="26" xfId="19" applyFont="1" applyFill="1" applyBorder="1" applyAlignment="1">
      <alignment horizontal="right" vertical="center" wrapText="1"/>
    </xf>
    <xf numFmtId="0" fontId="74" fillId="2" borderId="0" xfId="0" applyFont="1" applyFill="1" applyAlignment="1">
      <alignment horizontal="justify" vertical="top"/>
    </xf>
    <xf numFmtId="0" fontId="0" fillId="2" borderId="26" xfId="0" applyFill="1" applyBorder="1" applyAlignment="1">
      <alignment vertical="top" wrapText="1"/>
    </xf>
    <xf numFmtId="9" fontId="33" fillId="2" borderId="26" xfId="19" applyNumberFormat="1" applyFont="1" applyFill="1" applyBorder="1" applyAlignment="1">
      <alignment vertical="top" wrapText="1"/>
    </xf>
    <xf numFmtId="0" fontId="60" fillId="2" borderId="26" xfId="19" applyFont="1" applyFill="1" applyBorder="1" applyAlignment="1">
      <alignment horizontal="center" vertical="center" wrapText="1"/>
    </xf>
    <xf numFmtId="0" fontId="33" fillId="5" borderId="26" xfId="19" applyFont="1" applyFill="1" applyBorder="1" applyAlignment="1">
      <alignment horizontal="left" vertical="center" wrapText="1"/>
    </xf>
    <xf numFmtId="43" fontId="22" fillId="5" borderId="14" xfId="18" applyFont="1" applyFill="1" applyBorder="1" applyAlignment="1"/>
    <xf numFmtId="0" fontId="22" fillId="5" borderId="38" xfId="0" applyNumberFormat="1" applyFont="1" applyFill="1" applyBorder="1" applyAlignment="1">
      <alignment horizontal="center" vertical="center"/>
    </xf>
    <xf numFmtId="43" fontId="22" fillId="5" borderId="13" xfId="18" applyFont="1" applyFill="1" applyBorder="1" applyAlignment="1">
      <alignment horizontal="center"/>
    </xf>
    <xf numFmtId="43" fontId="22" fillId="5" borderId="33" xfId="18" applyFont="1" applyFill="1" applyBorder="1" applyAlignment="1">
      <alignment vertical="center"/>
    </xf>
    <xf numFmtId="175" fontId="34" fillId="11" borderId="26" xfId="18" applyNumberFormat="1" applyFont="1" applyFill="1" applyBorder="1" applyAlignment="1">
      <alignment vertical="top" wrapText="1"/>
    </xf>
    <xf numFmtId="43" fontId="22" fillId="5" borderId="14" xfId="18" applyFont="1" applyFill="1" applyBorder="1" applyAlignment="1">
      <alignment vertical="center"/>
    </xf>
    <xf numFmtId="43" fontId="22" fillId="2" borderId="12" xfId="18" applyFont="1" applyFill="1" applyBorder="1" applyAlignment="1">
      <alignment vertical="center"/>
    </xf>
    <xf numFmtId="43" fontId="21" fillId="2" borderId="0" xfId="0" applyNumberFormat="1" applyFont="1" applyFill="1" applyAlignment="1">
      <alignment horizontal="center" vertical="center"/>
    </xf>
    <xf numFmtId="172" fontId="22" fillId="2" borderId="0" xfId="0" applyNumberFormat="1" applyFont="1" applyFill="1" applyAlignment="1">
      <alignment vertical="center"/>
    </xf>
    <xf numFmtId="41" fontId="22" fillId="5" borderId="13" xfId="0" applyNumberFormat="1" applyFont="1" applyFill="1" applyBorder="1" applyAlignment="1">
      <alignment horizontal="center" vertical="center"/>
    </xf>
    <xf numFmtId="41" fontId="22" fillId="2" borderId="14" xfId="0" applyNumberFormat="1" applyFont="1" applyFill="1" applyBorder="1"/>
    <xf numFmtId="41" fontId="22" fillId="5" borderId="16" xfId="0" applyNumberFormat="1" applyFont="1" applyFill="1" applyBorder="1" applyAlignment="1">
      <alignment horizontal="center" vertical="center"/>
    </xf>
    <xf numFmtId="41" fontId="22" fillId="2" borderId="17" xfId="0" applyNumberFormat="1" applyFont="1" applyFill="1" applyBorder="1"/>
    <xf numFmtId="0" fontId="75" fillId="0" borderId="0" xfId="0" applyFont="1" applyAlignment="1">
      <alignment vertical="center"/>
    </xf>
    <xf numFmtId="0" fontId="21" fillId="5" borderId="13" xfId="0" applyNumberFormat="1" applyFont="1" applyFill="1" applyBorder="1" applyAlignment="1">
      <alignment horizontal="center" vertical="center"/>
    </xf>
    <xf numFmtId="0" fontId="21" fillId="5" borderId="16" xfId="0" applyNumberFormat="1" applyFont="1" applyFill="1" applyBorder="1" applyAlignment="1">
      <alignment horizontal="center" vertical="center"/>
    </xf>
    <xf numFmtId="0" fontId="76" fillId="2" borderId="0" xfId="0" applyFont="1" applyFill="1" applyBorder="1" applyAlignment="1">
      <alignment vertical="center"/>
    </xf>
    <xf numFmtId="0" fontId="21" fillId="3" borderId="16" xfId="0" applyNumberFormat="1" applyFont="1" applyFill="1" applyBorder="1" applyAlignment="1">
      <alignment horizontal="center" vertical="center"/>
    </xf>
    <xf numFmtId="41" fontId="22" fillId="3" borderId="14" xfId="0" applyNumberFormat="1" applyFont="1" applyFill="1" applyBorder="1" applyAlignment="1">
      <alignment vertical="center"/>
    </xf>
    <xf numFmtId="41" fontId="22" fillId="3" borderId="12" xfId="0" applyNumberFormat="1" applyFont="1" applyFill="1" applyBorder="1" applyAlignment="1">
      <alignment vertical="center"/>
    </xf>
    <xf numFmtId="41" fontId="22" fillId="3" borderId="26" xfId="0" applyNumberFormat="1" applyFont="1" applyFill="1" applyBorder="1" applyAlignment="1">
      <alignment horizontal="center" vertical="center"/>
    </xf>
    <xf numFmtId="0" fontId="22" fillId="3" borderId="18" xfId="0" applyFont="1" applyFill="1" applyBorder="1" applyAlignment="1">
      <alignment horizontal="center" vertical="center"/>
    </xf>
    <xf numFmtId="0" fontId="22" fillId="3" borderId="10" xfId="0" applyFont="1" applyFill="1" applyBorder="1" applyAlignment="1">
      <alignment vertical="center"/>
    </xf>
    <xf numFmtId="41" fontId="22" fillId="3" borderId="17" xfId="0" applyNumberFormat="1" applyFont="1" applyFill="1" applyBorder="1" applyAlignment="1">
      <alignment vertical="center"/>
    </xf>
    <xf numFmtId="0" fontId="22" fillId="3" borderId="20" xfId="0" applyFont="1" applyFill="1" applyBorder="1" applyAlignment="1">
      <alignment vertical="center"/>
    </xf>
    <xf numFmtId="0" fontId="22" fillId="3" borderId="21" xfId="0" applyFont="1" applyFill="1" applyBorder="1" applyAlignment="1">
      <alignment horizontal="center" vertical="center"/>
    </xf>
    <xf numFmtId="0" fontId="22" fillId="2" borderId="4" xfId="0" applyFont="1" applyFill="1" applyBorder="1" applyAlignment="1">
      <alignment horizontal="center" vertical="center"/>
    </xf>
    <xf numFmtId="44" fontId="0" fillId="0" borderId="0" xfId="0" applyNumberFormat="1" applyFill="1" applyAlignment="1">
      <alignment vertical="center"/>
    </xf>
    <xf numFmtId="0" fontId="29" fillId="0" borderId="26" xfId="19" applyFont="1" applyBorder="1" applyAlignment="1">
      <alignment horizontal="center" vertical="top" wrapText="1"/>
    </xf>
    <xf numFmtId="0" fontId="29" fillId="0" borderId="30" xfId="19" applyFont="1" applyBorder="1" applyAlignment="1">
      <alignment horizontal="center" vertical="top" wrapText="1"/>
    </xf>
    <xf numFmtId="0" fontId="38" fillId="0" borderId="26" xfId="19" applyFont="1" applyBorder="1" applyAlignment="1">
      <alignment horizontal="center" vertical="center" wrapText="1"/>
    </xf>
    <xf numFmtId="0" fontId="29" fillId="0" borderId="27" xfId="19" applyFont="1" applyBorder="1" applyAlignment="1">
      <alignment horizontal="center" vertical="center" wrapText="1"/>
    </xf>
    <xf numFmtId="0" fontId="22" fillId="2" borderId="0" xfId="0" applyFont="1" applyFill="1" applyBorder="1" applyAlignment="1">
      <alignment horizontal="center" vertical="center"/>
    </xf>
    <xf numFmtId="0" fontId="22" fillId="0" borderId="0" xfId="0" applyFont="1" applyFill="1" applyBorder="1" applyAlignment="1">
      <alignment horizontal="center" vertical="center"/>
    </xf>
    <xf numFmtId="41" fontId="22" fillId="0" borderId="12" xfId="0" applyNumberFormat="1" applyFont="1" applyFill="1" applyBorder="1" applyAlignment="1">
      <alignment vertical="center"/>
    </xf>
    <xf numFmtId="41" fontId="22" fillId="0" borderId="15" xfId="0" applyNumberFormat="1" applyFont="1" applyFill="1" applyBorder="1" applyAlignment="1">
      <alignment horizontal="center" vertical="center"/>
    </xf>
    <xf numFmtId="0" fontId="32" fillId="0" borderId="26" xfId="0" applyFont="1" applyFill="1" applyBorder="1" applyAlignment="1">
      <alignment horizontal="center" vertical="center" wrapText="1"/>
    </xf>
    <xf numFmtId="0" fontId="0" fillId="0" borderId="26" xfId="0" applyFill="1" applyBorder="1" applyAlignment="1">
      <alignment horizontal="center" vertical="center" wrapText="1"/>
    </xf>
    <xf numFmtId="0" fontId="4" fillId="0" borderId="26" xfId="0" applyFont="1" applyFill="1" applyBorder="1" applyAlignment="1">
      <alignment horizontal="center" vertical="top" wrapText="1"/>
    </xf>
    <xf numFmtId="43" fontId="32" fillId="0" borderId="26" xfId="18"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0" fontId="37" fillId="0" borderId="28" xfId="0" applyFont="1" applyFill="1" applyBorder="1" applyAlignment="1">
      <alignment horizontal="left" vertical="top" wrapText="1"/>
    </xf>
    <xf numFmtId="0" fontId="14" fillId="0" borderId="26" xfId="0" applyFont="1" applyBorder="1" applyAlignment="1">
      <alignment horizontal="left" vertical="center"/>
    </xf>
    <xf numFmtId="0" fontId="36" fillId="0" borderId="26" xfId="19" applyFont="1" applyFill="1" applyBorder="1" applyAlignment="1">
      <alignment horizontal="center" vertical="center" wrapText="1"/>
    </xf>
    <xf numFmtId="0" fontId="29" fillId="0" borderId="45" xfId="19" applyFont="1" applyBorder="1" applyAlignment="1">
      <alignment vertical="top" wrapText="1"/>
    </xf>
    <xf numFmtId="0" fontId="36" fillId="0" borderId="26" xfId="19" applyFont="1" applyFill="1" applyBorder="1" applyAlignment="1">
      <alignment horizontal="center" vertical="center"/>
    </xf>
    <xf numFmtId="9" fontId="36" fillId="0" borderId="26" xfId="19" applyNumberFormat="1" applyFont="1" applyFill="1" applyBorder="1" applyAlignment="1">
      <alignment horizontal="center" vertical="center" wrapText="1"/>
    </xf>
    <xf numFmtId="0" fontId="29" fillId="0" borderId="1" xfId="19" applyFont="1" applyBorder="1" applyAlignment="1">
      <alignment vertical="center" wrapText="1"/>
    </xf>
    <xf numFmtId="0" fontId="36" fillId="0" borderId="43" xfId="19" applyFont="1" applyFill="1" applyBorder="1" applyAlignment="1">
      <alignment horizontal="center" vertical="center" wrapText="1"/>
    </xf>
    <xf numFmtId="0" fontId="29" fillId="0" borderId="26" xfId="19" applyFont="1" applyBorder="1" applyAlignment="1">
      <alignment vertical="top" wrapText="1"/>
    </xf>
    <xf numFmtId="0" fontId="32" fillId="0" borderId="0" xfId="0" applyFont="1"/>
    <xf numFmtId="0" fontId="33" fillId="5" borderId="26" xfId="19" applyFont="1" applyFill="1" applyBorder="1" applyAlignment="1">
      <alignment horizontal="center" vertical="center" wrapText="1"/>
    </xf>
    <xf numFmtId="172" fontId="21" fillId="3" borderId="3" xfId="10" applyNumberFormat="1" applyFont="1" applyFill="1" applyBorder="1" applyAlignment="1">
      <alignment horizontal="center" vertical="center"/>
    </xf>
    <xf numFmtId="43" fontId="32" fillId="0" borderId="26" xfId="18" applyFont="1" applyBorder="1" applyAlignment="1">
      <alignment horizontal="center" vertical="center"/>
    </xf>
    <xf numFmtId="9" fontId="39" fillId="0" borderId="26" xfId="19" applyNumberFormat="1" applyFont="1" applyFill="1" applyBorder="1" applyAlignment="1">
      <alignment horizontal="center" vertical="center"/>
    </xf>
    <xf numFmtId="0" fontId="39" fillId="0" borderId="26" xfId="19" applyFont="1" applyFill="1" applyBorder="1" applyAlignment="1">
      <alignment horizontal="center" vertical="center"/>
    </xf>
    <xf numFmtId="0" fontId="39" fillId="0" borderId="26" xfId="19" applyFont="1" applyBorder="1" applyAlignment="1">
      <alignment horizontal="center" vertical="center"/>
    </xf>
    <xf numFmtId="9" fontId="32" fillId="0" borderId="26" xfId="18" applyNumberFormat="1" applyFont="1" applyBorder="1" applyAlignment="1">
      <alignment vertical="top"/>
    </xf>
    <xf numFmtId="0" fontId="32" fillId="0" borderId="30" xfId="0" applyFont="1" applyFill="1" applyBorder="1" applyAlignment="1">
      <alignment horizontal="center" vertical="center" wrapText="1"/>
    </xf>
    <xf numFmtId="9" fontId="39" fillId="0" borderId="26" xfId="19" applyNumberFormat="1" applyFont="1" applyFill="1" applyBorder="1" applyAlignment="1">
      <alignment vertical="top"/>
    </xf>
    <xf numFmtId="0" fontId="0" fillId="0" borderId="26" xfId="0" applyBorder="1" applyAlignment="1">
      <alignment horizontal="center" vertical="center" wrapText="1"/>
    </xf>
    <xf numFmtId="0" fontId="0" fillId="0" borderId="26" xfId="0" applyNumberFormat="1" applyFill="1" applyBorder="1" applyAlignment="1">
      <alignment horizontal="center" vertical="center" wrapText="1"/>
    </xf>
    <xf numFmtId="0" fontId="32" fillId="0" borderId="26" xfId="17" applyNumberFormat="1" applyFont="1" applyBorder="1" applyAlignment="1">
      <alignment vertical="top"/>
    </xf>
    <xf numFmtId="0" fontId="25" fillId="8" borderId="0" xfId="19" applyFont="1" applyFill="1" applyBorder="1" applyAlignment="1">
      <alignment horizontal="left" vertical="center"/>
    </xf>
    <xf numFmtId="0" fontId="25" fillId="8" borderId="0" xfId="19" applyFont="1" applyFill="1" applyBorder="1" applyAlignment="1">
      <alignment horizontal="center" vertical="top" wrapText="1"/>
    </xf>
    <xf numFmtId="0" fontId="27" fillId="9" borderId="13" xfId="19" applyFont="1" applyFill="1" applyBorder="1" applyAlignment="1" applyProtection="1">
      <alignment horizontal="left" vertical="top" wrapText="1"/>
      <protection locked="0"/>
    </xf>
    <xf numFmtId="0" fontId="34" fillId="11" borderId="26" xfId="19" applyFont="1" applyFill="1" applyBorder="1" applyAlignment="1">
      <alignment horizontal="center" vertical="top"/>
    </xf>
    <xf numFmtId="0" fontId="34" fillId="11" borderId="26" xfId="19" applyFont="1" applyFill="1" applyBorder="1" applyAlignment="1">
      <alignment horizontal="center" vertical="top" wrapText="1"/>
    </xf>
    <xf numFmtId="0" fontId="34" fillId="11" borderId="26" xfId="19" applyFont="1" applyFill="1" applyBorder="1" applyAlignment="1">
      <alignment horizontal="left" vertical="top"/>
    </xf>
    <xf numFmtId="0" fontId="29" fillId="11" borderId="26" xfId="19" applyFont="1" applyFill="1" applyBorder="1" applyAlignment="1">
      <alignment horizontal="left" vertical="top"/>
    </xf>
    <xf numFmtId="0" fontId="29" fillId="11" borderId="26" xfId="19" applyFont="1" applyFill="1" applyBorder="1" applyAlignment="1">
      <alignment horizontal="left" vertical="top" wrapText="1"/>
    </xf>
    <xf numFmtId="0" fontId="33" fillId="11" borderId="26" xfId="19" applyFont="1" applyFill="1" applyBorder="1" applyAlignment="1">
      <alignment horizontal="right" vertical="top" wrapText="1"/>
    </xf>
    <xf numFmtId="0" fontId="29" fillId="10" borderId="26" xfId="19" applyFont="1" applyFill="1" applyBorder="1" applyAlignment="1">
      <alignment horizontal="left" vertical="top"/>
    </xf>
    <xf numFmtId="0" fontId="29" fillId="10" borderId="26" xfId="19" applyFont="1" applyFill="1" applyBorder="1" applyAlignment="1">
      <alignment horizontal="left" vertical="top" wrapText="1"/>
    </xf>
    <xf numFmtId="0" fontId="29" fillId="12" borderId="26" xfId="19" applyFont="1" applyFill="1" applyBorder="1" applyAlignment="1">
      <alignment horizontal="right" vertical="top" wrapText="1"/>
    </xf>
    <xf numFmtId="0" fontId="33" fillId="12" borderId="26" xfId="19" applyFont="1" applyFill="1" applyBorder="1" applyAlignment="1">
      <alignment horizontal="right" vertical="top" wrapText="1"/>
    </xf>
    <xf numFmtId="0" fontId="33" fillId="12" borderId="26" xfId="19" applyFont="1" applyFill="1" applyBorder="1" applyAlignment="1">
      <alignment vertical="top" wrapText="1"/>
    </xf>
    <xf numFmtId="0" fontId="22" fillId="5" borderId="16" xfId="0" quotePrefix="1" applyNumberFormat="1" applyFont="1" applyFill="1" applyBorder="1" applyAlignment="1">
      <alignment horizontal="center" vertical="center"/>
    </xf>
    <xf numFmtId="0" fontId="4" fillId="0" borderId="26" xfId="0" applyFont="1" applyFill="1" applyBorder="1" applyAlignment="1">
      <alignment horizontal="center" vertical="center" wrapText="1"/>
    </xf>
    <xf numFmtId="0" fontId="29" fillId="2" borderId="13" xfId="19" applyFont="1" applyFill="1" applyBorder="1" applyAlignment="1">
      <alignment horizontal="center" vertical="center" wrapText="1"/>
    </xf>
    <xf numFmtId="0" fontId="29" fillId="0" borderId="26" xfId="19" applyFont="1" applyBorder="1" applyAlignment="1">
      <alignment horizontal="center" vertical="top" wrapText="1"/>
    </xf>
    <xf numFmtId="0" fontId="38" fillId="0" borderId="26" xfId="19" applyFont="1" applyBorder="1" applyAlignment="1">
      <alignment horizontal="center" vertical="center" wrapText="1"/>
    </xf>
    <xf numFmtId="41" fontId="22" fillId="2" borderId="4" xfId="0" applyNumberFormat="1" applyFont="1" applyFill="1" applyBorder="1" applyAlignment="1">
      <alignment vertical="center"/>
    </xf>
    <xf numFmtId="0" fontId="0" fillId="5" borderId="26" xfId="0" applyFill="1" applyBorder="1" applyAlignment="1">
      <alignment vertical="center"/>
    </xf>
    <xf numFmtId="0" fontId="0" fillId="5" borderId="26" xfId="0" applyFill="1" applyBorder="1" applyAlignment="1">
      <alignment horizontal="center" vertical="center"/>
    </xf>
    <xf numFmtId="41" fontId="22" fillId="5" borderId="26" xfId="0" applyNumberFormat="1" applyFont="1" applyFill="1" applyBorder="1" applyAlignment="1">
      <alignment vertical="center"/>
    </xf>
    <xf numFmtId="0" fontId="22" fillId="5" borderId="26" xfId="0" applyFont="1" applyFill="1" applyBorder="1" applyAlignment="1">
      <alignment vertical="center"/>
    </xf>
    <xf numFmtId="0" fontId="22" fillId="5" borderId="26" xfId="0" applyNumberFormat="1" applyFont="1" applyFill="1" applyBorder="1" applyAlignment="1">
      <alignment horizontal="center" vertical="center"/>
    </xf>
    <xf numFmtId="0" fontId="22" fillId="5" borderId="26" xfId="0" applyFont="1" applyFill="1" applyBorder="1" applyAlignment="1">
      <alignment vertical="center" wrapText="1"/>
    </xf>
    <xf numFmtId="0" fontId="0" fillId="5" borderId="26" xfId="0" applyFill="1" applyBorder="1"/>
    <xf numFmtId="0" fontId="78" fillId="0" borderId="26" xfId="0" applyFont="1" applyFill="1" applyBorder="1" applyAlignment="1">
      <alignment horizontal="left" vertical="top" wrapText="1"/>
    </xf>
    <xf numFmtId="0" fontId="40" fillId="0" borderId="30" xfId="0" applyFont="1" applyBorder="1" applyAlignment="1">
      <alignment vertical="top" wrapText="1"/>
    </xf>
    <xf numFmtId="0" fontId="40" fillId="0" borderId="27" xfId="0" applyFont="1" applyBorder="1" applyAlignment="1">
      <alignment vertical="top" wrapText="1"/>
    </xf>
    <xf numFmtId="0" fontId="29" fillId="0" borderId="26" xfId="0" applyFont="1" applyFill="1" applyBorder="1" applyAlignment="1" applyProtection="1">
      <alignment horizontal="center" vertical="top" wrapText="1"/>
      <protection locked="0"/>
    </xf>
    <xf numFmtId="43" fontId="29" fillId="0" borderId="26" xfId="18" applyFont="1" applyFill="1" applyBorder="1" applyAlignment="1" applyProtection="1">
      <alignment horizontal="center" vertical="top" wrapText="1"/>
      <protection locked="0"/>
    </xf>
    <xf numFmtId="43" fontId="29" fillId="0" borderId="26" xfId="0" applyNumberFormat="1" applyFont="1" applyFill="1" applyBorder="1" applyAlignment="1" applyProtection="1">
      <alignment horizontal="center" vertical="top" wrapText="1"/>
      <protection locked="0"/>
    </xf>
    <xf numFmtId="9" fontId="29" fillId="0" borderId="26" xfId="0" applyNumberFormat="1" applyFont="1" applyFill="1" applyBorder="1" applyAlignment="1" applyProtection="1">
      <alignment horizontal="center" vertical="top" wrapText="1"/>
      <protection locked="0"/>
    </xf>
    <xf numFmtId="9" fontId="79" fillId="0" borderId="26" xfId="0" applyNumberFormat="1" applyFont="1" applyBorder="1" applyAlignment="1">
      <alignment horizontal="center" vertical="center" wrapText="1"/>
    </xf>
    <xf numFmtId="0" fontId="35" fillId="0" borderId="26" xfId="0" applyFont="1" applyFill="1" applyBorder="1" applyAlignment="1" applyProtection="1">
      <alignment horizontal="center" vertical="center" wrapText="1"/>
      <protection locked="0"/>
    </xf>
    <xf numFmtId="0" fontId="35" fillId="0" borderId="27" xfId="0" applyFont="1" applyFill="1" applyBorder="1" applyAlignment="1" applyProtection="1">
      <alignment horizontal="center" vertical="center" wrapText="1"/>
      <protection locked="0"/>
    </xf>
    <xf numFmtId="0" fontId="36" fillId="0" borderId="27" xfId="0" applyFont="1" applyFill="1" applyBorder="1" applyAlignment="1" applyProtection="1">
      <alignment horizontal="center" vertical="center" wrapText="1"/>
      <protection locked="0"/>
    </xf>
    <xf numFmtId="9" fontId="32" fillId="0" borderId="26" xfId="0" applyNumberFormat="1" applyFont="1" applyFill="1" applyBorder="1" applyAlignment="1">
      <alignment vertical="top"/>
    </xf>
    <xf numFmtId="0" fontId="32" fillId="0" borderId="26" xfId="0" applyFont="1" applyFill="1" applyBorder="1" applyAlignment="1">
      <alignment vertical="top"/>
    </xf>
    <xf numFmtId="0" fontId="29" fillId="0" borderId="47" xfId="19" applyFont="1" applyBorder="1" applyAlignment="1">
      <alignment horizontal="center" vertical="center" wrapText="1"/>
    </xf>
    <xf numFmtId="176" fontId="0" fillId="0" borderId="26" xfId="0" applyNumberFormat="1" applyFill="1" applyBorder="1" applyAlignment="1">
      <alignment vertical="center"/>
    </xf>
    <xf numFmtId="177" fontId="0" fillId="0" borderId="0" xfId="0" applyNumberFormat="1" applyFill="1" applyAlignment="1">
      <alignment vertical="center"/>
    </xf>
    <xf numFmtId="174" fontId="46" fillId="0" borderId="0" xfId="18" applyNumberFormat="1" applyFont="1" applyAlignment="1">
      <alignment vertical="center"/>
    </xf>
    <xf numFmtId="174" fontId="41" fillId="0" borderId="0" xfId="18" applyNumberFormat="1" applyFont="1" applyAlignment="1">
      <alignment vertical="center"/>
    </xf>
    <xf numFmtId="174" fontId="43" fillId="0" borderId="0" xfId="18" applyNumberFormat="1" applyFont="1" applyAlignment="1">
      <alignment vertical="center"/>
    </xf>
    <xf numFmtId="174" fontId="80" fillId="0" borderId="0" xfId="18" applyNumberFormat="1" applyFont="1" applyAlignment="1">
      <alignment vertical="center"/>
    </xf>
    <xf numFmtId="0" fontId="22" fillId="5" borderId="22" xfId="0" applyFont="1" applyFill="1" applyBorder="1" applyAlignment="1">
      <alignment vertical="center"/>
    </xf>
    <xf numFmtId="43" fontId="37" fillId="0" borderId="26" xfId="18" applyFont="1" applyFill="1" applyBorder="1" applyAlignment="1">
      <alignment horizontal="center" vertical="center"/>
    </xf>
    <xf numFmtId="0" fontId="37" fillId="0" borderId="26" xfId="0" applyFont="1" applyFill="1" applyBorder="1" applyAlignment="1">
      <alignment horizontal="center" vertical="center" wrapText="1"/>
    </xf>
    <xf numFmtId="0" fontId="32" fillId="5" borderId="26" xfId="0" applyFont="1" applyFill="1" applyBorder="1" applyAlignment="1">
      <alignment horizontal="left" vertical="center" wrapText="1"/>
    </xf>
    <xf numFmtId="0" fontId="33" fillId="0" borderId="48" xfId="19" applyFont="1" applyBorder="1" applyAlignment="1">
      <alignment horizontal="center" vertical="center" wrapText="1"/>
    </xf>
    <xf numFmtId="0" fontId="22" fillId="2" borderId="49" xfId="0" applyFont="1" applyFill="1" applyBorder="1" applyAlignment="1">
      <alignment vertical="center"/>
    </xf>
    <xf numFmtId="0" fontId="22" fillId="2" borderId="50" xfId="0" applyNumberFormat="1" applyFont="1" applyFill="1" applyBorder="1" applyAlignment="1">
      <alignment horizontal="center" vertical="center"/>
    </xf>
    <xf numFmtId="41" fontId="22" fillId="2" borderId="51" xfId="0" applyNumberFormat="1" applyFont="1" applyFill="1" applyBorder="1" applyAlignment="1">
      <alignment vertical="center"/>
    </xf>
    <xf numFmtId="0" fontId="22" fillId="5" borderId="50" xfId="0" applyNumberFormat="1" applyFont="1" applyFill="1" applyBorder="1" applyAlignment="1">
      <alignment horizontal="center" vertical="center"/>
    </xf>
    <xf numFmtId="41" fontId="22" fillId="5" borderId="51" xfId="0" applyNumberFormat="1" applyFont="1" applyFill="1" applyBorder="1" applyAlignment="1">
      <alignment vertical="center"/>
    </xf>
    <xf numFmtId="0" fontId="22" fillId="2" borderId="52" xfId="0" applyFont="1" applyFill="1" applyBorder="1" applyAlignment="1">
      <alignment vertical="center"/>
    </xf>
    <xf numFmtId="0" fontId="22" fillId="2" borderId="53" xfId="0" applyNumberFormat="1" applyFont="1" applyFill="1" applyBorder="1" applyAlignment="1">
      <alignment horizontal="center" vertical="center"/>
    </xf>
    <xf numFmtId="41" fontId="22" fillId="2" borderId="54" xfId="0" applyNumberFormat="1" applyFont="1" applyFill="1" applyBorder="1" applyAlignment="1">
      <alignment vertical="center"/>
    </xf>
    <xf numFmtId="0" fontId="23" fillId="18" borderId="55" xfId="0" applyFont="1" applyFill="1" applyBorder="1" applyAlignment="1">
      <alignment vertical="center"/>
    </xf>
    <xf numFmtId="0" fontId="23" fillId="18" borderId="50" xfId="0" applyNumberFormat="1" applyFont="1" applyFill="1" applyBorder="1" applyAlignment="1">
      <alignment horizontal="center" vertical="center"/>
    </xf>
    <xf numFmtId="41" fontId="22" fillId="2" borderId="56" xfId="0" applyNumberFormat="1" applyFont="1" applyFill="1" applyBorder="1" applyAlignment="1">
      <alignment vertical="center"/>
    </xf>
    <xf numFmtId="41" fontId="22" fillId="2" borderId="55" xfId="0" applyNumberFormat="1" applyFont="1" applyFill="1" applyBorder="1" applyAlignment="1">
      <alignment vertical="center"/>
    </xf>
    <xf numFmtId="0" fontId="22" fillId="2" borderId="55" xfId="0" applyFont="1" applyFill="1" applyBorder="1" applyAlignment="1">
      <alignment horizontal="center" vertical="center"/>
    </xf>
    <xf numFmtId="41" fontId="22" fillId="0" borderId="0" xfId="0" applyNumberFormat="1" applyFont="1" applyAlignment="1">
      <alignment vertical="center"/>
    </xf>
    <xf numFmtId="41" fontId="0" fillId="0" borderId="0" xfId="0" applyNumberFormat="1" applyAlignment="1">
      <alignment vertical="center"/>
    </xf>
    <xf numFmtId="176" fontId="0" fillId="0" borderId="0" xfId="0" applyNumberFormat="1" applyFill="1" applyAlignment="1">
      <alignment vertical="center"/>
    </xf>
    <xf numFmtId="41" fontId="22" fillId="5" borderId="13" xfId="0" applyNumberFormat="1" applyFont="1" applyFill="1" applyBorder="1" applyAlignment="1"/>
    <xf numFmtId="0" fontId="22" fillId="2" borderId="57" xfId="0" applyFont="1" applyFill="1" applyBorder="1" applyAlignment="1">
      <alignment horizontal="center" vertical="center"/>
    </xf>
    <xf numFmtId="41" fontId="22" fillId="5" borderId="50" xfId="0" applyNumberFormat="1" applyFont="1" applyFill="1" applyBorder="1" applyAlignment="1"/>
    <xf numFmtId="0" fontId="23" fillId="14" borderId="48" xfId="0" applyFont="1" applyFill="1" applyBorder="1" applyAlignment="1">
      <alignment horizontal="center" vertical="center" wrapText="1"/>
    </xf>
    <xf numFmtId="41" fontId="23" fillId="14" borderId="48" xfId="0" applyNumberFormat="1" applyFont="1" applyFill="1" applyBorder="1" applyAlignment="1">
      <alignment horizontal="center" vertical="center" wrapText="1"/>
    </xf>
    <xf numFmtId="41" fontId="22" fillId="2" borderId="48" xfId="0" applyNumberFormat="1" applyFont="1" applyFill="1" applyBorder="1" applyAlignment="1">
      <alignment horizontal="center" vertical="center"/>
    </xf>
    <xf numFmtId="0" fontId="22" fillId="2" borderId="58" xfId="0" applyFont="1" applyFill="1" applyBorder="1" applyAlignment="1">
      <alignment horizontal="center" vertical="center"/>
    </xf>
    <xf numFmtId="0" fontId="22" fillId="2" borderId="55" xfId="0" applyFont="1" applyFill="1" applyBorder="1" applyAlignment="1">
      <alignment vertical="center"/>
    </xf>
    <xf numFmtId="41" fontId="22" fillId="5" borderId="56" xfId="0" applyNumberFormat="1" applyFont="1" applyFill="1" applyBorder="1" applyAlignment="1"/>
    <xf numFmtId="0" fontId="22" fillId="2" borderId="59" xfId="0" applyFont="1" applyFill="1" applyBorder="1" applyAlignment="1">
      <alignment horizontal="center" vertical="center"/>
    </xf>
    <xf numFmtId="0" fontId="22" fillId="5" borderId="12" xfId="0" applyFont="1" applyFill="1" applyBorder="1" applyAlignment="1">
      <alignment wrapText="1"/>
    </xf>
    <xf numFmtId="41" fontId="22" fillId="2" borderId="12" xfId="0" applyNumberFormat="1" applyFont="1" applyFill="1" applyBorder="1" applyAlignment="1"/>
    <xf numFmtId="41" fontId="22" fillId="2" borderId="12" xfId="0" applyNumberFormat="1" applyFont="1" applyFill="1" applyBorder="1"/>
    <xf numFmtId="9" fontId="33" fillId="0" borderId="48" xfId="19" applyNumberFormat="1" applyFont="1" applyBorder="1" applyAlignment="1">
      <alignment horizontal="right" vertical="top" wrapText="1"/>
    </xf>
    <xf numFmtId="0" fontId="39" fillId="0" borderId="48" xfId="19" applyFont="1" applyBorder="1" applyAlignment="1">
      <alignment horizontal="right" vertical="top"/>
    </xf>
    <xf numFmtId="9" fontId="39" fillId="0" borderId="48" xfId="19" applyNumberFormat="1" applyFont="1" applyBorder="1" applyAlignment="1">
      <alignment horizontal="right" vertical="top"/>
    </xf>
    <xf numFmtId="0" fontId="33" fillId="0" borderId="48" xfId="19" applyFont="1" applyBorder="1" applyAlignment="1">
      <alignment horizontal="center" vertical="top" wrapText="1"/>
    </xf>
    <xf numFmtId="0" fontId="29" fillId="0" borderId="48" xfId="19" applyFont="1" applyBorder="1" applyAlignment="1">
      <alignment horizontal="center" vertical="top" wrapText="1"/>
    </xf>
    <xf numFmtId="0" fontId="38" fillId="0" borderId="48" xfId="19" applyFont="1" applyBorder="1" applyAlignment="1">
      <alignment horizontal="center" vertical="top" wrapText="1"/>
    </xf>
    <xf numFmtId="0" fontId="38" fillId="0" borderId="48" xfId="19" applyFont="1" applyBorder="1" applyAlignment="1">
      <alignment horizontal="center" vertical="center" wrapText="1"/>
    </xf>
    <xf numFmtId="9" fontId="33" fillId="0" borderId="48" xfId="19" applyNumberFormat="1" applyFont="1" applyBorder="1" applyAlignment="1">
      <alignment horizontal="center" vertical="center" wrapText="1"/>
    </xf>
    <xf numFmtId="43" fontId="33" fillId="0" borderId="48" xfId="18" applyFont="1" applyBorder="1" applyAlignment="1">
      <alignment horizontal="center" vertical="center" wrapText="1"/>
    </xf>
    <xf numFmtId="0" fontId="38" fillId="0" borderId="26" xfId="19" applyFont="1" applyBorder="1" applyAlignment="1">
      <alignment horizontal="center" vertical="center" wrapText="1"/>
    </xf>
    <xf numFmtId="0" fontId="55" fillId="3" borderId="0" xfId="0" applyNumberFormat="1" applyFont="1" applyFill="1" applyAlignment="1">
      <alignment horizontal="left" vertical="center"/>
    </xf>
    <xf numFmtId="44" fontId="21" fillId="3" borderId="0" xfId="10" applyFont="1" applyFill="1" applyAlignment="1">
      <alignment horizontal="center" vertical="center"/>
    </xf>
    <xf numFmtId="0" fontId="23" fillId="14" borderId="8" xfId="0" applyFont="1" applyFill="1" applyBorder="1" applyAlignment="1">
      <alignment horizontal="center" vertical="center"/>
    </xf>
    <xf numFmtId="0" fontId="23" fillId="14" borderId="32" xfId="0" applyFont="1" applyFill="1" applyBorder="1" applyAlignment="1">
      <alignment horizontal="center" vertical="center"/>
    </xf>
    <xf numFmtId="41" fontId="23" fillId="14" borderId="8" xfId="0" applyNumberFormat="1" applyFont="1" applyFill="1" applyBorder="1" applyAlignment="1">
      <alignment horizontal="center" vertical="center"/>
    </xf>
    <xf numFmtId="41" fontId="23" fillId="14" borderId="32" xfId="0" applyNumberFormat="1" applyFont="1" applyFill="1" applyBorder="1" applyAlignment="1">
      <alignment horizontal="center" vertical="center" wrapText="1"/>
    </xf>
    <xf numFmtId="0" fontId="22" fillId="2" borderId="61" xfId="0" applyFont="1" applyFill="1" applyBorder="1" applyAlignment="1">
      <alignment vertical="center"/>
    </xf>
    <xf numFmtId="0" fontId="0" fillId="0" borderId="48" xfId="0" applyBorder="1" applyAlignment="1">
      <alignment horizontal="center" vertical="center"/>
    </xf>
    <xf numFmtId="0" fontId="22" fillId="2" borderId="43" xfId="0" applyFont="1" applyFill="1" applyBorder="1" applyAlignment="1">
      <alignment horizontal="center" vertical="center"/>
    </xf>
    <xf numFmtId="0" fontId="22" fillId="3" borderId="0" xfId="0" applyFont="1" applyFill="1" applyAlignment="1">
      <alignment vertical="center"/>
    </xf>
    <xf numFmtId="0" fontId="22" fillId="3" borderId="0" xfId="0" applyFont="1" applyFill="1" applyAlignment="1">
      <alignment horizontal="center" vertical="center"/>
    </xf>
    <xf numFmtId="0" fontId="23" fillId="14" borderId="62" xfId="0" applyFont="1" applyFill="1" applyBorder="1" applyAlignment="1">
      <alignment horizontal="center" vertical="center"/>
    </xf>
    <xf numFmtId="0" fontId="23" fillId="14" borderId="55" xfId="0" applyFont="1" applyFill="1" applyBorder="1" applyAlignment="1">
      <alignment horizontal="center" vertical="center" wrapText="1"/>
    </xf>
    <xf numFmtId="0" fontId="23" fillId="14" borderId="59" xfId="0" applyFont="1" applyFill="1" applyBorder="1" applyAlignment="1">
      <alignment horizontal="center" vertical="center"/>
    </xf>
    <xf numFmtId="41" fontId="23" fillId="14" borderId="55" xfId="0" applyNumberFormat="1" applyFont="1" applyFill="1" applyBorder="1" applyAlignment="1">
      <alignment horizontal="center" vertical="center"/>
    </xf>
    <xf numFmtId="41" fontId="23" fillId="14" borderId="59" xfId="0" applyNumberFormat="1" applyFont="1" applyFill="1" applyBorder="1" applyAlignment="1">
      <alignment horizontal="center" vertical="center" wrapText="1"/>
    </xf>
    <xf numFmtId="0" fontId="23" fillId="14" borderId="63" xfId="0" applyFont="1" applyFill="1" applyBorder="1" applyAlignment="1">
      <alignment horizontal="center" vertical="center"/>
    </xf>
    <xf numFmtId="0" fontId="22" fillId="2" borderId="46" xfId="0" applyFont="1" applyFill="1" applyBorder="1" applyAlignment="1">
      <alignment vertical="center"/>
    </xf>
    <xf numFmtId="0" fontId="48" fillId="18"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64" xfId="0" applyNumberFormat="1" applyFont="1" applyFill="1" applyBorder="1" applyAlignment="1">
      <alignment horizontal="center" vertical="center"/>
    </xf>
    <xf numFmtId="41" fontId="22" fillId="2" borderId="2" xfId="0" applyNumberFormat="1" applyFont="1" applyFill="1" applyBorder="1" applyAlignment="1">
      <alignment vertical="center"/>
    </xf>
    <xf numFmtId="41" fontId="22" fillId="2" borderId="2" xfId="0" applyNumberFormat="1" applyFont="1" applyFill="1" applyBorder="1" applyAlignment="1">
      <alignment horizontal="center" vertical="center"/>
    </xf>
    <xf numFmtId="0" fontId="22" fillId="2" borderId="65" xfId="0" applyFont="1" applyFill="1" applyBorder="1" applyAlignment="1">
      <alignment horizontal="center" vertical="center"/>
    </xf>
    <xf numFmtId="0" fontId="22" fillId="2" borderId="2" xfId="0" applyFont="1" applyFill="1" applyBorder="1" applyAlignment="1">
      <alignment horizontal="center" vertical="center"/>
    </xf>
    <xf numFmtId="0" fontId="0" fillId="25" borderId="0" xfId="0" applyFill="1" applyAlignment="1">
      <alignment vertical="center"/>
    </xf>
    <xf numFmtId="0" fontId="22" fillId="2" borderId="9" xfId="0" applyFont="1" applyFill="1" applyBorder="1" applyAlignment="1">
      <alignment vertical="center"/>
    </xf>
    <xf numFmtId="41" fontId="22" fillId="2" borderId="65" xfId="0" applyNumberFormat="1" applyFont="1" applyFill="1" applyBorder="1" applyAlignment="1">
      <alignment horizontal="center" vertical="center"/>
    </xf>
    <xf numFmtId="0" fontId="32" fillId="0" borderId="26" xfId="0" applyFont="1" applyBorder="1" applyAlignment="1">
      <alignment horizontal="center" vertical="center" wrapText="1"/>
    </xf>
    <xf numFmtId="172" fontId="22" fillId="2" borderId="0" xfId="0" applyNumberFormat="1" applyFont="1" applyFill="1" applyAlignment="1">
      <alignment horizontal="center" vertical="center"/>
    </xf>
    <xf numFmtId="0" fontId="22" fillId="2" borderId="12" xfId="0" applyFont="1" applyFill="1" applyBorder="1"/>
    <xf numFmtId="0" fontId="22" fillId="2" borderId="49" xfId="0" applyFont="1" applyFill="1" applyBorder="1"/>
    <xf numFmtId="41" fontId="22" fillId="2" borderId="51" xfId="0" applyNumberFormat="1" applyFont="1" applyFill="1" applyBorder="1"/>
    <xf numFmtId="0" fontId="22" fillId="2" borderId="52" xfId="0" applyFont="1" applyFill="1" applyBorder="1"/>
    <xf numFmtId="0" fontId="22" fillId="2" borderId="55" xfId="0" applyFont="1" applyFill="1" applyBorder="1"/>
    <xf numFmtId="41" fontId="22" fillId="2" borderId="56" xfId="0" applyNumberFormat="1" applyFont="1" applyFill="1" applyBorder="1"/>
    <xf numFmtId="41" fontId="22" fillId="2" borderId="55" xfId="0" applyNumberFormat="1" applyFont="1" applyFill="1" applyBorder="1"/>
    <xf numFmtId="0" fontId="23" fillId="14" borderId="60" xfId="0" applyFont="1" applyFill="1" applyBorder="1" applyAlignment="1">
      <alignment horizontal="center" vertical="center" wrapText="1"/>
    </xf>
    <xf numFmtId="0" fontId="22" fillId="2" borderId="61" xfId="0" applyFont="1" applyFill="1" applyBorder="1"/>
    <xf numFmtId="0" fontId="22" fillId="2" borderId="44" xfId="0" applyFont="1" applyFill="1" applyBorder="1"/>
    <xf numFmtId="0" fontId="0" fillId="0" borderId="66" xfId="0" applyBorder="1" applyAlignment="1">
      <alignment vertical="center"/>
    </xf>
    <xf numFmtId="0" fontId="0" fillId="0" borderId="67" xfId="0" applyBorder="1" applyAlignment="1">
      <alignment vertical="center"/>
    </xf>
    <xf numFmtId="0" fontId="0" fillId="0" borderId="67" xfId="0" applyBorder="1" applyAlignment="1">
      <alignment horizontal="center" vertical="center"/>
    </xf>
    <xf numFmtId="0" fontId="0" fillId="0" borderId="68" xfId="0" applyBorder="1" applyAlignment="1">
      <alignment vertical="center"/>
    </xf>
    <xf numFmtId="0" fontId="23" fillId="14" borderId="38" xfId="0" applyFont="1" applyFill="1" applyBorder="1" applyAlignment="1">
      <alignment horizontal="center" vertical="center" wrapText="1"/>
    </xf>
    <xf numFmtId="0" fontId="23" fillId="14" borderId="61" xfId="0" applyFont="1" applyFill="1" applyBorder="1" applyAlignment="1">
      <alignment horizontal="center" vertical="center" wrapText="1"/>
    </xf>
    <xf numFmtId="0" fontId="22" fillId="2" borderId="38" xfId="0" applyFont="1" applyFill="1" applyBorder="1"/>
    <xf numFmtId="41" fontId="22" fillId="5" borderId="48" xfId="0" applyNumberFormat="1" applyFont="1" applyFill="1" applyBorder="1" applyAlignment="1"/>
    <xf numFmtId="41" fontId="22" fillId="2" borderId="48" xfId="0" applyNumberFormat="1" applyFont="1" applyFill="1" applyBorder="1"/>
    <xf numFmtId="0" fontId="22" fillId="2" borderId="48" xfId="0" applyFont="1" applyFill="1" applyBorder="1" applyAlignment="1">
      <alignment horizontal="center" vertical="center"/>
    </xf>
    <xf numFmtId="0" fontId="22" fillId="2" borderId="61" xfId="0" applyFont="1" applyFill="1" applyBorder="1" applyAlignment="1">
      <alignment horizontal="center" vertical="center"/>
    </xf>
    <xf numFmtId="0" fontId="0" fillId="0" borderId="38" xfId="0" applyBorder="1" applyAlignment="1">
      <alignment vertical="center"/>
    </xf>
    <xf numFmtId="0" fontId="0" fillId="0" borderId="48" xfId="0" applyBorder="1" applyAlignment="1">
      <alignment vertical="center"/>
    </xf>
    <xf numFmtId="0" fontId="0" fillId="0" borderId="61" xfId="0" applyBorder="1" applyAlignment="1">
      <alignment vertical="center"/>
    </xf>
    <xf numFmtId="0" fontId="0" fillId="0" borderId="69" xfId="0" applyBorder="1" applyAlignment="1">
      <alignment vertical="center"/>
    </xf>
    <xf numFmtId="0" fontId="0" fillId="0" borderId="70" xfId="0" applyBorder="1" applyAlignment="1">
      <alignment vertical="center"/>
    </xf>
    <xf numFmtId="41" fontId="22" fillId="2" borderId="70" xfId="0" applyNumberFormat="1" applyFont="1" applyFill="1" applyBorder="1" applyAlignment="1">
      <alignment horizontal="center" vertical="center"/>
    </xf>
    <xf numFmtId="0" fontId="22" fillId="2" borderId="70" xfId="0" applyFont="1" applyFill="1" applyBorder="1" applyAlignment="1">
      <alignment horizontal="center" vertical="center"/>
    </xf>
    <xf numFmtId="0" fontId="0" fillId="0" borderId="62" xfId="0" applyBorder="1" applyAlignment="1">
      <alignment vertical="center"/>
    </xf>
    <xf numFmtId="0" fontId="22" fillId="5" borderId="30" xfId="0" applyFont="1" applyFill="1" applyBorder="1" applyAlignment="1">
      <alignment vertical="center" wrapText="1"/>
    </xf>
    <xf numFmtId="0" fontId="22" fillId="5" borderId="30" xfId="0" applyNumberFormat="1" applyFont="1" applyFill="1" applyBorder="1" applyAlignment="1">
      <alignment horizontal="center" vertical="center"/>
    </xf>
    <xf numFmtId="41" fontId="22" fillId="5" borderId="30" xfId="0" applyNumberFormat="1" applyFont="1" applyFill="1" applyBorder="1" applyAlignment="1">
      <alignment vertical="center"/>
    </xf>
    <xf numFmtId="0" fontId="22" fillId="2" borderId="52" xfId="0" applyFont="1" applyFill="1" applyBorder="1" applyAlignment="1">
      <alignment horizontal="center" vertical="center"/>
    </xf>
    <xf numFmtId="0" fontId="22" fillId="5" borderId="27" xfId="0" applyNumberFormat="1" applyFont="1" applyFill="1" applyBorder="1" applyAlignment="1">
      <alignment horizontal="center" vertical="center"/>
    </xf>
    <xf numFmtId="41" fontId="22" fillId="2" borderId="65" xfId="0" applyNumberFormat="1" applyFont="1" applyFill="1" applyBorder="1" applyAlignment="1">
      <alignment vertical="center"/>
    </xf>
    <xf numFmtId="0" fontId="4" fillId="5" borderId="48" xfId="0" applyNumberFormat="1" applyFont="1" applyFill="1" applyBorder="1" applyAlignment="1">
      <alignment vertical="center" wrapText="1"/>
    </xf>
    <xf numFmtId="0" fontId="22" fillId="5" borderId="48" xfId="0" applyNumberFormat="1" applyFont="1" applyFill="1" applyBorder="1" applyAlignment="1">
      <alignment horizontal="center" vertical="center"/>
    </xf>
    <xf numFmtId="0" fontId="0" fillId="5" borderId="31" xfId="0" applyFill="1" applyBorder="1" applyAlignment="1">
      <alignment horizontal="center" vertical="center"/>
    </xf>
    <xf numFmtId="0" fontId="0" fillId="0" borderId="43" xfId="0" applyBorder="1" applyAlignment="1">
      <alignment horizontal="center" vertical="center"/>
    </xf>
    <xf numFmtId="41" fontId="22" fillId="2" borderId="48" xfId="0" applyNumberFormat="1" applyFont="1" applyFill="1" applyBorder="1" applyAlignment="1">
      <alignment vertical="center"/>
    </xf>
    <xf numFmtId="41" fontId="22" fillId="5" borderId="48" xfId="0" applyNumberFormat="1" applyFont="1" applyFill="1" applyBorder="1" applyAlignment="1">
      <alignment vertical="center"/>
    </xf>
    <xf numFmtId="0" fontId="22" fillId="5" borderId="13" xfId="0" applyFont="1" applyFill="1" applyBorder="1" applyAlignment="1">
      <alignment horizontal="center" vertical="center"/>
    </xf>
    <xf numFmtId="0" fontId="4" fillId="5" borderId="48" xfId="0" applyNumberFormat="1" applyFont="1" applyFill="1" applyBorder="1" applyAlignment="1">
      <alignment horizontal="left" vertical="center" wrapText="1"/>
    </xf>
    <xf numFmtId="0" fontId="29" fillId="0" borderId="48" xfId="19" applyFont="1" applyBorder="1" applyAlignment="1">
      <alignment vertical="center" wrapText="1"/>
    </xf>
    <xf numFmtId="0" fontId="38" fillId="0" borderId="48" xfId="19" applyFont="1" applyBorder="1" applyAlignment="1">
      <alignment vertical="center" wrapText="1"/>
    </xf>
    <xf numFmtId="0" fontId="38" fillId="0" borderId="48" xfId="19" applyFont="1" applyBorder="1" applyAlignment="1">
      <alignment horizontal="left" vertical="center" wrapText="1"/>
    </xf>
    <xf numFmtId="0" fontId="38" fillId="2" borderId="48" xfId="19" applyFont="1" applyFill="1" applyBorder="1" applyAlignment="1">
      <alignment horizontal="left" vertical="center" wrapText="1"/>
    </xf>
    <xf numFmtId="1" fontId="70" fillId="0" borderId="48" xfId="19" applyNumberFormat="1" applyFont="1" applyBorder="1" applyAlignment="1">
      <alignment horizontal="center" vertical="center" wrapText="1"/>
    </xf>
    <xf numFmtId="0" fontId="81" fillId="2" borderId="48" xfId="19" applyFont="1" applyFill="1" applyBorder="1" applyAlignment="1">
      <alignment vertical="center" wrapText="1"/>
    </xf>
    <xf numFmtId="41" fontId="22" fillId="2" borderId="55" xfId="0" applyNumberFormat="1" applyFont="1" applyFill="1" applyBorder="1" applyAlignment="1">
      <alignment horizontal="center" vertical="center"/>
    </xf>
    <xf numFmtId="41" fontId="22" fillId="2" borderId="59" xfId="0" applyNumberFormat="1" applyFont="1" applyFill="1" applyBorder="1" applyAlignment="1">
      <alignment vertical="center"/>
    </xf>
    <xf numFmtId="0" fontId="55" fillId="5" borderId="48" xfId="0" applyNumberFormat="1" applyFont="1" applyFill="1" applyBorder="1" applyAlignment="1">
      <alignment horizontal="left" vertical="center"/>
    </xf>
    <xf numFmtId="41" fontId="22" fillId="2" borderId="53"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wrapText="1"/>
    </xf>
    <xf numFmtId="0" fontId="37" fillId="0" borderId="48" xfId="19" applyFont="1" applyBorder="1" applyAlignment="1">
      <alignment horizontal="left" vertical="center" wrapText="1"/>
    </xf>
    <xf numFmtId="43" fontId="33" fillId="3" borderId="26" xfId="18" applyFont="1" applyFill="1" applyBorder="1" applyAlignment="1">
      <alignment horizontal="center" vertical="center" wrapText="1"/>
    </xf>
    <xf numFmtId="9" fontId="33" fillId="0" borderId="26" xfId="17" applyFont="1" applyBorder="1" applyAlignment="1">
      <alignment horizontal="center" vertical="center" wrapText="1"/>
    </xf>
    <xf numFmtId="0" fontId="33" fillId="3" borderId="26" xfId="19" applyFont="1" applyFill="1" applyBorder="1" applyAlignment="1">
      <alignment horizontal="right" vertical="center" wrapText="1"/>
    </xf>
    <xf numFmtId="3" fontId="33" fillId="3" borderId="26" xfId="19" applyNumberFormat="1" applyFont="1" applyFill="1" applyBorder="1" applyAlignment="1">
      <alignment horizontal="right" vertical="center" wrapText="1"/>
    </xf>
    <xf numFmtId="9" fontId="33" fillId="3" borderId="26" xfId="19" applyNumberFormat="1" applyFont="1" applyFill="1" applyBorder="1" applyAlignment="1">
      <alignment horizontal="right" vertical="center" wrapText="1"/>
    </xf>
    <xf numFmtId="0" fontId="33" fillId="3" borderId="26" xfId="19" applyFont="1" applyFill="1" applyBorder="1" applyAlignment="1">
      <alignment horizontal="center" vertical="center" wrapText="1"/>
    </xf>
    <xf numFmtId="0" fontId="33" fillId="3" borderId="26" xfId="19" applyFont="1" applyFill="1" applyBorder="1" applyAlignment="1">
      <alignment vertical="center" wrapText="1"/>
    </xf>
    <xf numFmtId="1" fontId="33" fillId="2" borderId="26" xfId="19" applyNumberFormat="1" applyFont="1" applyFill="1" applyBorder="1" applyAlignment="1">
      <alignment horizontal="center" vertical="center" wrapText="1"/>
    </xf>
    <xf numFmtId="0" fontId="32" fillId="2" borderId="0" xfId="0" applyFont="1" applyFill="1" applyAlignment="1">
      <alignment vertical="top" wrapText="1"/>
    </xf>
    <xf numFmtId="0" fontId="38" fillId="3" borderId="26" xfId="19" applyFont="1" applyFill="1" applyBorder="1" applyAlignment="1">
      <alignment horizontal="center" vertical="center" wrapText="1"/>
    </xf>
    <xf numFmtId="9" fontId="37" fillId="0" borderId="26" xfId="19" applyNumberFormat="1" applyFont="1" applyBorder="1" applyAlignment="1">
      <alignment horizontal="right" vertical="center"/>
    </xf>
    <xf numFmtId="0" fontId="37" fillId="0" borderId="26" xfId="19" applyFont="1" applyBorder="1" applyAlignment="1">
      <alignment vertical="top"/>
    </xf>
    <xf numFmtId="0" fontId="37" fillId="0" borderId="26" xfId="19" applyFont="1" applyBorder="1" applyAlignment="1">
      <alignment vertical="top" wrapText="1"/>
    </xf>
    <xf numFmtId="0" fontId="37" fillId="0" borderId="26" xfId="19" applyFont="1" applyBorder="1" applyAlignment="1">
      <alignment horizontal="center" vertical="top" wrapText="1"/>
    </xf>
    <xf numFmtId="9" fontId="37" fillId="0" borderId="26" xfId="19" applyNumberFormat="1" applyFont="1" applyBorder="1" applyAlignment="1">
      <alignment horizontal="right" vertical="top"/>
    </xf>
    <xf numFmtId="0" fontId="37" fillId="0" borderId="26" xfId="19" applyFont="1" applyBorder="1" applyAlignment="1">
      <alignment horizontal="right" vertical="top"/>
    </xf>
    <xf numFmtId="43" fontId="37" fillId="0" borderId="26" xfId="18" applyFont="1" applyBorder="1" applyAlignment="1">
      <alignment horizontal="right" vertical="top"/>
    </xf>
    <xf numFmtId="0" fontId="37" fillId="0" borderId="48" xfId="19" applyFont="1" applyBorder="1" applyAlignment="1">
      <alignment horizontal="right" vertical="top"/>
    </xf>
    <xf numFmtId="9" fontId="37" fillId="0" borderId="48" xfId="19" applyNumberFormat="1" applyFont="1" applyBorder="1" applyAlignment="1">
      <alignment horizontal="right" vertical="top"/>
    </xf>
    <xf numFmtId="0" fontId="37" fillId="0" borderId="48" xfId="19" applyFont="1" applyBorder="1" applyAlignment="1">
      <alignment vertical="top"/>
    </xf>
    <xf numFmtId="0" fontId="37" fillId="0" borderId="48" xfId="19" applyFont="1" applyBorder="1" applyAlignment="1">
      <alignment vertical="top" wrapText="1"/>
    </xf>
    <xf numFmtId="0" fontId="29" fillId="0" borderId="29" xfId="19" applyFont="1" applyBorder="1" applyAlignment="1">
      <alignment vertical="top" wrapText="1"/>
    </xf>
    <xf numFmtId="0" fontId="29" fillId="0" borderId="47" xfId="19" applyFont="1" applyBorder="1" applyAlignment="1">
      <alignment vertical="top" wrapText="1"/>
    </xf>
    <xf numFmtId="0" fontId="36" fillId="0" borderId="27" xfId="19" applyFont="1" applyFill="1" applyBorder="1" applyAlignment="1">
      <alignment horizontal="center" vertical="center" wrapText="1"/>
    </xf>
    <xf numFmtId="0" fontId="36" fillId="0" borderId="48" xfId="19" applyFont="1" applyFill="1" applyBorder="1" applyAlignment="1">
      <alignment horizontal="center" vertical="center" wrapText="1"/>
    </xf>
    <xf numFmtId="0" fontId="36" fillId="0" borderId="48" xfId="19" applyFont="1" applyFill="1" applyBorder="1" applyAlignment="1">
      <alignment vertical="top" wrapText="1"/>
    </xf>
    <xf numFmtId="0" fontId="29" fillId="0" borderId="48" xfId="19" applyFont="1" applyBorder="1" applyAlignment="1">
      <alignment vertical="top" wrapText="1"/>
    </xf>
    <xf numFmtId="0" fontId="36" fillId="0" borderId="31" xfId="19" applyFont="1" applyFill="1" applyBorder="1" applyAlignment="1">
      <alignment vertical="center" wrapText="1"/>
    </xf>
    <xf numFmtId="0" fontId="36" fillId="0" borderId="30" xfId="19" applyFont="1" applyFill="1" applyBorder="1" applyAlignment="1">
      <alignment vertical="center" wrapText="1"/>
    </xf>
    <xf numFmtId="0" fontId="36" fillId="0" borderId="30" xfId="19" applyFont="1" applyFill="1" applyBorder="1" applyAlignment="1">
      <alignment vertical="top" wrapText="1"/>
    </xf>
    <xf numFmtId="0" fontId="33" fillId="0" borderId="30" xfId="19" applyFont="1" applyFill="1" applyBorder="1" applyAlignment="1">
      <alignment horizontal="center" vertical="center" wrapText="1"/>
    </xf>
    <xf numFmtId="0" fontId="36" fillId="0" borderId="48" xfId="19" applyFont="1" applyFill="1" applyBorder="1" applyAlignment="1">
      <alignment vertical="center" wrapText="1"/>
    </xf>
    <xf numFmtId="0" fontId="33" fillId="0" borderId="48" xfId="19" applyFont="1" applyFill="1" applyBorder="1" applyAlignment="1">
      <alignment horizontal="center" vertical="center" wrapText="1"/>
    </xf>
    <xf numFmtId="0" fontId="29" fillId="0" borderId="48" xfId="19" applyFont="1" applyBorder="1" applyAlignment="1">
      <alignment horizontal="center" vertical="center" wrapText="1"/>
    </xf>
    <xf numFmtId="0" fontId="36" fillId="22" borderId="48" xfId="19" applyFont="1" applyFill="1" applyBorder="1" applyAlignment="1">
      <alignment vertical="top" wrapText="1"/>
    </xf>
    <xf numFmtId="0" fontId="33" fillId="22" borderId="48" xfId="19" applyFont="1" applyFill="1" applyBorder="1" applyAlignment="1">
      <alignment horizontal="center" vertical="center" wrapText="1"/>
    </xf>
    <xf numFmtId="9" fontId="33" fillId="3" borderId="26" xfId="19" applyNumberFormat="1" applyFont="1" applyFill="1" applyBorder="1" applyAlignment="1">
      <alignment horizontal="center" vertical="center" wrapText="1"/>
    </xf>
    <xf numFmtId="43" fontId="33" fillId="0" borderId="26" xfId="18" applyFont="1" applyBorder="1" applyAlignment="1">
      <alignment horizontal="right" vertical="center" wrapText="1"/>
    </xf>
    <xf numFmtId="43" fontId="32" fillId="0" borderId="26" xfId="18" applyFont="1" applyFill="1" applyBorder="1" applyAlignment="1">
      <alignment vertical="center" wrapText="1"/>
    </xf>
    <xf numFmtId="9" fontId="32" fillId="0" borderId="26" xfId="0" applyNumberFormat="1" applyFont="1" applyFill="1" applyBorder="1" applyAlignment="1">
      <alignment vertical="center" wrapText="1"/>
    </xf>
    <xf numFmtId="0" fontId="32" fillId="3" borderId="26" xfId="0" applyFont="1" applyFill="1" applyBorder="1" applyAlignment="1">
      <alignment vertical="top" wrapText="1"/>
    </xf>
    <xf numFmtId="0" fontId="32" fillId="3" borderId="26" xfId="0" applyFont="1" applyFill="1" applyBorder="1" applyAlignment="1">
      <alignment horizontal="center" vertical="top" wrapText="1"/>
    </xf>
    <xf numFmtId="0" fontId="38" fillId="3" borderId="26" xfId="19" applyFont="1" applyFill="1" applyBorder="1" applyAlignment="1">
      <alignment horizontal="center" vertical="top" wrapText="1"/>
    </xf>
    <xf numFmtId="0" fontId="32" fillId="3" borderId="26" xfId="0" applyFont="1" applyFill="1" applyBorder="1" applyAlignment="1">
      <alignment vertical="top"/>
    </xf>
    <xf numFmtId="0" fontId="32" fillId="3" borderId="26" xfId="0" applyFont="1" applyFill="1" applyBorder="1" applyAlignment="1">
      <alignment horizontal="left" vertical="top" wrapText="1"/>
    </xf>
    <xf numFmtId="9" fontId="33" fillId="0" borderId="26" xfId="17" applyFont="1" applyFill="1" applyBorder="1" applyAlignment="1">
      <alignment horizontal="right" vertical="top" wrapText="1"/>
    </xf>
    <xf numFmtId="0" fontId="39" fillId="3" borderId="26" xfId="19" applyFont="1" applyFill="1" applyBorder="1" applyAlignment="1">
      <alignment vertical="top" wrapText="1"/>
    </xf>
    <xf numFmtId="0" fontId="33" fillId="3" borderId="26" xfId="19" applyFont="1" applyFill="1" applyBorder="1" applyAlignment="1">
      <alignment vertical="top" wrapText="1"/>
    </xf>
    <xf numFmtId="0" fontId="33" fillId="3" borderId="26" xfId="19" applyFont="1" applyFill="1" applyBorder="1" applyAlignment="1">
      <alignment horizontal="center" vertical="top" wrapText="1"/>
    </xf>
    <xf numFmtId="43" fontId="39" fillId="3" borderId="26" xfId="18" applyFont="1" applyFill="1" applyBorder="1" applyAlignment="1">
      <alignment horizontal="center" vertical="center"/>
    </xf>
    <xf numFmtId="0" fontId="39" fillId="3" borderId="26" xfId="19" applyFont="1" applyFill="1" applyBorder="1" applyAlignment="1">
      <alignment vertical="top"/>
    </xf>
    <xf numFmtId="43" fontId="32" fillId="2" borderId="26" xfId="18" applyFont="1" applyFill="1" applyBorder="1" applyAlignment="1">
      <alignment vertical="top"/>
    </xf>
    <xf numFmtId="43" fontId="39" fillId="3" borderId="26" xfId="18" applyFont="1" applyFill="1" applyBorder="1" applyAlignment="1">
      <alignment vertical="top"/>
    </xf>
    <xf numFmtId="0" fontId="39" fillId="3" borderId="26" xfId="19" applyFont="1" applyFill="1" applyBorder="1" applyAlignment="1">
      <alignment horizontal="center" vertical="center"/>
    </xf>
    <xf numFmtId="0" fontId="39" fillId="3" borderId="26" xfId="19" applyFont="1" applyFill="1" applyBorder="1" applyAlignment="1">
      <alignment horizontal="center" vertical="center" wrapText="1"/>
    </xf>
    <xf numFmtId="0" fontId="32" fillId="0" borderId="28" xfId="0" applyFont="1" applyFill="1" applyBorder="1" applyAlignment="1">
      <alignment vertical="top" wrapText="1"/>
    </xf>
    <xf numFmtId="43" fontId="32" fillId="3" borderId="26" xfId="18" applyFont="1" applyFill="1" applyBorder="1" applyAlignment="1">
      <alignment vertical="top" wrapText="1"/>
    </xf>
    <xf numFmtId="43" fontId="83" fillId="3" borderId="26" xfId="18" applyFont="1" applyFill="1" applyBorder="1" applyAlignment="1">
      <alignment horizontal="center" vertical="top" wrapText="1"/>
    </xf>
    <xf numFmtId="43" fontId="84" fillId="3" borderId="26" xfId="18" applyFont="1" applyFill="1" applyBorder="1" applyAlignment="1">
      <alignment horizontal="center" vertical="top" wrapText="1"/>
    </xf>
    <xf numFmtId="43" fontId="84" fillId="2" borderId="26" xfId="18" applyFont="1" applyFill="1" applyBorder="1" applyAlignment="1">
      <alignment horizontal="center" vertical="top" wrapText="1"/>
    </xf>
    <xf numFmtId="43" fontId="85" fillId="3" borderId="26" xfId="18" applyFont="1" applyFill="1" applyBorder="1" applyAlignment="1">
      <alignment horizontal="center" vertical="center" wrapText="1"/>
    </xf>
    <xf numFmtId="0" fontId="26" fillId="3" borderId="0" xfId="19" applyFont="1" applyFill="1" applyBorder="1" applyAlignment="1">
      <alignment vertical="center" wrapText="1"/>
    </xf>
    <xf numFmtId="0" fontId="33" fillId="3" borderId="0" xfId="19" applyFont="1" applyFill="1" applyBorder="1" applyAlignment="1">
      <alignment vertical="center" wrapText="1"/>
    </xf>
    <xf numFmtId="0" fontId="36" fillId="26" borderId="26" xfId="19" applyFont="1" applyFill="1" applyBorder="1" applyAlignment="1">
      <alignment vertical="center" wrapText="1"/>
    </xf>
    <xf numFmtId="0" fontId="33" fillId="26" borderId="26" xfId="19" applyFont="1" applyFill="1" applyBorder="1" applyAlignment="1">
      <alignment horizontal="center" vertical="center" wrapText="1"/>
    </xf>
    <xf numFmtId="9" fontId="33" fillId="26" borderId="26" xfId="19" applyNumberFormat="1" applyFont="1" applyFill="1" applyBorder="1" applyAlignment="1">
      <alignment horizontal="center" vertical="center" wrapText="1"/>
    </xf>
    <xf numFmtId="4" fontId="33" fillId="26" borderId="26" xfId="19" applyNumberFormat="1" applyFont="1" applyFill="1" applyBorder="1" applyAlignment="1">
      <alignment horizontal="center" vertical="center" wrapText="1"/>
    </xf>
    <xf numFmtId="43" fontId="33" fillId="26" borderId="26" xfId="18" applyFont="1" applyFill="1" applyBorder="1" applyAlignment="1">
      <alignment horizontal="center" vertical="center" wrapText="1"/>
    </xf>
    <xf numFmtId="0" fontId="33" fillId="26" borderId="0" xfId="19" applyFont="1" applyFill="1" applyBorder="1" applyAlignment="1">
      <alignment vertical="center" wrapText="1"/>
    </xf>
    <xf numFmtId="0" fontId="0" fillId="26" borderId="0" xfId="0" applyFill="1" applyAlignment="1">
      <alignment vertical="center"/>
    </xf>
    <xf numFmtId="0" fontId="65" fillId="2" borderId="26" xfId="19" applyFont="1" applyFill="1" applyBorder="1" applyAlignment="1">
      <alignment vertical="center" wrapText="1"/>
    </xf>
    <xf numFmtId="0" fontId="65" fillId="0" borderId="26" xfId="19" applyFont="1" applyBorder="1" applyAlignment="1">
      <alignment horizontal="right" vertical="center" wrapText="1"/>
    </xf>
    <xf numFmtId="9" fontId="65" fillId="0" borderId="26" xfId="19" applyNumberFormat="1" applyFont="1" applyBorder="1" applyAlignment="1">
      <alignment horizontal="right" vertical="center" wrapText="1"/>
    </xf>
    <xf numFmtId="43" fontId="65" fillId="0" borderId="26" xfId="18" applyFont="1" applyBorder="1" applyAlignment="1">
      <alignment horizontal="center" vertical="center" wrapText="1"/>
    </xf>
    <xf numFmtId="4" fontId="86" fillId="0" borderId="0" xfId="0" applyNumberFormat="1" applyFont="1" applyAlignment="1">
      <alignment horizont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1" xfId="0" applyFont="1" applyFill="1" applyBorder="1" applyAlignment="1">
      <alignment horizontal="center" vertical="center" wrapText="1"/>
    </xf>
    <xf numFmtId="0" fontId="22" fillId="5" borderId="12" xfId="0" applyFont="1" applyFill="1" applyBorder="1" applyAlignment="1">
      <alignment horizontal="center" vertical="center"/>
    </xf>
    <xf numFmtId="0" fontId="22" fillId="5" borderId="2" xfId="0" applyFont="1" applyFill="1" applyBorder="1" applyAlignment="1">
      <alignment horizontal="center" vertical="center"/>
    </xf>
    <xf numFmtId="0" fontId="0" fillId="4" borderId="4" xfId="0" applyFill="1" applyBorder="1" applyAlignment="1">
      <alignment horizontal="center" vertical="center" wrapText="1"/>
    </xf>
    <xf numFmtId="0" fontId="0" fillId="23" borderId="4" xfId="0" applyFill="1" applyBorder="1" applyAlignment="1">
      <alignment horizontal="center" vertical="center" wrapText="1"/>
    </xf>
    <xf numFmtId="0" fontId="0" fillId="24" borderId="4" xfId="0" applyFill="1" applyBorder="1" applyAlignment="1">
      <alignment horizontal="center" vertical="center"/>
    </xf>
    <xf numFmtId="0" fontId="0" fillId="0" borderId="4" xfId="0" applyBorder="1" applyAlignment="1">
      <alignment horizontal="center" vertical="center" wrapText="1"/>
    </xf>
    <xf numFmtId="0" fontId="61" fillId="0" borderId="0" xfId="0" applyFont="1" applyAlignment="1">
      <alignment horizontal="center" vertical="center"/>
    </xf>
    <xf numFmtId="0" fontId="27" fillId="9" borderId="26" xfId="19" applyFont="1" applyFill="1" applyBorder="1" applyAlignment="1" applyProtection="1">
      <alignment horizontal="center" vertical="center" wrapText="1"/>
      <protection locked="0"/>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53" fillId="17" borderId="26" xfId="0" applyFont="1" applyFill="1" applyBorder="1" applyAlignment="1" applyProtection="1">
      <alignment horizontal="center" vertical="center" wrapText="1"/>
      <protection locked="0"/>
    </xf>
    <xf numFmtId="0" fontId="82" fillId="12" borderId="30" xfId="0" applyFont="1" applyFill="1" applyBorder="1" applyAlignment="1">
      <alignment horizontal="center" vertical="center" wrapText="1"/>
    </xf>
    <xf numFmtId="0" fontId="82" fillId="12" borderId="28" xfId="0" applyFont="1" applyFill="1" applyBorder="1" applyAlignment="1">
      <alignment horizontal="center" vertical="center" wrapText="1"/>
    </xf>
    <xf numFmtId="0" fontId="82" fillId="12" borderId="27" xfId="0" applyFont="1" applyFill="1" applyBorder="1" applyAlignment="1">
      <alignment horizontal="center" vertical="center" wrapText="1"/>
    </xf>
    <xf numFmtId="0" fontId="82" fillId="13" borderId="30" xfId="0" applyFont="1" applyFill="1" applyBorder="1" applyAlignment="1" applyProtection="1">
      <alignment horizontal="center" vertical="center" wrapText="1"/>
      <protection locked="0"/>
    </xf>
    <xf numFmtId="0" fontId="82" fillId="13" borderId="28" xfId="0" applyFont="1" applyFill="1" applyBorder="1" applyAlignment="1" applyProtection="1">
      <alignment horizontal="center" vertical="center" wrapText="1"/>
      <protection locked="0"/>
    </xf>
    <xf numFmtId="0" fontId="82" fillId="13"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2"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2"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36" fillId="0" borderId="30" xfId="19" applyFont="1" applyBorder="1" applyAlignment="1">
      <alignment horizontal="center" vertical="center" wrapText="1"/>
    </xf>
    <xf numFmtId="0" fontId="36" fillId="0" borderId="28" xfId="19" applyFont="1" applyBorder="1" applyAlignment="1">
      <alignment horizontal="center" vertical="center" wrapText="1"/>
    </xf>
    <xf numFmtId="0" fontId="29" fillId="0" borderId="26" xfId="19" applyFont="1" applyBorder="1" applyAlignment="1">
      <alignment horizontal="center" vertical="top" wrapText="1"/>
    </xf>
    <xf numFmtId="0" fontId="36" fillId="2" borderId="30" xfId="19" applyFont="1" applyFill="1" applyBorder="1" applyAlignment="1">
      <alignment horizontal="center" vertical="center" wrapText="1"/>
    </xf>
    <xf numFmtId="0" fontId="36" fillId="2" borderId="27" xfId="19" applyFont="1" applyFill="1" applyBorder="1" applyAlignment="1">
      <alignment horizontal="center" vertical="center" wrapText="1"/>
    </xf>
    <xf numFmtId="0" fontId="29" fillId="2" borderId="30" xfId="19" applyFont="1" applyFill="1" applyBorder="1" applyAlignment="1">
      <alignment horizontal="center" vertical="top" wrapText="1"/>
    </xf>
    <xf numFmtId="0" fontId="29" fillId="2" borderId="28" xfId="19" applyFont="1" applyFill="1" applyBorder="1" applyAlignment="1">
      <alignment horizontal="center" vertical="top" wrapText="1"/>
    </xf>
    <xf numFmtId="0" fontId="29" fillId="2" borderId="27" xfId="19" applyFont="1" applyFill="1" applyBorder="1" applyAlignment="1">
      <alignment horizontal="center" vertical="top" wrapText="1"/>
    </xf>
    <xf numFmtId="0" fontId="29" fillId="2" borderId="34" xfId="19" applyFont="1" applyFill="1" applyBorder="1" applyAlignment="1">
      <alignment horizontal="center" vertical="center" wrapText="1"/>
    </xf>
    <xf numFmtId="0" fontId="29" fillId="2" borderId="0" xfId="19" applyFont="1" applyFill="1" applyBorder="1" applyAlignment="1">
      <alignment horizontal="center" vertical="center" wrapText="1"/>
    </xf>
    <xf numFmtId="0" fontId="29" fillId="2" borderId="13" xfId="19" applyFont="1" applyFill="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73" fillId="0" borderId="30" xfId="19" applyFont="1" applyBorder="1" applyAlignment="1">
      <alignment horizontal="center" vertical="top" wrapText="1"/>
    </xf>
    <xf numFmtId="0" fontId="73" fillId="0" borderId="28" xfId="19" applyFont="1" applyBorder="1" applyAlignment="1">
      <alignment horizontal="center" vertical="top" wrapText="1"/>
    </xf>
    <xf numFmtId="0" fontId="73" fillId="0" borderId="27" xfId="19" applyFont="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26" xfId="0" applyFont="1" applyFill="1" applyBorder="1" applyAlignment="1">
      <alignment horizontal="center" vertical="center" wrapText="1"/>
    </xf>
    <xf numFmtId="0" fontId="29" fillId="13" borderId="26" xfId="0" applyFont="1" applyFill="1" applyBorder="1" applyAlignment="1" applyProtection="1">
      <alignment horizontal="center" vertical="center" wrapText="1"/>
      <protection locked="0"/>
    </xf>
    <xf numFmtId="0" fontId="71" fillId="17" borderId="26" xfId="0" applyFont="1" applyFill="1" applyBorder="1" applyAlignment="1" applyProtection="1">
      <alignment horizontal="center" vertical="center" wrapText="1"/>
      <protection locked="0"/>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5" fillId="12" borderId="37" xfId="0" applyFont="1" applyFill="1" applyBorder="1" applyAlignment="1">
      <alignment horizontal="center" vertical="center" wrapText="1"/>
    </xf>
    <xf numFmtId="0" fontId="25" fillId="12" borderId="36" xfId="0" applyFont="1" applyFill="1" applyBorder="1" applyAlignment="1">
      <alignment horizontal="center" vertical="center" wrapText="1"/>
    </xf>
    <xf numFmtId="0" fontId="25" fillId="12" borderId="16" xfId="0" applyFont="1" applyFill="1" applyBorder="1" applyAlignment="1">
      <alignment horizontal="center" vertical="center" wrapText="1"/>
    </xf>
    <xf numFmtId="0" fontId="25" fillId="13" borderId="29" xfId="0" applyFont="1" applyFill="1" applyBorder="1" applyAlignment="1" applyProtection="1">
      <alignment horizontal="center" vertical="center" wrapText="1"/>
      <protection locked="0"/>
    </xf>
    <xf numFmtId="0" fontId="25" fillId="13" borderId="31" xfId="0" applyFont="1" applyFill="1" applyBorder="1" applyAlignment="1" applyProtection="1">
      <alignment horizontal="center" vertical="center" wrapText="1"/>
      <protection locked="0"/>
    </xf>
    <xf numFmtId="0" fontId="25" fillId="13" borderId="42" xfId="0" applyFont="1" applyFill="1" applyBorder="1" applyAlignment="1" applyProtection="1">
      <alignment horizontal="center" vertical="center" wrapText="1"/>
      <protection locked="0"/>
    </xf>
    <xf numFmtId="0" fontId="25" fillId="13" borderId="43" xfId="0" applyFont="1" applyFill="1" applyBorder="1" applyAlignment="1" applyProtection="1">
      <alignment horizontal="center" vertical="center" wrapText="1"/>
      <protection locked="0"/>
    </xf>
    <xf numFmtId="0" fontId="25" fillId="12" borderId="29" xfId="0" applyFont="1" applyFill="1" applyBorder="1" applyAlignment="1">
      <alignment horizontal="center" vertical="center" wrapText="1"/>
    </xf>
    <xf numFmtId="0" fontId="25" fillId="12" borderId="31" xfId="0" applyFont="1" applyFill="1" applyBorder="1" applyAlignment="1">
      <alignment horizontal="center" vertical="center" wrapText="1"/>
    </xf>
    <xf numFmtId="0" fontId="25" fillId="12" borderId="42" xfId="0" applyFont="1" applyFill="1" applyBorder="1" applyAlignment="1">
      <alignment horizontal="center" vertical="center" wrapText="1"/>
    </xf>
    <xf numFmtId="0" fontId="25" fillId="12" borderId="43" xfId="0" applyFont="1" applyFill="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72" fillId="0" borderId="26" xfId="19" applyFont="1" applyBorder="1" applyAlignment="1">
      <alignment horizontal="left" vertical="center" wrapText="1"/>
    </xf>
    <xf numFmtId="0" fontId="38" fillId="0" borderId="26" xfId="19" applyFont="1" applyBorder="1" applyAlignment="1">
      <alignment vertical="center" wrapText="1"/>
    </xf>
    <xf numFmtId="0" fontId="38" fillId="0" borderId="30" xfId="19" applyFont="1" applyBorder="1" applyAlignment="1">
      <alignment horizontal="left" vertical="center" wrapText="1"/>
    </xf>
    <xf numFmtId="0" fontId="38" fillId="0" borderId="27" xfId="19" applyFont="1" applyBorder="1" applyAlignment="1">
      <alignment horizontal="left" vertical="center" wrapText="1"/>
    </xf>
    <xf numFmtId="0" fontId="29" fillId="0" borderId="26" xfId="19" applyFont="1" applyBorder="1" applyAlignment="1">
      <alignment horizontal="center" vertical="center" wrapText="1"/>
    </xf>
    <xf numFmtId="0" fontId="38" fillId="0" borderId="26" xfId="19" applyFont="1" applyBorder="1" applyAlignment="1">
      <alignment horizontal="center" vertical="center" wrapText="1"/>
    </xf>
    <xf numFmtId="0" fontId="38" fillId="0" borderId="28" xfId="19" applyFont="1" applyBorder="1" applyAlignment="1">
      <alignment horizontal="left" vertical="center" wrapText="1"/>
    </xf>
    <xf numFmtId="0" fontId="38" fillId="0" borderId="26" xfId="19" applyFont="1" applyBorder="1" applyAlignment="1">
      <alignment horizontal="left" vertical="center" wrapText="1"/>
    </xf>
    <xf numFmtId="0" fontId="66" fillId="0" borderId="0" xfId="19" applyFont="1" applyAlignment="1">
      <alignment horizontal="center" vertical="top" wrapText="1"/>
    </xf>
    <xf numFmtId="0" fontId="25" fillId="8" borderId="37" xfId="19" applyFont="1" applyFill="1" applyBorder="1" applyAlignment="1">
      <alignment horizontal="center" vertical="top" wrapText="1"/>
    </xf>
    <xf numFmtId="0" fontId="25" fillId="8" borderId="16" xfId="19" applyFont="1" applyFill="1" applyBorder="1" applyAlignment="1">
      <alignment horizontal="center" vertical="top" wrapText="1"/>
    </xf>
    <xf numFmtId="0" fontId="25" fillId="8" borderId="36" xfId="19" applyFont="1" applyFill="1" applyBorder="1" applyAlignment="1">
      <alignment horizontal="center" vertical="top" wrapText="1"/>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3" borderId="26" xfId="0" applyFont="1" applyFill="1" applyBorder="1" applyAlignment="1" applyProtection="1">
      <alignment horizontal="center" vertical="top" wrapText="1"/>
      <protection locked="0"/>
    </xf>
    <xf numFmtId="0" fontId="53" fillId="17" borderId="30" xfId="0" applyFont="1" applyFill="1" applyBorder="1" applyAlignment="1" applyProtection="1">
      <alignment horizontal="center" vertical="center" wrapText="1"/>
      <protection locked="0"/>
    </xf>
    <xf numFmtId="0" fontId="53" fillId="17" borderId="28" xfId="0" applyFont="1" applyFill="1" applyBorder="1" applyAlignment="1" applyProtection="1">
      <alignment horizontal="center" vertical="center" wrapText="1"/>
      <protection locked="0"/>
    </xf>
    <xf numFmtId="0" fontId="53" fillId="17" borderId="27"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9" borderId="0" xfId="19" applyFont="1" applyFill="1" applyBorder="1" applyAlignment="1" applyProtection="1">
      <alignment horizontal="center" vertical="top" wrapText="1"/>
      <protection locked="0"/>
    </xf>
    <xf numFmtId="0" fontId="27" fillId="9" borderId="13" xfId="19" applyFont="1" applyFill="1" applyBorder="1" applyAlignment="1" applyProtection="1">
      <alignment horizontal="center" vertical="top" wrapText="1"/>
      <protection locked="0"/>
    </xf>
    <xf numFmtId="0" fontId="62" fillId="0" borderId="0" xfId="0" applyFont="1" applyAlignment="1">
      <alignment horizontal="center" vertical="top"/>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0" borderId="48" xfId="19" applyFont="1" applyBorder="1" applyAlignment="1">
      <alignment horizontal="center" vertical="top" wrapText="1"/>
    </xf>
    <xf numFmtId="0" fontId="70" fillId="0" borderId="48" xfId="19" applyFont="1" applyFill="1" applyBorder="1" applyAlignment="1">
      <alignment horizontal="center" vertical="top" wrapText="1"/>
    </xf>
    <xf numFmtId="0" fontId="28" fillId="13" borderId="26" xfId="0" applyFont="1" applyFill="1" applyBorder="1" applyAlignment="1" applyProtection="1">
      <alignment horizontal="center" vertical="center" wrapText="1"/>
      <protection locked="0"/>
    </xf>
    <xf numFmtId="0" fontId="63" fillId="0" borderId="0" xfId="0" applyFont="1" applyAlignment="1">
      <alignment horizontal="center"/>
    </xf>
    <xf numFmtId="0" fontId="27" fillId="0" borderId="26" xfId="19" applyFont="1" applyBorder="1" applyAlignment="1">
      <alignment horizontal="center" vertical="top" wrapText="1"/>
    </xf>
    <xf numFmtId="0" fontId="27" fillId="8" borderId="26" xfId="19" applyFont="1" applyFill="1" applyBorder="1" applyAlignment="1">
      <alignment horizontal="center" vertical="center" wrapText="1"/>
    </xf>
    <xf numFmtId="0" fontId="62" fillId="0" borderId="0" xfId="0" applyFont="1" applyAlignment="1">
      <alignment horizontal="center"/>
    </xf>
    <xf numFmtId="0" fontId="69" fillId="22" borderId="30" xfId="19" applyFont="1" applyFill="1" applyBorder="1" applyAlignment="1">
      <alignment horizontal="center" vertical="center" wrapText="1"/>
    </xf>
    <xf numFmtId="0" fontId="69" fillId="22" borderId="28" xfId="19" applyFont="1" applyFill="1" applyBorder="1" applyAlignment="1">
      <alignment horizontal="center" vertical="center" wrapText="1"/>
    </xf>
    <xf numFmtId="0" fontId="69" fillId="22" borderId="27" xfId="19" applyFont="1" applyFill="1" applyBorder="1" applyAlignment="1">
      <alignment horizontal="center" vertical="center" wrapText="1"/>
    </xf>
    <xf numFmtId="0" fontId="27" fillId="9" borderId="26" xfId="19" applyFont="1" applyFill="1" applyBorder="1" applyAlignment="1" applyProtection="1">
      <alignment horizontal="center" vertical="top"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9" fillId="0" borderId="28" xfId="19" applyFont="1" applyFill="1" applyBorder="1" applyAlignment="1">
      <alignment horizontal="center" vertical="top" wrapText="1"/>
    </xf>
    <xf numFmtId="0" fontId="29" fillId="0" borderId="27" xfId="19" applyFont="1" applyFill="1" applyBorder="1" applyAlignment="1">
      <alignment horizontal="center" vertical="top"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2"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2"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32" fillId="0" borderId="30"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40" fillId="0" borderId="30" xfId="0" applyFont="1" applyBorder="1" applyAlignment="1">
      <alignment horizontal="center" vertical="top" wrapText="1"/>
    </xf>
    <xf numFmtId="0" fontId="40" fillId="0" borderId="28" xfId="0" applyFont="1" applyBorder="1" applyAlignment="1">
      <alignment horizontal="center" vertical="top" wrapText="1"/>
    </xf>
    <xf numFmtId="0" fontId="62" fillId="0" borderId="0" xfId="0" applyFont="1" applyAlignment="1">
      <alignment horizontal="center" wrapText="1"/>
    </xf>
    <xf numFmtId="0" fontId="29" fillId="8" borderId="0" xfId="19" applyFont="1" applyFill="1" applyBorder="1" applyAlignment="1">
      <alignment horizontal="center" vertical="center" wrapText="1"/>
    </xf>
    <xf numFmtId="0" fontId="29" fillId="8" borderId="13" xfId="19" applyFont="1" applyFill="1" applyBorder="1" applyAlignment="1">
      <alignment horizontal="center" vertical="center" wrapText="1"/>
    </xf>
    <xf numFmtId="0" fontId="77" fillId="0" borderId="30" xfId="19" applyFont="1" applyBorder="1" applyAlignment="1">
      <alignment horizontal="center" vertical="top" wrapText="1"/>
    </xf>
    <xf numFmtId="0" fontId="77" fillId="0" borderId="28" xfId="19" applyFont="1" applyBorder="1" applyAlignment="1">
      <alignment horizontal="center" vertical="top" wrapText="1"/>
    </xf>
    <xf numFmtId="0" fontId="77" fillId="0" borderId="27" xfId="19" applyFont="1" applyBorder="1" applyAlignment="1">
      <alignment horizontal="center" vertical="top" wrapText="1"/>
    </xf>
    <xf numFmtId="0" fontId="32" fillId="0" borderId="26"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4">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4" formatCode="&quot;L.&quot;\ #,##0.00"/>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0066CC"/>
      <color rgb="FF0033CC"/>
      <color rgb="FFCC0066"/>
      <color rgb="FFCCCCFF"/>
      <color rgb="FF800000"/>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4</c:v>
                </c:pt>
                <c:pt idx="3">
                  <c:v>19</c:v>
                </c:pt>
                <c:pt idx="4">
                  <c:v>0</c:v>
                </c:pt>
                <c:pt idx="5">
                  <c:v>36</c:v>
                </c:pt>
                <c:pt idx="6">
                  <c:v>0</c:v>
                </c:pt>
                <c:pt idx="7">
                  <c:v>8</c:v>
                </c:pt>
                <c:pt idx="8">
                  <c:v>1</c:v>
                </c:pt>
                <c:pt idx="9">
                  <c:v>2</c:v>
                </c:pt>
                <c:pt idx="10">
                  <c:v>0</c:v>
                </c:pt>
                <c:pt idx="11">
                  <c:v>14</c:v>
                </c:pt>
                <c:pt idx="12">
                  <c:v>23</c:v>
                </c:pt>
                <c:pt idx="13">
                  <c:v>0</c:v>
                </c:pt>
                <c:pt idx="14">
                  <c:v>0</c:v>
                </c:pt>
                <c:pt idx="15">
                  <c:v>0</c:v>
                </c:pt>
                <c:pt idx="16">
                  <c:v>17</c:v>
                </c:pt>
              </c:numCache>
            </c:numRef>
          </c:val>
        </c:ser>
        <c:dLbls>
          <c:showLegendKey val="0"/>
          <c:showVal val="0"/>
          <c:showCatName val="0"/>
          <c:showSerName val="0"/>
          <c:showPercent val="0"/>
          <c:showBubbleSize val="0"/>
        </c:dLbls>
        <c:gapWidth val="150"/>
        <c:shape val="box"/>
        <c:axId val="23346176"/>
        <c:axId val="23360256"/>
        <c:axId val="0"/>
      </c:bar3DChart>
      <c:catAx>
        <c:axId val="23346176"/>
        <c:scaling>
          <c:orientation val="minMax"/>
        </c:scaling>
        <c:delete val="0"/>
        <c:axPos val="b"/>
        <c:majorTickMark val="none"/>
        <c:minorTickMark val="none"/>
        <c:tickLblPos val="nextTo"/>
        <c:crossAx val="23360256"/>
        <c:crosses val="autoZero"/>
        <c:auto val="1"/>
        <c:lblAlgn val="ctr"/>
        <c:lblOffset val="100"/>
        <c:noMultiLvlLbl val="0"/>
      </c:catAx>
      <c:valAx>
        <c:axId val="2336025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2334617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2" l="0.70000000000000062" r="0.70000000000000062" t="0.75000000000000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17</c:v>
                </c:pt>
                <c:pt idx="1">
                  <c:v>6</c:v>
                </c:pt>
                <c:pt idx="2">
                  <c:v>79</c:v>
                </c:pt>
                <c:pt idx="3">
                  <c:v>4</c:v>
                </c:pt>
                <c:pt idx="4">
                  <c:v>7</c:v>
                </c:pt>
                <c:pt idx="5">
                  <c:v>6</c:v>
                </c:pt>
                <c:pt idx="6">
                  <c:v>11</c:v>
                </c:pt>
                <c:pt idx="7">
                  <c:v>1</c:v>
                </c:pt>
                <c:pt idx="8">
                  <c:v>1</c:v>
                </c:pt>
                <c:pt idx="9">
                  <c:v>0</c:v>
                </c:pt>
              </c:numCache>
            </c:numRef>
          </c:val>
        </c:ser>
        <c:dLbls>
          <c:showLegendKey val="0"/>
          <c:showVal val="0"/>
          <c:showCatName val="0"/>
          <c:showSerName val="0"/>
          <c:showPercent val="0"/>
          <c:showBubbleSize val="0"/>
        </c:dLbls>
        <c:gapWidth val="150"/>
        <c:shape val="box"/>
        <c:axId val="23382656"/>
        <c:axId val="23384448"/>
        <c:axId val="0"/>
      </c:bar3DChart>
      <c:catAx>
        <c:axId val="23382656"/>
        <c:scaling>
          <c:orientation val="minMax"/>
        </c:scaling>
        <c:delete val="0"/>
        <c:axPos val="b"/>
        <c:majorTickMark val="none"/>
        <c:minorTickMark val="none"/>
        <c:tickLblPos val="nextTo"/>
        <c:crossAx val="23384448"/>
        <c:crosses val="autoZero"/>
        <c:auto val="1"/>
        <c:lblAlgn val="ctr"/>
        <c:lblOffset val="100"/>
        <c:noMultiLvlLbl val="0"/>
      </c:catAx>
      <c:valAx>
        <c:axId val="2338444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2338265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2" l="0.70000000000000062" r="0.70000000000000062" t="0.75000000000000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3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17</c:v>
                </c:pt>
                <c:pt idx="1">
                  <c:v>2</c:v>
                </c:pt>
                <c:pt idx="2">
                  <c:v>0</c:v>
                </c:pt>
                <c:pt idx="3">
                  <c:v>18</c:v>
                </c:pt>
                <c:pt idx="4">
                  <c:v>0</c:v>
                </c:pt>
                <c:pt idx="5">
                  <c:v>5</c:v>
                </c:pt>
                <c:pt idx="6">
                  <c:v>4</c:v>
                </c:pt>
                <c:pt idx="7">
                  <c:v>10</c:v>
                </c:pt>
                <c:pt idx="8">
                  <c:v>0</c:v>
                </c:pt>
                <c:pt idx="9">
                  <c:v>1</c:v>
                </c:pt>
                <c:pt idx="10">
                  <c:v>2</c:v>
                </c:pt>
                <c:pt idx="11">
                  <c:v>23</c:v>
                </c:pt>
                <c:pt idx="12">
                  <c:v>20</c:v>
                </c:pt>
                <c:pt idx="13">
                  <c:v>0</c:v>
                </c:pt>
                <c:pt idx="14">
                  <c:v>11</c:v>
                </c:pt>
                <c:pt idx="15">
                  <c:v>26</c:v>
                </c:pt>
                <c:pt idx="16">
                  <c:v>246</c:v>
                </c:pt>
              </c:numCache>
            </c:numRef>
          </c:val>
        </c:ser>
        <c:dLbls>
          <c:showLegendKey val="0"/>
          <c:showVal val="0"/>
          <c:showCatName val="0"/>
          <c:showSerName val="0"/>
          <c:showPercent val="0"/>
          <c:showBubbleSize val="0"/>
        </c:dLbls>
        <c:gapWidth val="150"/>
        <c:shape val="box"/>
        <c:axId val="100743424"/>
        <c:axId val="100745216"/>
        <c:axId val="0"/>
      </c:bar3DChart>
      <c:catAx>
        <c:axId val="100743424"/>
        <c:scaling>
          <c:orientation val="minMax"/>
        </c:scaling>
        <c:delete val="0"/>
        <c:axPos val="b"/>
        <c:majorTickMark val="none"/>
        <c:minorTickMark val="none"/>
        <c:tickLblPos val="nextTo"/>
        <c:crossAx val="100745216"/>
        <c:crosses val="autoZero"/>
        <c:auto val="1"/>
        <c:lblAlgn val="ctr"/>
        <c:lblOffset val="100"/>
        <c:noMultiLvlLbl val="0"/>
      </c:catAx>
      <c:valAx>
        <c:axId val="10074521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0074342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2" l="0.70000000000000062" r="0.70000000000000062" t="0.75000000000000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POAS%202014%20Departamentos%20UNAH-VS/Formato%20CME%202014%20lenguas%20extranjera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USUARIO/Downloads/POAS%202014%20Departamentos%20UNAH-VS/POA_2014_Ingenier&#237;a_Civi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SUARIO/Downloads/POAS%202014%20Departamentos%20UNAH-VS/POAINDUSTRIAL20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IE5/NYH4OER1/POA%202014%20INFORMATICA%20ADMINISTRATIVA%202014%20correcto%206%20oct%20del2013%20(Autoguardad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Ren&#233;/Downloads/Formato%20CME%202014%20Direcci&#243;n%20UNAH%20V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POAS%202014%20Departamentos%20UNAH-VS/Formato%20CME%202014%20PSICOLOGIA%20%25281%252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Downloads/POAS%202014%20Departamentos%20UNAH-VS/Formato%20CME%202014%20ultimo%20derech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UARIO/Downloads/POAS%202014%20Departamentos%20UNAH-VS/POA%202014%20%20Pedagog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Ren&#233;/Downloads/POAS%202014%20Departamentos%20UNAH-VS/POAS%20QUE%20LLEGARON%20TARDE/POA%20Ing.%20Electrica%20CME%2020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IE5/NYH4OER1/POA%202014%20INFORMATICA%20ADMINISTRATIVA%202014%20correcto%206%20oct%20del201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USUARIO/AppData/Local/Microsoft/Windows/Temporary%20Internet%20Files/Content.IE5/NYH4OER1/POA%20QUIMICA%20201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USUARIO/Downloads/POAS%202014%20Departamentos%20UNAH-VS/Formato%20CME%202014%20Secretar&#237;a%20y%20Registr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USUARIO/Downloads/POAS%202014%20Departamentos%20UNAH-VS/Formato%20CME%202014%20ultimo2%20Adm&#243;n.%20Empresas%20UNAH-V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 val="Hoja1"/>
    </sheetNames>
    <sheetDataSet>
      <sheetData sheetId="0"/>
      <sheetData sheetId="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row r="584">
          <cell r="B584">
            <v>0</v>
          </cell>
          <cell r="C584" t="str">
            <v>Total Plan Operativo</v>
          </cell>
        </row>
      </sheetData>
      <sheetData sheetId="3"/>
      <sheetData sheetId="4"/>
      <sheetData sheetId="5"/>
      <sheetData sheetId="6"/>
      <sheetData sheetId="7"/>
      <sheetData sheetId="8"/>
      <sheetData sheetId="9"/>
      <sheetData sheetId="10">
        <row r="1">
          <cell r="B1">
            <v>0</v>
          </cell>
        </row>
      </sheetData>
      <sheetData sheetId="11">
        <row r="1">
          <cell r="E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v>0</v>
          </cell>
          <cell r="F7">
            <v>0</v>
          </cell>
        </row>
        <row r="8">
          <cell r="E8" t="str">
            <v>1.b.1</v>
          </cell>
          <cell r="F8" t="str">
            <v xml:space="preserve">b.1 Realizar talleres de capacitacion a docentes sobre los fundamentos y principios del nuevo modelo educativo.                                                </v>
          </cell>
        </row>
        <row r="9">
          <cell r="E9" t="str">
            <v>1.b.2</v>
          </cell>
          <cell r="F9" t="str">
            <v>b.2 Ejecución y aplicación de tecnicas innovadoras en el proceso e-a</v>
          </cell>
        </row>
        <row r="10">
          <cell r="E10">
            <v>0</v>
          </cell>
          <cell r="F10">
            <v>0</v>
          </cell>
        </row>
        <row r="11">
          <cell r="E11">
            <v>0</v>
          </cell>
          <cell r="F11">
            <v>0</v>
          </cell>
        </row>
        <row r="12">
          <cell r="E12" t="str">
            <v>1.b.3</v>
          </cell>
          <cell r="F12" t="str">
            <v>b.3 Implementar un diplomado de inglés para los estudiantes de la Carrera de Igenieria Industrial.</v>
          </cell>
        </row>
        <row r="13">
          <cell r="E13">
            <v>0</v>
          </cell>
          <cell r="F13">
            <v>0</v>
          </cell>
        </row>
        <row r="14">
          <cell r="E14" t="str">
            <v>1.b.4</v>
          </cell>
          <cell r="F14" t="str">
            <v>b.4 Socializacion y Analisis de la Normativa Universitaria</v>
          </cell>
        </row>
        <row r="15">
          <cell r="E15">
            <v>0</v>
          </cell>
          <cell r="F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sheetData>
      <sheetData sheetId="1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2.a.1</v>
          </cell>
          <cell r="F6" t="str">
            <v>a.1 Creación en el Depto. del o comité de investigación científica.</v>
          </cell>
        </row>
        <row r="7">
          <cell r="E7">
            <v>0</v>
          </cell>
          <cell r="F7">
            <v>0</v>
          </cell>
        </row>
        <row r="8">
          <cell r="E8" t="str">
            <v>2.b.2</v>
          </cell>
          <cell r="F8" t="str">
            <v>Participar activamente en jornadas de capacitación.</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3">
        <row r="1">
          <cell r="E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3.a.1</v>
          </cell>
          <cell r="F7" t="str">
            <v xml:space="preserve">a.1 Crear un Comité de Vinculación US. </v>
          </cell>
        </row>
        <row r="8">
          <cell r="E8">
            <v>0</v>
          </cell>
          <cell r="F8">
            <v>0</v>
          </cell>
        </row>
        <row r="9">
          <cell r="E9">
            <v>0</v>
          </cell>
          <cell r="F9" t="str">
            <v>c.1 Los Departamentos Académicos y las carreras realizan actividades para socializar y aplicar las políticas de vinculación.</v>
          </cell>
        </row>
        <row r="10">
          <cell r="E10">
            <v>0</v>
          </cell>
          <cell r="F10" t="str">
            <v>Los Departamentos Académicos negocian y promueven ls sprobación de convenios en el campo de la vinculación.</v>
          </cell>
        </row>
        <row r="11">
          <cell r="E11">
            <v>0</v>
          </cell>
          <cell r="F11"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2">
          <cell r="E12">
            <v>0</v>
          </cell>
          <cell r="F12">
            <v>0</v>
          </cell>
        </row>
        <row r="13">
          <cell r="E13">
            <v>0</v>
          </cell>
          <cell r="F13"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row r="14">
          <cell r="E14">
            <v>0</v>
          </cell>
          <cell r="F14">
            <v>0</v>
          </cell>
        </row>
        <row r="15">
          <cell r="E15">
            <v>0</v>
          </cell>
          <cell r="F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4">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4.a.1</v>
          </cell>
          <cell r="F6" t="str">
            <v>Gestionar los trámites de graduación de docentes del Depto. Inscritos en postgrados .</v>
          </cell>
        </row>
        <row r="7">
          <cell r="E7">
            <v>0</v>
          </cell>
          <cell r="F7">
            <v>0</v>
          </cell>
        </row>
        <row r="8">
          <cell r="E8">
            <v>0</v>
          </cell>
          <cell r="F8">
            <v>0</v>
          </cell>
        </row>
        <row r="9">
          <cell r="E9" t="str">
            <v>4.b.1</v>
          </cell>
          <cell r="F9" t="str">
            <v xml:space="preserve">Crear 8 plazas para Profesores Tiempo Completo </v>
          </cell>
        </row>
        <row r="10">
          <cell r="E10">
            <v>0</v>
          </cell>
          <cell r="F10">
            <v>0</v>
          </cell>
        </row>
        <row r="11">
          <cell r="E11">
            <v>0</v>
          </cell>
          <cell r="F11">
            <v>0</v>
          </cell>
        </row>
        <row r="12">
          <cell r="E12">
            <v>0</v>
          </cell>
          <cell r="F12">
            <v>0</v>
          </cell>
        </row>
        <row r="13">
          <cell r="E13">
            <v>0</v>
          </cell>
          <cell r="F13">
            <v>0</v>
          </cell>
        </row>
      </sheetData>
      <sheetData sheetId="15">
        <row r="2">
          <cell r="E2">
            <v>0</v>
          </cell>
          <cell r="F2">
            <v>0</v>
          </cell>
        </row>
        <row r="3">
          <cell r="E3" t="str">
            <v>Correlativo de Actividad</v>
          </cell>
          <cell r="F3" t="str">
            <v>ACTIVIDADES</v>
          </cell>
        </row>
        <row r="4">
          <cell r="E4">
            <v>0</v>
          </cell>
          <cell r="F4">
            <v>0</v>
          </cell>
        </row>
        <row r="5">
          <cell r="E5">
            <v>0</v>
          </cell>
          <cell r="F5">
            <v>0</v>
          </cell>
        </row>
        <row r="6">
          <cell r="E6" t="str">
            <v>5.5.5</v>
          </cell>
          <cell r="F6">
            <v>0</v>
          </cell>
        </row>
        <row r="7">
          <cell r="E7">
            <v>0</v>
          </cell>
          <cell r="F7" t="str">
            <v>a.3 Realizar estudios de mercado para la determinación de la oferta de trabajo y la apertura de nuevas carreras.</v>
          </cell>
        </row>
        <row r="8">
          <cell r="E8">
            <v>0</v>
          </cell>
          <cell r="F8" t="str">
            <v>a.4 Fortalecer el sistema de bibliotecas y  crear un sistema virtual para la obtención de documentos y materiales de trabajo de las diferentes carreras.</v>
          </cell>
        </row>
        <row r="9">
          <cell r="E9">
            <v>0</v>
          </cell>
          <cell r="F9" t="str">
            <v>a.4 Fortalecer el sistema de bibliotecas y  crear un sistema virtual para la obtención de documentos y materiales de trabajo de las diferentes carreras.</v>
          </cell>
        </row>
        <row r="10">
          <cell r="E10">
            <v>0</v>
          </cell>
          <cell r="F10">
            <v>0</v>
          </cell>
        </row>
        <row r="11">
          <cell r="E11">
            <v>0</v>
          </cell>
          <cell r="F11" t="str">
            <v>b.1 Mejorar la eficacia y calidad de los servicios estudiantiles.</v>
          </cell>
        </row>
        <row r="12">
          <cell r="E12">
            <v>0</v>
          </cell>
          <cell r="F12" t="str">
            <v>Asesoría técnica e Inversión para gestión de sistema de indicadores.</v>
          </cell>
        </row>
        <row r="13">
          <cell r="E13">
            <v>0</v>
          </cell>
          <cell r="F13" t="str">
            <v>Asesoría técnica e inversión para integración de bases de datos y acceso a las mismas.</v>
          </cell>
        </row>
        <row r="14">
          <cell r="E14">
            <v>0</v>
          </cell>
          <cell r="F14" t="str">
            <v>c.1 fortalecer la reglamentación estudiantil existente y aplicarla eficientemente.</v>
          </cell>
        </row>
        <row r="15">
          <cell r="E15">
            <v>0</v>
          </cell>
          <cell r="F15">
            <v>0</v>
          </cell>
        </row>
      </sheetData>
      <sheetData sheetId="16">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t="str">
            <v>6.b.1</v>
          </cell>
          <cell r="F9" t="str">
            <v>b.1 Mejorar y optimizar el espacio físico de aulas (A9, A10, A11, A12, A15 y A16) cambiando techo, agregando cielo raso, Celosías, Telas metalicas, pintura e instalacion de ventiladores.</v>
          </cell>
        </row>
        <row r="10">
          <cell r="E10" t="str">
            <v>6.b.2</v>
          </cell>
          <cell r="F10" t="str">
            <v>b.2 Crear Laboratorio del Departamento de Lenguas Extranjeras.</v>
          </cell>
        </row>
        <row r="11">
          <cell r="E11" t="str">
            <v>6.c.1</v>
          </cell>
          <cell r="F11" t="str">
            <v xml:space="preserve">c.1 Mejorar los servicios de tecnología educativa en las diferentes aulas.                                                                                                                                                                                                                                                                                                                                                                             </v>
          </cell>
        </row>
        <row r="12">
          <cell r="E12">
            <v>0</v>
          </cell>
          <cell r="F12">
            <v>0</v>
          </cell>
        </row>
        <row r="13">
          <cell r="E13">
            <v>0</v>
          </cell>
          <cell r="F13">
            <v>0</v>
          </cell>
        </row>
        <row r="14">
          <cell r="E14" t="str">
            <v>6.f.1</v>
          </cell>
          <cell r="F14" t="str">
            <v>Crear plaza para Tecnico en Sistemas para administrar el laboratorio de Lenguas Extranjeras</v>
          </cell>
        </row>
        <row r="15">
          <cell r="E15">
            <v>0</v>
          </cell>
          <cell r="F15">
            <v>0</v>
          </cell>
        </row>
        <row r="16">
          <cell r="E16">
            <v>0</v>
          </cell>
          <cell r="F16">
            <v>0</v>
          </cell>
        </row>
        <row r="41">
          <cell r="E41">
            <v>0</v>
          </cell>
        </row>
      </sheetData>
      <sheetData sheetId="17">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7.7.7</v>
          </cell>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8">
          <cell r="E8">
            <v>0</v>
          </cell>
          <cell r="F8" t="str">
            <v>a.2 Impulsar la internacionalización de la Universidad, tomando como primera instancia el escenario Centro Americano del CSUCA.</v>
          </cell>
        </row>
        <row r="9">
          <cell r="E9">
            <v>0</v>
          </cell>
          <cell r="F9" t="str">
            <v xml:space="preserve">a.1 Realizacion de giras de practicas a diferentes instutuciones y organizaciones del pais </v>
          </cell>
        </row>
        <row r="10">
          <cell r="E10">
            <v>0</v>
          </cell>
          <cell r="F10" t="str">
            <v xml:space="preserve">a.1 Realizacion de giras de practicas a diferentes instutuciones y organizaciones del pais </v>
          </cell>
        </row>
        <row r="11">
          <cell r="E11">
            <v>0</v>
          </cell>
          <cell r="F11"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2">
          <cell r="E12">
            <v>0</v>
          </cell>
          <cell r="F12" t="str">
            <v>b.1 se fortalecerán, promoverán y adoptarán políticas y practicas transparentes para la rendición de cuentas de las unidades académicas.</v>
          </cell>
        </row>
        <row r="13">
          <cell r="E13">
            <v>0</v>
          </cell>
          <cell r="F13" t="str">
            <v>b.1  Continuar con practicas transparentes para la rendición de cuentas en Admisiones CURLA.</v>
          </cell>
        </row>
        <row r="14">
          <cell r="E14">
            <v>0</v>
          </cell>
          <cell r="F14" t="str">
            <v>c.1 Las unidades académicas respectivas participan permanentemente en sus áreas de conocimiento  en evaluaciones para el mejoramiento de la educación superior en el país.</v>
          </cell>
        </row>
        <row r="15">
          <cell r="E15">
            <v>0</v>
          </cell>
          <cell r="F15" t="str">
            <v>c.1 El departamento de Industrias Forestales participara permanentemente en sus áreas del conocimiento  y en evaluaciones para el mejoramiento de la educación superior en el país.</v>
          </cell>
        </row>
        <row r="16">
          <cell r="E16">
            <v>0</v>
          </cell>
          <cell r="F16" t="str">
            <v>c.1 El departemento de silvicultura participará permanentemente en sus áreas de conocimiento  en evaluaciones para el mejoramiento de la educación superior en el país.</v>
          </cell>
        </row>
        <row r="17">
          <cell r="E17">
            <v>0</v>
          </cell>
          <cell r="F17" t="str">
            <v>c.1 El departemento de silvicultura participará permanentemente en sus áreas de conocimiento  en evaluaciones para el mejoramiento de la educación superior en el país.</v>
          </cell>
        </row>
        <row r="18">
          <cell r="E18">
            <v>0</v>
          </cell>
          <cell r="F18">
            <v>0</v>
          </cell>
        </row>
        <row r="19">
          <cell r="E19">
            <v>0</v>
          </cell>
          <cell r="F19">
            <v>0</v>
          </cell>
        </row>
        <row r="20">
          <cell r="E20">
            <v>0</v>
          </cell>
          <cell r="F20">
            <v>0</v>
          </cell>
        </row>
      </sheetData>
      <sheetData sheetId="18">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8.8.8</v>
          </cell>
          <cell r="F6" t="str">
            <v>a. 1 Analizar el perfil del egresado de las carreras de acuerdo a las demandas laborales de profesionales.</v>
          </cell>
        </row>
        <row r="7">
          <cell r="E7">
            <v>0</v>
          </cell>
          <cell r="F7" t="str">
            <v>b.1 Realizar encuestas de satisfacción de los egresados.</v>
          </cell>
        </row>
        <row r="8">
          <cell r="E8">
            <v>0</v>
          </cell>
          <cell r="F8" t="str">
            <v>c.1 Realizar encuestas del desempeño laboral de los egresados.</v>
          </cell>
        </row>
        <row r="9">
          <cell r="E9">
            <v>0</v>
          </cell>
          <cell r="F9" t="str">
            <v>d.1 IDEM</v>
          </cell>
        </row>
        <row r="10">
          <cell r="E10">
            <v>0</v>
          </cell>
          <cell r="F10" t="str">
            <v>e.1 Realizar encuestas de satisfacción comunitaria.</v>
          </cell>
        </row>
        <row r="11">
          <cell r="E11">
            <v>0</v>
          </cell>
          <cell r="F11">
            <v>0</v>
          </cell>
        </row>
      </sheetData>
      <sheetData sheetId="19">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9.9.9</v>
          </cell>
          <cell r="F6" t="str">
            <v>a.1 Socialización e ejecución del proceso de organización y desarrollo de las redes educativas regionales con actores internos y externos a la UNAH.</v>
          </cell>
        </row>
        <row r="7">
          <cell r="E7">
            <v>0</v>
          </cell>
          <cell r="F7">
            <v>0</v>
          </cell>
        </row>
        <row r="8">
          <cell r="E8">
            <v>0</v>
          </cell>
          <cell r="F8" t="str">
            <v>a.2 Consolidación y funcionamiento de los institutos tecnológicos de Tela, Gracias  a Dios y Puerto Cortes.</v>
          </cell>
        </row>
        <row r="9">
          <cell r="E9">
            <v>0</v>
          </cell>
          <cell r="F9" t="str">
            <v>b.1 Realización de estudios regionalizados de cobertura y equidad en el acceso a la UNAH y de estudios de oferta y demanda de estudios universitarios en cada región educativa.</v>
          </cell>
        </row>
        <row r="10">
          <cell r="E10">
            <v>0</v>
          </cell>
          <cell r="F10"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1">
          <cell r="E11">
            <v>0</v>
          </cell>
          <cell r="F11" t="str">
            <v>1) Fortalecimiento del Programa de Incentivos a la investigación.                                                                                                                                                                                                              2) Asignación y disponibilidad de recursos subyacientes para la ejecución de dos programas.</v>
          </cell>
        </row>
        <row r="12">
          <cell r="E12">
            <v>0</v>
          </cell>
          <cell r="F12" t="str">
            <v>1) Implantación y fortalecimiento de la política de incentivos para la mejora continúa del funcionamiento de las redes educativas regionales.</v>
          </cell>
        </row>
        <row r="13">
          <cell r="E13">
            <v>0</v>
          </cell>
          <cell r="F13" t="str">
            <v>b.4 Desarrollar los Módulos del Subsistema de Planificación, M&amp;E. b.5) Implantación en Facultades y CRU's pilotos para hacer pruebas beta con los usuarios. b.6) Depuración del Subsistema. b.7) Implantación del Subsistema en las Facultades y CRU's</v>
          </cell>
        </row>
        <row r="14">
          <cell r="E14">
            <v>0</v>
          </cell>
          <cell r="F14">
            <v>0</v>
          </cell>
        </row>
        <row r="15">
          <cell r="E15">
            <v>0</v>
          </cell>
          <cell r="F15">
            <v>0</v>
          </cell>
        </row>
        <row r="16">
          <cell r="E16">
            <v>0</v>
          </cell>
          <cell r="F16">
            <v>0</v>
          </cell>
        </row>
        <row r="17">
          <cell r="E17">
            <v>0</v>
          </cell>
          <cell r="F17">
            <v>0</v>
          </cell>
        </row>
        <row r="18">
          <cell r="E18">
            <v>0</v>
          </cell>
          <cell r="F18" t="str">
            <v>1) Consolidación del programa de formación y capacitación institucional en TIC.                                                                                                                                                                               2)Mantenimiento permanente y sostenido de página web de la UNAH.                                                                                                                                                                                            3) Monitoría y evaluación del Programa de Educación Permanente.</v>
          </cell>
        </row>
        <row r="19">
          <cell r="E19">
            <v>0</v>
          </cell>
          <cell r="F19">
            <v>0</v>
          </cell>
        </row>
        <row r="20">
          <cell r="E20">
            <v>0</v>
          </cell>
          <cell r="F20" t="str">
            <v>1) Jornadas de intercambio de experiencias, y presentación de resultados, entre investigadores socio económicos, investigadores de la economía de la cultura, alumnos y comunidad universitaria en general.</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0">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10.10.10</v>
          </cell>
          <cell r="F7" t="str">
            <v>2.1  Dar asesoramiento tecnico y juridico                   2.2 recopilacion de datos y documentos.                              2.3 Envio de correspondencia e informacion</v>
          </cell>
        </row>
        <row r="8">
          <cell r="E8">
            <v>0</v>
          </cell>
          <cell r="F8" t="str">
            <v>a.3 Según sea el caso, se deben realizar las siguientes actividades o procesos: Revisión; actualización; complementación; inclusión del eje de ética; adecuación curricular; reforma del plan de estudio; nueva oferta educativa.</v>
          </cell>
        </row>
        <row r="9">
          <cell r="E9">
            <v>0</v>
          </cell>
          <cell r="F9" t="str">
            <v>b.1 Coordinación con la Direccion Departamental de Educación para la articulación del nivel medio con el nivel universitario en el Caribe Hondureño.</v>
          </cell>
        </row>
        <row r="10">
          <cell r="E10">
            <v>0</v>
          </cell>
          <cell r="F10">
            <v>0</v>
          </cell>
        </row>
      </sheetData>
      <sheetData sheetId="21">
        <row r="1">
          <cell r="E1">
            <v>0</v>
          </cell>
        </row>
        <row r="2">
          <cell r="E2">
            <v>0</v>
          </cell>
          <cell r="F2">
            <v>0</v>
          </cell>
        </row>
        <row r="3">
          <cell r="E3" t="str">
            <v>Correlativo de Actividad</v>
          </cell>
          <cell r="F3" t="str">
            <v>ACTIVIDADES</v>
          </cell>
        </row>
        <row r="4">
          <cell r="E4">
            <v>0</v>
          </cell>
          <cell r="F4">
            <v>0</v>
          </cell>
        </row>
        <row r="5">
          <cell r="E5">
            <v>0</v>
          </cell>
          <cell r="F5">
            <v>0</v>
          </cell>
        </row>
        <row r="6">
          <cell r="E6" t="str">
            <v>11.11.11</v>
          </cell>
          <cell r="F6" t="str">
            <v>1. Mejora continua de los mecanismos y métodos de comunicación entre la UNAH y los actores del sistema educativo nacional.</v>
          </cell>
        </row>
        <row r="7">
          <cell r="E7">
            <v>0</v>
          </cell>
          <cell r="F7" t="str">
            <v>2. Fortalecer los procesos y el sistema de diálogo en forma permanente, constructivo y respetuoso.</v>
          </cell>
        </row>
        <row r="8">
          <cell r="E8">
            <v>0</v>
          </cell>
          <cell r="F8" t="str">
            <v>3. Concertación permanente bajo los principios del respeto mutuo, autonomía universitaria y defensa de lo público.</v>
          </cell>
        </row>
        <row r="9">
          <cell r="E9">
            <v>0</v>
          </cell>
          <cell r="F9" t="str">
            <v>4. Formulación y consolidación de estrategias que garanticen la articulación de los actores de la UNAH, alrededor de una visión compartida del Sistema Educativo Nacional.</v>
          </cell>
        </row>
        <row r="10">
          <cell r="E10">
            <v>0</v>
          </cell>
          <cell r="F10" t="str">
            <v>5. Coordinación con la Secretaría de Educación para la articulación del nivel medio con el nivel universitario.</v>
          </cell>
        </row>
        <row r="11">
          <cell r="E11">
            <v>0</v>
          </cell>
          <cell r="F11" t="str">
            <v>6. Cumplimiento de los alcances del Plan Estratégico de desarrollo de la ES.</v>
          </cell>
        </row>
        <row r="12">
          <cell r="E12">
            <v>0</v>
          </cell>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E13">
            <v>0</v>
          </cell>
          <cell r="F13" t="str">
            <v>3. Ejercer una influencia académica actualizada y de calidad en el sistema universitario nacional.</v>
          </cell>
        </row>
        <row r="14">
          <cell r="E14">
            <v>0</v>
          </cell>
          <cell r="F14">
            <v>0</v>
          </cell>
        </row>
      </sheetData>
      <sheetData sheetId="2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12.12.12</v>
          </cell>
          <cell r="F6" t="str">
            <v xml:space="preserve">1) Socialización de los lineamientos metodológicos.                                                                                                                                                                                                                                       </v>
          </cell>
        </row>
        <row r="7">
          <cell r="E7">
            <v>0</v>
          </cell>
          <cell r="F7" t="str">
            <v>2) Jornadas de trabajo (conferencias, exposiciones, talleres, y otros) interdisciplinarias orientadas a la transversalización efectiva y profunda del eje de ética.</v>
          </cell>
        </row>
        <row r="8">
          <cell r="E8">
            <v>0</v>
          </cell>
          <cell r="F8">
            <v>0</v>
          </cell>
        </row>
        <row r="9">
          <cell r="E9">
            <v>0</v>
          </cell>
          <cell r="F9" t="str">
            <v>Gestión de convenios y planes de trabajo en ejecución, que fundamentan un ejercicio de las funciones académicas con identidad.</v>
          </cell>
        </row>
        <row r="10">
          <cell r="E10">
            <v>0</v>
          </cell>
          <cell r="F10" t="str">
            <v>Inversión para la gestión de los proyectos culturales.</v>
          </cell>
        </row>
        <row r="11">
          <cell r="E11">
            <v>0</v>
          </cell>
          <cell r="F11" t="str">
            <v>Promoción activa y efectiva de iniciativas en red.</v>
          </cell>
        </row>
        <row r="12">
          <cell r="E12">
            <v>0</v>
          </cell>
          <cell r="F12" t="str">
            <v>Inversión para el desarrollo de iniciativas de incidencia para implementar el Programa LO ESENCIAL.</v>
          </cell>
        </row>
        <row r="13">
          <cell r="E13">
            <v>0</v>
          </cell>
          <cell r="F13" t="str">
            <v>Promoción e inversión en encuentros regionales.</v>
          </cell>
        </row>
        <row r="14">
          <cell r="E14">
            <v>0</v>
          </cell>
          <cell r="F14" t="str">
            <v>Promoción de aprobación y firma de convenios regionales con socios estratégicos</v>
          </cell>
        </row>
        <row r="15">
          <cell r="E15">
            <v>0</v>
          </cell>
          <cell r="F15" t="str">
            <v>Construcción participativa y ejecución en red de proyectos de ciudadanía cultural</v>
          </cell>
        </row>
        <row r="16">
          <cell r="E16">
            <v>0</v>
          </cell>
          <cell r="F16">
            <v>0</v>
          </cell>
        </row>
      </sheetData>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4-03-09-00-01</v>
          </cell>
          <cell r="C374" t="str">
            <v>Sofwares</v>
          </cell>
        </row>
        <row r="375">
          <cell r="B375" t="str">
            <v>4-04-00-00-00</v>
          </cell>
          <cell r="C375" t="str">
            <v>SEMOVIENTES</v>
          </cell>
        </row>
        <row r="376">
          <cell r="B376" t="str">
            <v>4-05-00-00-00</v>
          </cell>
          <cell r="C376" t="str">
            <v>ACTIVOS INTANGIBLES (45000-00)</v>
          </cell>
        </row>
        <row r="377">
          <cell r="B377" t="str">
            <v>4-05-01-00-00</v>
          </cell>
          <cell r="C377" t="str">
            <v>APLICACIONES INFORMATICAS (45100-00)</v>
          </cell>
        </row>
        <row r="378">
          <cell r="B378" t="str">
            <v>4-05-01-01-00</v>
          </cell>
          <cell r="C378" t="str">
            <v>APLICACIONES INFORMATICAS</v>
          </cell>
        </row>
        <row r="379">
          <cell r="B379" t="str">
            <v>4-05-01-02-00</v>
          </cell>
          <cell r="C379" t="str">
            <v>APLICACIONES INFORMATICAS PROYECTO VINCULACION UNAH SOCIEDAD</v>
          </cell>
        </row>
        <row r="380">
          <cell r="B380" t="str">
            <v>4-06-00-00-00</v>
          </cell>
          <cell r="C380" t="str">
            <v>EQUIPO MILITAR Y DE SEGURIDAD</v>
          </cell>
        </row>
        <row r="381">
          <cell r="B381" t="str">
            <v>4-06-01-00-00</v>
          </cell>
          <cell r="C381" t="str">
            <v>EQUIPO MILITAR Y DE SEGURIDAD</v>
          </cell>
        </row>
        <row r="382">
          <cell r="B382" t="str">
            <v>4-07-00-00-00</v>
          </cell>
          <cell r="C382" t="str">
            <v>CONSTRUCCIONES (47000-00)</v>
          </cell>
        </row>
        <row r="383">
          <cell r="B383" t="str">
            <v>4-07-01-00-00</v>
          </cell>
          <cell r="C383" t="str">
            <v>CONSTRUCCIONES ADICIONES Y MEJORA DE EDIF (47100-00)</v>
          </cell>
        </row>
        <row r="384">
          <cell r="B384" t="str">
            <v>4-07-01-01-00</v>
          </cell>
          <cell r="C384" t="str">
            <v>CONSTRUCCIONES Y MEJORAS DE BIENES NACIONALES EN DOMINIO PRIVADO</v>
          </cell>
        </row>
        <row r="385">
          <cell r="B385" t="str">
            <v>4-07-02-00-00</v>
          </cell>
          <cell r="C385" t="str">
            <v>CONSTRUCCIONES Y MEJORAS DE BIENES NACIONALES EN DOMINIO PUBLICO (NUEVA)</v>
          </cell>
        </row>
        <row r="386">
          <cell r="B386" t="str">
            <v>4-07-02-01-00</v>
          </cell>
          <cell r="C386" t="str">
            <v>CONSTRUCCIONES Y MEJORAS DE BIENES EN DOMINIO PUBLICO</v>
          </cell>
        </row>
        <row r="387">
          <cell r="B387" t="str">
            <v>4-07-02-02-00</v>
          </cell>
          <cell r="C387" t="str">
            <v>SUPERVISION DE CONSTRUCCIONES Y MEJORAS EN BIENES EN DOMINIO PUBLICO</v>
          </cell>
        </row>
        <row r="388">
          <cell r="B388" t="str">
            <v>4-07-03-00-00</v>
          </cell>
          <cell r="C388" t="str">
            <v>CONSOLIDACION Y MEJORAS EN BIENES CULTURALES (NUEVA)</v>
          </cell>
        </row>
        <row r="389">
          <cell r="B389" t="str">
            <v>4-07-03-01-00</v>
          </cell>
          <cell r="C389" t="str">
            <v>CONSOLIDACION Y MEJORAS EN BIENES CULTURALES</v>
          </cell>
        </row>
        <row r="390">
          <cell r="B390" t="str">
            <v>4-07-03-02-00</v>
          </cell>
          <cell r="C390" t="str">
            <v>SUPERVISION DE CONSOLIDACION Y MEJORAS EN BIENES CULTURALES</v>
          </cell>
        </row>
        <row r="391">
          <cell r="B391" t="str">
            <v>4-01-00-00-00</v>
          </cell>
          <cell r="C391" t="str">
            <v>BIENES PREEXISTENTES (41000-00)</v>
          </cell>
        </row>
        <row r="392">
          <cell r="B392" t="str">
            <v>4-01-01-00-00</v>
          </cell>
          <cell r="C392" t="str">
            <v>TIERRAS Y TERRENOS (41100-00)</v>
          </cell>
        </row>
        <row r="393">
          <cell r="B393" t="str">
            <v>4-01-01-01-00</v>
          </cell>
          <cell r="C393" t="str">
            <v>PARA CONSTRUCCION DE BIENES EN DOMINIO PRIVADO (41110-00)</v>
          </cell>
        </row>
        <row r="394">
          <cell r="B394" t="str">
            <v>4-01-01-01-01</v>
          </cell>
          <cell r="C394" t="str">
            <v>PARA CONSTRUCCION DE BIENES EN DOMINIO PRIVADO</v>
          </cell>
        </row>
        <row r="395">
          <cell r="B395" t="str">
            <v>4-01-01-01-02</v>
          </cell>
          <cell r="C395" t="str">
            <v>CONSTR.DE MEJ. DOM.EDIFICIO AULAS No.5 v.s.</v>
          </cell>
        </row>
        <row r="396">
          <cell r="B396" t="str">
            <v>4-01-01-01-03</v>
          </cell>
          <cell r="C396" t="str">
            <v>CONSTR.DE MEJ.DOM LABOR. DE INGENIERIA V.S.</v>
          </cell>
        </row>
        <row r="397">
          <cell r="B397" t="str">
            <v>4-01-01-01-04</v>
          </cell>
          <cell r="C397" t="str">
            <v>CONSTR.DE MEJ.DOM SALA DE JUICIO V.S.</v>
          </cell>
        </row>
        <row r="398">
          <cell r="B398" t="str">
            <v>4-01-01-02-00</v>
          </cell>
          <cell r="C398" t="str">
            <v>PARA CONSTRUCCION DE BIENES DE DOMINIO PUBLICOS (41120-00)</v>
          </cell>
        </row>
        <row r="399">
          <cell r="B399" t="str">
            <v>4-01-01-02-01</v>
          </cell>
          <cell r="C399" t="str">
            <v>CONSTRUCCION DE BIENES DE DOMINIO PUBLICO</v>
          </cell>
        </row>
        <row r="400">
          <cell r="B400" t="str">
            <v>4-01-01-03-00</v>
          </cell>
          <cell r="C400" t="str">
            <v>TIERRA PREDIOS Y SOLARES (41130-00)</v>
          </cell>
        </row>
        <row r="401">
          <cell r="B401" t="str">
            <v>4-01-01-03-01</v>
          </cell>
          <cell r="C401" t="str">
            <v>TIERRA PREDIOS Y SOLARES (COMPRA DE TERRENO EN CRUNO)</v>
          </cell>
        </row>
        <row r="402">
          <cell r="B402" t="str">
            <v>4-01-02-00-00</v>
          </cell>
          <cell r="C402" t="str">
            <v>EDIFICIOS E INSTALACIONES (41210-00)</v>
          </cell>
        </row>
        <row r="403">
          <cell r="B403" t="str">
            <v>4-01-02-01-00</v>
          </cell>
          <cell r="C403" t="str">
            <v>EDIFICIOS Y LOCALES</v>
          </cell>
        </row>
        <row r="404">
          <cell r="B404" t="str">
            <v>4-01-02-04-00</v>
          </cell>
          <cell r="C404" t="str">
            <v>INSTALACIONES VARIAS (41240-00)</v>
          </cell>
        </row>
        <row r="405">
          <cell r="B405" t="str">
            <v>4-01-02-00-00</v>
          </cell>
          <cell r="C405" t="str">
            <v>EDIFICIOS E INSTALACIONES (41210-00)</v>
          </cell>
        </row>
        <row r="406">
          <cell r="B406" t="str">
            <v>4-01-02-04-00</v>
          </cell>
          <cell r="C406" t="str">
            <v>INSTALACIONES VARIAS (41240-00)</v>
          </cell>
        </row>
        <row r="407">
          <cell r="B407" t="str">
            <v>4-01-02-04-01</v>
          </cell>
          <cell r="C407" t="str">
            <v>INSTALACIONES VARIAS</v>
          </cell>
        </row>
        <row r="408">
          <cell r="B408" t="str">
            <v>4-01-02-04-02</v>
          </cell>
          <cell r="C408" t="str">
            <v>INSTALACIONES VARIAS EDIFICIO DE QUIMICA Y FARMACIA</v>
          </cell>
        </row>
        <row r="409">
          <cell r="B409" t="str">
            <v>4-01-02-04-03</v>
          </cell>
          <cell r="C409" t="str">
            <v>INSTALACIONES VARIAS AULAS NO. 6 (41240-05)</v>
          </cell>
        </row>
        <row r="410">
          <cell r="B410" t="str">
            <v>5-00-00-00-00</v>
          </cell>
          <cell r="C410" t="str">
            <v>TRANSFERENCIAS (50000-00)</v>
          </cell>
        </row>
        <row r="411">
          <cell r="B411" t="str">
            <v>5-01-00-00-00</v>
          </cell>
          <cell r="C411" t="str">
            <v>TRANSFERENCIAS CORRIENTES AL SECTOR PRIVADO (51000-00)</v>
          </cell>
        </row>
        <row r="412">
          <cell r="B412" t="str">
            <v>5-01-01-00-00</v>
          </cell>
          <cell r="C412" t="str">
            <v>PRESTACIONES DE LA SEGURIDAD SOCIAL (NUEVA)</v>
          </cell>
        </row>
        <row r="413">
          <cell r="B413" t="str">
            <v>5-01-01-01-00</v>
          </cell>
          <cell r="C413" t="str">
            <v>JUBILACIONES Y RETIROS</v>
          </cell>
        </row>
        <row r="414">
          <cell r="B414" t="str">
            <v>5-01-01-02-00</v>
          </cell>
          <cell r="C414" t="str">
            <v>PENSIONES</v>
          </cell>
        </row>
        <row r="415">
          <cell r="B415" t="str">
            <v>5-01-02-00-00</v>
          </cell>
          <cell r="C415" t="str">
            <v>PRESTACIONES DE ASISTENCIA SOCIAL (51200-00)</v>
          </cell>
        </row>
        <row r="416">
          <cell r="B416" t="str">
            <v>5-01-03-00-00</v>
          </cell>
          <cell r="C416" t="str">
            <v>DONACIONES A INSTITUCIONES PRIVADAS SIN FINES DE LUCRO (51300-00)</v>
          </cell>
        </row>
        <row r="417">
          <cell r="B417" t="str">
            <v>5-01-03-01-00</v>
          </cell>
          <cell r="C417" t="str">
            <v>DONACIONES IHADFA</v>
          </cell>
        </row>
        <row r="418">
          <cell r="B418" t="str">
            <v>5-01-03-02-00</v>
          </cell>
          <cell r="C418" t="str">
            <v>ASIG.EQUIPO DE FUTBALL CURNO (LIGA LUCAS MENDEZ)</v>
          </cell>
        </row>
        <row r="419">
          <cell r="B419" t="str">
            <v>5-01-03-03-00</v>
          </cell>
          <cell r="C419" t="str">
            <v>ASIG.EQUIPO DE FUTBALL LIGA DIONICIO HERRERA</v>
          </cell>
        </row>
        <row r="420">
          <cell r="B420" t="str">
            <v>5-01-03-04-00</v>
          </cell>
          <cell r="C420" t="str">
            <v>DONACIONES INJUVEN</v>
          </cell>
        </row>
        <row r="421">
          <cell r="B421" t="str">
            <v>5-01-04-00-00</v>
          </cell>
          <cell r="C421" t="str">
            <v>SUBSIDIOS A EMPRESAS PRIVADAS</v>
          </cell>
        </row>
        <row r="422">
          <cell r="B422" t="str">
            <v>5-02-00-00-00</v>
          </cell>
          <cell r="C422" t="str">
            <v>TRANSFERENCIAS CORRIENTES UNIDADES DEL SECTOR PUBLICO (NUEVA)</v>
          </cell>
        </row>
        <row r="423">
          <cell r="B423" t="str">
            <v>5-02-01-00-00</v>
          </cell>
          <cell r="C423" t="str">
            <v>DONACIONES A UNIDADES DEL GOBIERNO CENTRAL (NUEVA)</v>
          </cell>
        </row>
        <row r="424">
          <cell r="B424" t="str">
            <v>5-02-01-01-00</v>
          </cell>
          <cell r="C424" t="str">
            <v>DONACIONES A INSTITUCIONES DE LA ADMINISTRACION CENTRAL</v>
          </cell>
        </row>
        <row r="425">
          <cell r="B425" t="str">
            <v>5-02-01-02-00</v>
          </cell>
          <cell r="C425" t="str">
            <v>DONACIONES A INSTITUCIONES DESCENTRALIZADAS</v>
          </cell>
        </row>
        <row r="426">
          <cell r="B426" t="str">
            <v>5-02-01-03-00</v>
          </cell>
          <cell r="C426" t="str">
            <v>DONACIONES A INSTITUCIONES DE LA SEGURIDAD SOCIAL</v>
          </cell>
        </row>
        <row r="427">
          <cell r="B427" t="str">
            <v>5-02-02-00-00</v>
          </cell>
          <cell r="C427" t="str">
            <v>DONACIONES A GOBIERNOS LOCALES</v>
          </cell>
        </row>
        <row r="428">
          <cell r="B428" t="str">
            <v>5-02-03-00-00</v>
          </cell>
          <cell r="C428" t="str">
            <v>DONACIONES A OTRAS INSTITUCIONES PUBLICAS FINANCIERAS NO EMPRESARIALES</v>
          </cell>
        </row>
        <row r="429">
          <cell r="B429" t="str">
            <v>5-02-04-00-00</v>
          </cell>
          <cell r="C429" t="str">
            <v>SUBSIDIOS A EMPRESAS PUBLICAS</v>
          </cell>
        </row>
        <row r="430">
          <cell r="B430" t="str">
            <v>5-03-00-00-00</v>
          </cell>
          <cell r="C430" t="str">
            <v>TRANSFERENCIAS CORRIENTES SECTOR EXTERNO (53000-00)</v>
          </cell>
        </row>
        <row r="431">
          <cell r="B431" t="str">
            <v>5-03-01-00-00</v>
          </cell>
          <cell r="C431" t="str">
            <v>DONACIONES A GOBIERNOS EXTRANJEROS</v>
          </cell>
        </row>
        <row r="432">
          <cell r="B432" t="str">
            <v>5-03-02-00-00</v>
          </cell>
          <cell r="C432" t="str">
            <v>TRANSFERENCIAS CORR. SECTOR EXTERNO (53200-00)</v>
          </cell>
        </row>
        <row r="433">
          <cell r="B433" t="str">
            <v>5-04-00-00-00</v>
          </cell>
          <cell r="C433" t="str">
            <v>TRANSFERENCIAS DE CAPITAL AL SECTOR PRIVADO (NUEVA)</v>
          </cell>
        </row>
        <row r="434">
          <cell r="B434" t="str">
            <v>5-04-01-00-00</v>
          </cell>
          <cell r="C434" t="str">
            <v>PRESTACIONES DE ASISTENCIA SOCIAL (NUEVA)</v>
          </cell>
        </row>
        <row r="435">
          <cell r="B435" t="str">
            <v>5-04-01-01-00</v>
          </cell>
          <cell r="C435" t="str">
            <v>AYUDA SOCIAL A PERSONAS</v>
          </cell>
        </row>
        <row r="436">
          <cell r="B436" t="str">
            <v>5-04-02-00-00</v>
          </cell>
          <cell r="C436" t="str">
            <v>DONACIONES A ASOCIACIONES CIVILES SIN FINES DE LUCRO</v>
          </cell>
        </row>
        <row r="437">
          <cell r="B437" t="str">
            <v>5-05-00-00-00</v>
          </cell>
          <cell r="C437" t="str">
            <v>TRANSFERENCIAS DE CAPITAL A UNIDADES DEL SECTOR PUBLICO (NUEVA)</v>
          </cell>
        </row>
        <row r="438">
          <cell r="B438" t="str">
            <v>5-05-01-00-00</v>
          </cell>
          <cell r="C438" t="str">
            <v>DONACIONES A UNIDADES DEL GOBIERNO CENTRAL (NUEVA)</v>
          </cell>
        </row>
        <row r="439">
          <cell r="B439" t="str">
            <v>5-05-01-01-00</v>
          </cell>
          <cell r="C439" t="str">
            <v>DONACIONES A INSTITUCIONES DE LA ADMINISTRACION CENTRAL</v>
          </cell>
        </row>
        <row r="440">
          <cell r="B440" t="str">
            <v>5-05-01-02-00</v>
          </cell>
          <cell r="C440" t="str">
            <v>DONACIONES A INSTITUCIONES DESCENTRALIZADAS</v>
          </cell>
        </row>
        <row r="441">
          <cell r="B441" t="str">
            <v>5-05-02-00-00</v>
          </cell>
          <cell r="C441" t="str">
            <v>DONACIONES A GOBIERNOS LOCALES</v>
          </cell>
        </row>
        <row r="442">
          <cell r="B442" t="str">
            <v>5-05-03-00-00</v>
          </cell>
          <cell r="C442" t="str">
            <v>DONACIONES A OTRAS INSTITUCIONES PUBLICAS FINANCIERAS</v>
          </cell>
        </row>
        <row r="443">
          <cell r="B443" t="str">
            <v>5-05-04-00-00</v>
          </cell>
          <cell r="C443" t="str">
            <v>SUBSIDIOS A EMPRESAS PUBLICAS</v>
          </cell>
        </row>
        <row r="444">
          <cell r="B444" t="str">
            <v>5-06-00-00-00</v>
          </cell>
          <cell r="C444" t="str">
            <v>TRANSFERENCIAS DE CAPITAL AL SECTOR EXTERNO</v>
          </cell>
        </row>
        <row r="445">
          <cell r="B445" t="str">
            <v>5-06-01-00-00</v>
          </cell>
          <cell r="C445" t="str">
            <v>DONACIONES A GOBIERNOS EXTRANJEROS</v>
          </cell>
        </row>
        <row r="446">
          <cell r="B446" t="str">
            <v>5-06-02-00-00</v>
          </cell>
          <cell r="C446" t="str">
            <v>DONACIONES A ORGANISMOS INTERNACIONALES</v>
          </cell>
        </row>
        <row r="447">
          <cell r="B447" t="str">
            <v>5-01-00-00-00</v>
          </cell>
          <cell r="C447" t="str">
            <v>TRANSFERENCIAS CORRIENTES AL SECTOR PRIVADO (51000-00)</v>
          </cell>
        </row>
        <row r="448">
          <cell r="B448" t="str">
            <v>5-01-02-00-00</v>
          </cell>
          <cell r="C448" t="str">
            <v>PRESTACIONES DE ASISTENCIA SOCIAL (51200-00)</v>
          </cell>
        </row>
        <row r="449">
          <cell r="B449" t="str">
            <v>5-01-02-01-00</v>
          </cell>
          <cell r="C449" t="str">
            <v>BECAS (51210-00)</v>
          </cell>
        </row>
        <row r="450">
          <cell r="B450" t="str">
            <v>5-01-02-01-01</v>
          </cell>
          <cell r="C450" t="str">
            <v>BECAS</v>
          </cell>
        </row>
        <row r="451">
          <cell r="B451" t="str">
            <v>5-01-02-01-02</v>
          </cell>
          <cell r="C451" t="str">
            <v>BECAS ESTUDIANTES DE PREGRADO (PLAN REFORMA)</v>
          </cell>
        </row>
        <row r="452">
          <cell r="B452" t="str">
            <v>5-01-02-01-03</v>
          </cell>
          <cell r="C452" t="str">
            <v>BECAS CONVENIO MINISTERIO SALUD -IHSS-UNAH</v>
          </cell>
        </row>
        <row r="453">
          <cell r="B453" t="str">
            <v>5-01-02-01-04</v>
          </cell>
          <cell r="C453" t="str">
            <v>BECAS DE ACTUALIZACION Y CAPACITACION DOCENTE</v>
          </cell>
        </row>
        <row r="454">
          <cell r="B454" t="str">
            <v>5-01-02-01-05</v>
          </cell>
          <cell r="C454" t="str">
            <v>BECAS EXCELENCIA ACADEMICA</v>
          </cell>
        </row>
        <row r="455">
          <cell r="B455" t="str">
            <v>5-01-02-01-06</v>
          </cell>
          <cell r="C455" t="str">
            <v>BECAS PARA HIJOS DE LOS TRABAJADORES</v>
          </cell>
        </row>
        <row r="456">
          <cell r="B456" t="str">
            <v>5-01-02-01-07</v>
          </cell>
          <cell r="C456" t="str">
            <v>BECAS POST GRADO ECONOMIA</v>
          </cell>
        </row>
        <row r="457">
          <cell r="B457" t="str">
            <v>5-01-02-01-08</v>
          </cell>
          <cell r="C457" t="str">
            <v>BECAS POST-GRADO DE TRABAJO SOCIAL</v>
          </cell>
        </row>
        <row r="458">
          <cell r="B458" t="str">
            <v>5-01-02-01-09</v>
          </cell>
          <cell r="C458" t="str">
            <v>BECAS PROFESIONALIZANTES DOCENTE (PLAN DE REFORMA)</v>
          </cell>
        </row>
        <row r="459">
          <cell r="B459" t="str">
            <v>5-01-02-01-10</v>
          </cell>
          <cell r="C459" t="str">
            <v>PRESTAMOS A ESTUDIANTES</v>
          </cell>
        </row>
        <row r="460">
          <cell r="B460" t="str">
            <v>5-01-02-01-11</v>
          </cell>
          <cell r="C460" t="str">
            <v>BECAS TALLERES EMPLEADOS A ESTUDIANTES</v>
          </cell>
        </row>
        <row r="461">
          <cell r="B461" t="str">
            <v>5-01-02-01-12</v>
          </cell>
          <cell r="C461" t="str">
            <v>BECAS EXTERNAS DE INVESTIGACION</v>
          </cell>
        </row>
        <row r="462">
          <cell r="B462" t="str">
            <v>5-01-02-01-13</v>
          </cell>
          <cell r="C462" t="str">
            <v>BECAS SUSTANTIVAS DE INVESTIGACIÓN</v>
          </cell>
        </row>
        <row r="463">
          <cell r="B463" t="str">
            <v>5-01-02-01-14</v>
          </cell>
          <cell r="C463" t="str">
            <v>BECAS DE INVEST, PARA ESTUD. DE PREGRADO</v>
          </cell>
        </row>
        <row r="464">
          <cell r="B464" t="str">
            <v>5-01-02-01-15</v>
          </cell>
          <cell r="C464" t="str">
            <v>BECAS DE INVEST. PARA DOC.DE POST-GRADO</v>
          </cell>
        </row>
        <row r="465">
          <cell r="B465" t="str">
            <v>5-01-02-01-16</v>
          </cell>
          <cell r="C465" t="str">
            <v>BECAS BÁSICAS DE INVESTIGACIÓN</v>
          </cell>
        </row>
        <row r="466">
          <cell r="B466" t="str">
            <v>5-01-02-01-17</v>
          </cell>
          <cell r="C466" t="str">
            <v>BECAS RELEVO GENERACIONAL</v>
          </cell>
        </row>
        <row r="467">
          <cell r="B467" t="str">
            <v>5-01-02-01-18</v>
          </cell>
          <cell r="C467" t="str">
            <v>BECAS DE EQUIDAD</v>
          </cell>
        </row>
        <row r="468">
          <cell r="B468" t="str">
            <v>5-01-02-01-19</v>
          </cell>
          <cell r="C468" t="str">
            <v>PREMIOS AL INVESTIGADOR</v>
          </cell>
        </row>
        <row r="469">
          <cell r="B469" t="str">
            <v>5-01-02-01-20</v>
          </cell>
          <cell r="C469" t="str">
            <v>BECAS DE INV. PARA ESTUDIANTES DE POSTGRADO</v>
          </cell>
        </row>
        <row r="470">
          <cell r="B470" t="str">
            <v>5-01-02-01-21</v>
          </cell>
          <cell r="C470" t="str">
            <v>Becas Especiales de Investigación</v>
          </cell>
        </row>
        <row r="471">
          <cell r="B471" t="str">
            <v>5-01-02-01-22</v>
          </cell>
          <cell r="C471" t="str">
            <v>Préstamos Educativos</v>
          </cell>
        </row>
        <row r="472">
          <cell r="B472" t="str">
            <v>5-01-02-02-00</v>
          </cell>
          <cell r="C472" t="str">
            <v>AYUDA SOCIALES A PERSONAS</v>
          </cell>
        </row>
        <row r="473">
          <cell r="B473" t="str">
            <v>5-01-02-02-01</v>
          </cell>
          <cell r="C473" t="str">
            <v>PREMIO INVESTIGADOR LARGA TRAYECTORIA</v>
          </cell>
        </row>
        <row r="474">
          <cell r="B474" t="str">
            <v>5-01-02-02-02</v>
          </cell>
          <cell r="C474" t="str">
            <v>PREMIOS AL INVESTIGADOR</v>
          </cell>
        </row>
        <row r="475">
          <cell r="B475" t="str">
            <v>5-01-02-02-03</v>
          </cell>
          <cell r="C475" t="str">
            <v>PREMIOS A ESTUDIANTES DE SECUNDARIA</v>
          </cell>
        </row>
        <row r="476">
          <cell r="B476" t="str">
            <v>5-01-02-02-04</v>
          </cell>
          <cell r="C476" t="str">
            <v>SUBSIDIOS CORO DE LA UNAH</v>
          </cell>
        </row>
        <row r="477">
          <cell r="B477" t="str">
            <v>5-01-02-02-05</v>
          </cell>
          <cell r="C477" t="str">
            <v>SUBSIDIOS ESCUELA RAMON AMAYA AMADOR</v>
          </cell>
        </row>
        <row r="478">
          <cell r="B478" t="str">
            <v>5-01-02-02-06</v>
          </cell>
          <cell r="C478" t="str">
            <v>SUBVENCION A EMPLEADOS</v>
          </cell>
        </row>
        <row r="479">
          <cell r="B479" t="str">
            <v>5-01-02-02-07</v>
          </cell>
          <cell r="C479" t="str">
            <v>SUBVENCION AL SINDICATO</v>
          </cell>
        </row>
        <row r="480">
          <cell r="B480" t="str">
            <v>5-01-02-02-08</v>
          </cell>
          <cell r="C480" t="str">
            <v>SUBVENCION DEPORTIVA</v>
          </cell>
        </row>
        <row r="481">
          <cell r="B481" t="str">
            <v>5-01-02-02-09</v>
          </cell>
          <cell r="C481" t="str">
            <v>GRATIFICACIONES A PARTICULARES</v>
          </cell>
        </row>
        <row r="482">
          <cell r="B482" t="str">
            <v>5-01-02-02-10</v>
          </cell>
          <cell r="C482" t="str">
            <v>GRATIFIC.PARTICULAR (PREMIOS ARTES)</v>
          </cell>
        </row>
        <row r="483">
          <cell r="B483" t="str">
            <v>5-01-02-02-11</v>
          </cell>
          <cell r="C483" t="str">
            <v>AYUDAS SOCIALES A PERSONAS</v>
          </cell>
        </row>
        <row r="484">
          <cell r="B484" t="str">
            <v>5-01-02-02-12</v>
          </cell>
          <cell r="C484" t="str">
            <v>GRATIFICACIOENS A PARTIC.(PREMIOS AL FESTIVAL</v>
          </cell>
        </row>
        <row r="485">
          <cell r="B485" t="str">
            <v>5-01-02-02-13</v>
          </cell>
          <cell r="C485" t="str">
            <v>PREMIO IDEAS SOBRE TECNOLOGIAS E INNOVACION</v>
          </cell>
        </row>
        <row r="486">
          <cell r="B486" t="str">
            <v>5-01-02-02-14</v>
          </cell>
          <cell r="C486" t="str">
            <v>Premio Ciencia y Tecnología</v>
          </cell>
        </row>
        <row r="487">
          <cell r="B487" t="str">
            <v>5-01-02-02-15</v>
          </cell>
          <cell r="C487" t="str">
            <v>Premio Mejoramiento y Calidad de Vida</v>
          </cell>
        </row>
        <row r="488">
          <cell r="B488" t="str">
            <v>5-01-02-02-16</v>
          </cell>
          <cell r="C488" t="str">
            <v>Larga Trayectoria</v>
          </cell>
        </row>
        <row r="489">
          <cell r="B489" t="str">
            <v>5-01-02-02-17</v>
          </cell>
          <cell r="C489" t="str">
            <v>Investigador en Consolidación</v>
          </cell>
        </row>
        <row r="490">
          <cell r="B490" t="str">
            <v>5-01-02-02-18</v>
          </cell>
          <cell r="C490" t="str">
            <v>Investigador en Formación Profesor</v>
          </cell>
        </row>
        <row r="491">
          <cell r="B491" t="str">
            <v>5-01-02-02-19</v>
          </cell>
          <cell r="C491" t="str">
            <v>Investigador en Formación Estudiante</v>
          </cell>
        </row>
        <row r="492">
          <cell r="B492" t="str">
            <v>5-01-02-02-20</v>
          </cell>
          <cell r="C492" t="str">
            <v>Profesor Investigador</v>
          </cell>
        </row>
        <row r="493">
          <cell r="B493" t="str">
            <v>5-01-02-02-21</v>
          </cell>
          <cell r="C493" t="str">
            <v>Estudiante Investigador</v>
          </cell>
        </row>
        <row r="494">
          <cell r="B494" t="str">
            <v>5-01-02-02-22</v>
          </cell>
          <cell r="C494" t="str">
            <v>Premio Ensayo Sobre Investigación, Transferencia Tecnológica</v>
          </cell>
        </row>
        <row r="495">
          <cell r="B495" t="str">
            <v>5-01-02-02-23</v>
          </cell>
          <cell r="C495" t="str">
            <v>Premio a la Innovación en la Gestión de la Investigación.</v>
          </cell>
        </row>
        <row r="496">
          <cell r="B496" t="str">
            <v>5-01-02-02-24</v>
          </cell>
          <cell r="C496" t="str">
            <v>AYUDA SOCIALES A PERSONAS (MAESTRIA FIL. Y LETRAS)</v>
          </cell>
        </row>
        <row r="497">
          <cell r="B497" t="str">
            <v>5-01-02-02-25</v>
          </cell>
          <cell r="C497" t="str">
            <v>AYUDA SOCIALES A PERSONAS (MAESTRIA CIEN. POL. Y CINE)</v>
          </cell>
        </row>
        <row r="498">
          <cell r="B498" t="str">
            <v>5-01-02-03-00</v>
          </cell>
          <cell r="C498" t="str">
            <v>PRESTAMO A ESTUDIANTES</v>
          </cell>
        </row>
        <row r="499">
          <cell r="B499" t="str">
            <v>5-01-02-03-01</v>
          </cell>
          <cell r="C499" t="str">
            <v>Inscripcion a Congresos y Cursos</v>
          </cell>
        </row>
        <row r="500">
          <cell r="B500" t="str">
            <v>5-03-00-00-00</v>
          </cell>
          <cell r="C500" t="str">
            <v>TRANSFERENCIAS CORRIENTES SECTOR EXTERNO (53000-00)</v>
          </cell>
        </row>
        <row r="501">
          <cell r="B501" t="str">
            <v>5-03-02-00-00</v>
          </cell>
          <cell r="C501" t="str">
            <v>TRANSFERENCIAS CORR. SECTOR EXTERNO (53200-00)</v>
          </cell>
        </row>
        <row r="502">
          <cell r="B502" t="str">
            <v>5-03-02-01-00</v>
          </cell>
          <cell r="C502" t="str">
            <v>DONACIONES A ORG. INTERNAC. CUOTAS ORDINARIAS (53210-00)</v>
          </cell>
        </row>
        <row r="503">
          <cell r="B503" t="str">
            <v>5-03-02-01-01</v>
          </cell>
          <cell r="C503" t="str">
            <v>UNION DE UNIVERSIDADES DE LA UDUAL</v>
          </cell>
        </row>
        <row r="504">
          <cell r="B504" t="str">
            <v>5-03-02-01-02</v>
          </cell>
          <cell r="C504" t="str">
            <v>CONS. UNAH INTER-AMERICANA DES. ECONOMICO SOC.</v>
          </cell>
        </row>
        <row r="505">
          <cell r="B505" t="str">
            <v>5-03-02-01-03</v>
          </cell>
          <cell r="C505" t="str">
            <v>MEMBRESIA ASOC. PANAM. DE CREDITO EDUC.</v>
          </cell>
        </row>
        <row r="506">
          <cell r="B506" t="str">
            <v>5-03-02-01-04</v>
          </cell>
          <cell r="C506" t="str">
            <v>SECRETARIA GENERAL CSUCA</v>
          </cell>
        </row>
        <row r="507">
          <cell r="B507" t="str">
            <v>5-03-02-01-05</v>
          </cell>
          <cell r="C507" t="str">
            <v>ANCIAMIENTO GASTOS CORRIENTES (FLACSO)</v>
          </cell>
        </row>
        <row r="508">
          <cell r="B508" t="str">
            <v>5-03-02-01-06</v>
          </cell>
          <cell r="C508" t="str">
            <v>CONT. PARA ORG. DE LA CEDE C.A. DE ACREDIT. DE POST-GRADOS</v>
          </cell>
        </row>
        <row r="509">
          <cell r="B509" t="str">
            <v>5-03-02-01-07</v>
          </cell>
          <cell r="C509" t="str">
            <v>APORTES A LA FUNDACION PRO ARTE Y CULTURA (FUNDARTE)</v>
          </cell>
        </row>
        <row r="510">
          <cell r="B510" t="str">
            <v>5-03-02-01-11</v>
          </cell>
          <cell r="C510" t="str">
            <v>ASOCIACION DE T.V. IBEROAMERICANA EDUCATIVA</v>
          </cell>
        </row>
        <row r="511">
          <cell r="B511" t="str">
            <v>5-03-02-01-12</v>
          </cell>
          <cell r="C511" t="str">
            <v>MEMBRECIA DE LA RLB</v>
          </cell>
        </row>
        <row r="512">
          <cell r="B512" t="str">
            <v>5-03-02-01-13</v>
          </cell>
          <cell r="C512" t="str">
            <v>ORGANISMOS DE DEFENSA DE LOS DERECHOS HUMANOS</v>
          </cell>
        </row>
        <row r="513">
          <cell r="B513" t="str">
            <v>5-03-02-01-14</v>
          </cell>
          <cell r="C513" t="str">
            <v>MEMBRECIA HINARI</v>
          </cell>
        </row>
        <row r="514">
          <cell r="B514" t="str">
            <v>5-03-02-01-15</v>
          </cell>
          <cell r="C514" t="str">
            <v>AGENCIA DE ACREDITACION CA DE POSTGRADO</v>
          </cell>
        </row>
        <row r="515">
          <cell r="B515" t="str">
            <v>5-03-02-01-16</v>
          </cell>
          <cell r="C515" t="str">
            <v>MEMBRECIA (RED INCA)</v>
          </cell>
        </row>
        <row r="516">
          <cell r="B516" t="str">
            <v>5-03-02-01-17</v>
          </cell>
          <cell r="C516" t="str">
            <v>MEMBRECIA (RED PILA)</v>
          </cell>
        </row>
        <row r="517">
          <cell r="B517" t="str">
            <v>6-00-00-00-00</v>
          </cell>
          <cell r="C517" t="str">
            <v>ACTIVOS FINANCIEROS (60000-00)</v>
          </cell>
        </row>
        <row r="518">
          <cell r="B518" t="str">
            <v>6-01-00-00-00</v>
          </cell>
          <cell r="C518" t="str">
            <v>PARTICIPACION DE CAPITAL Y COMPRA DE ACCIONES (NUEVA)</v>
          </cell>
        </row>
        <row r="519">
          <cell r="B519" t="str">
            <v>6-01-01-00-00</v>
          </cell>
          <cell r="C519" t="str">
            <v>APORTES DE CAPITAL A EMPRESAS PRIVADAS (NUEVA)</v>
          </cell>
        </row>
        <row r="520">
          <cell r="B520" t="str">
            <v>6-01-01-01-00</v>
          </cell>
          <cell r="C520" t="str">
            <v>APORTES DE CAPITAL A EMPRESA PRIVADA NO FINANCIERA</v>
          </cell>
        </row>
        <row r="521">
          <cell r="B521" t="str">
            <v>6-01-01-02-00</v>
          </cell>
          <cell r="C521" t="str">
            <v>APORTES DE CAPITAL A EMPRESAS PRIVADAS FINANCIERAS</v>
          </cell>
        </row>
        <row r="522">
          <cell r="B522" t="str">
            <v>6-01-02-00-00</v>
          </cell>
          <cell r="C522" t="str">
            <v>APORTES DE CAPITAL A EMPRESAS PUBLICAS NACIONALES (NUEVA)</v>
          </cell>
        </row>
        <row r="523">
          <cell r="B523" t="str">
            <v>6-01-02-01-00</v>
          </cell>
          <cell r="C523" t="str">
            <v>APORTES DE CAPITAL A EMPRESAS PUBLICAS NO FINANCIERAS</v>
          </cell>
        </row>
        <row r="524">
          <cell r="B524" t="str">
            <v>6-01-02-02-00</v>
          </cell>
          <cell r="C524" t="str">
            <v>APORTES DE CAPITAL A EMPRESAS PUBLICAS FINANCIERAS</v>
          </cell>
        </row>
        <row r="525">
          <cell r="B525" t="str">
            <v>6-01-03-00-00</v>
          </cell>
          <cell r="C525" t="str">
            <v>APORTES DE CAPITAL A ORGANISMOS INTERNACIONALES</v>
          </cell>
        </row>
        <row r="526">
          <cell r="B526" t="str">
            <v>6-01-04-00-00</v>
          </cell>
          <cell r="C526" t="str">
            <v>APOTES DE CAPITAL A OTROAS ORGANIZACIONES DE SECTOR EXTERNO</v>
          </cell>
        </row>
        <row r="527">
          <cell r="B527" t="str">
            <v>6-02-00-00-00</v>
          </cell>
          <cell r="C527" t="str">
            <v>PRESTAMOS A CORTO PLAZO (NUEVA)</v>
          </cell>
        </row>
        <row r="528">
          <cell r="B528" t="str">
            <v>6-02-01-00-00</v>
          </cell>
          <cell r="C528" t="str">
            <v>PRESTAMOS A CORTO PLAZO AL SECTOR PRIVADO (NUEVA)</v>
          </cell>
        </row>
        <row r="529">
          <cell r="B529" t="str">
            <v>6-02-01-01-00</v>
          </cell>
          <cell r="C529" t="str">
            <v>PRESTAMOS A CORTO PLAZO A PERSONAS</v>
          </cell>
        </row>
        <row r="530">
          <cell r="B530" t="str">
            <v>6-02-01-02-00</v>
          </cell>
          <cell r="C530" t="str">
            <v>PRESTAMOS A CORTO PLAZO A INSITUCIONES PRIVADAS SIN FINES DE LUCRO</v>
          </cell>
        </row>
        <row r="531">
          <cell r="B531" t="str">
            <v>6-02-02-00-00</v>
          </cell>
          <cell r="C531" t="str">
            <v>PRESTAMOS A CORTO PLAZO A GOBIERNO CENTRAL</v>
          </cell>
        </row>
        <row r="532">
          <cell r="B532" t="str">
            <v>6-02-03-00-00</v>
          </cell>
          <cell r="C532" t="str">
            <v>PRESTAMOS A CORTO PLAZO A GOBIERNOS LOCALES</v>
          </cell>
        </row>
        <row r="533">
          <cell r="B533" t="str">
            <v>6-02-04-00-00</v>
          </cell>
          <cell r="C533" t="str">
            <v>PRESTAMOS A CORTO PLAZO A OTRAS INSTITUCIONES PUBLICAS FINANCIERAS</v>
          </cell>
        </row>
        <row r="534">
          <cell r="B534" t="str">
            <v>6-02-05-00-00</v>
          </cell>
          <cell r="C534" t="str">
            <v>PRESTAMOS A CORTO PLAZO A EMPRESAS PUBLICAS NO FINANCIERAS</v>
          </cell>
        </row>
        <row r="535">
          <cell r="B535" t="str">
            <v>6-02-06-00-00</v>
          </cell>
          <cell r="C535" t="str">
            <v>PRESTAMOS A CORTO PLAZO AL SECTOR EXTERNO</v>
          </cell>
        </row>
        <row r="536">
          <cell r="B536" t="str">
            <v>6-03-00-00-00</v>
          </cell>
          <cell r="C536" t="str">
            <v>PRESTAMOS A LARGO PLAZO</v>
          </cell>
        </row>
        <row r="537">
          <cell r="B537" t="str">
            <v>6-03-01-00-00</v>
          </cell>
          <cell r="C537" t="str">
            <v>PRESTAMOS A LARGO PLAZO AL SECTOR PRIVADO</v>
          </cell>
        </row>
        <row r="538">
          <cell r="B538" t="str">
            <v>6-03-02-00-00</v>
          </cell>
          <cell r="C538" t="str">
            <v>PRESTAMOS A LARGO PLAZO AL GOBIERNO CENTRAL</v>
          </cell>
        </row>
        <row r="539">
          <cell r="B539" t="str">
            <v>6-03-03-00-00</v>
          </cell>
          <cell r="C539" t="str">
            <v>PRESTAMOS A LARGO PLAZO A GOBIERNOS LOCALES</v>
          </cell>
        </row>
        <row r="540">
          <cell r="B540" t="str">
            <v>6-03-04-00-00</v>
          </cell>
          <cell r="C540" t="str">
            <v>PRESTAMOS A LARGO PLAZO A OTRAS INSTITUCIONES PUBLICAS FINANCIERAS</v>
          </cell>
        </row>
        <row r="541">
          <cell r="B541" t="str">
            <v>6-03-05-00-00</v>
          </cell>
          <cell r="C541" t="str">
            <v>PRESTAMOS A LARGO PLAZO A EMPRESAS PUBLICAS</v>
          </cell>
        </row>
        <row r="542">
          <cell r="B542" t="str">
            <v>6-04-00-00-00</v>
          </cell>
          <cell r="C542" t="str">
            <v>TITULOS Y VALORES</v>
          </cell>
        </row>
        <row r="543">
          <cell r="B543" t="str">
            <v>6-04-02-00-00</v>
          </cell>
          <cell r="C543" t="str">
            <v>TIT. Y VAL. A LARGO PLAZO (RESERVA 10% DIFERENCIAL VTA. DE BONOS)</v>
          </cell>
        </row>
        <row r="544">
          <cell r="B544" t="str">
            <v>7-00-00-00-00</v>
          </cell>
          <cell r="C544" t="str">
            <v>DEUDA Y OTROS PASIVOS (70000-00)</v>
          </cell>
        </row>
        <row r="545">
          <cell r="B545" t="str">
            <v>7-01-00-00-00</v>
          </cell>
          <cell r="C545" t="str">
            <v>SERVICIO DE LA DEUDA PUBLICA A INTERNA A CORTO PLAZO (71000-00)</v>
          </cell>
        </row>
        <row r="546">
          <cell r="B546" t="str">
            <v>7-01-01-00-00</v>
          </cell>
          <cell r="C546" t="str">
            <v>AMORTIZACION DE LA DEUDA PUBLICA CORTO PLAZO (71100-00)</v>
          </cell>
        </row>
        <row r="547">
          <cell r="B547" t="str">
            <v>7-01-01-01-00</v>
          </cell>
          <cell r="C547" t="str">
            <v>GTOS DEVENG. Y NO PAGADOS CORRES.AL EJERC.ANTERIOR</v>
          </cell>
        </row>
        <row r="548">
          <cell r="B548" t="str">
            <v>7-01-01-02-00</v>
          </cell>
          <cell r="C548" t="str">
            <v>DEUDA EMPELADOS UNAH</v>
          </cell>
        </row>
        <row r="549">
          <cell r="B549" t="str">
            <v>7-01-01-03-00</v>
          </cell>
          <cell r="C549" t="str">
            <v>DEFICI ACTUARIAL INPREUNAH</v>
          </cell>
        </row>
        <row r="550">
          <cell r="B550" t="str">
            <v>7-01-01-04-00</v>
          </cell>
          <cell r="C550" t="str">
            <v>DEUDA IMPREUNAH A¥OS ANTERIORES.</v>
          </cell>
        </row>
        <row r="551">
          <cell r="B551" t="str">
            <v>7-01-01-05-00</v>
          </cell>
          <cell r="C551" t="str">
            <v>AMORTIZACIÓN PRÉSTAMOS A LARGO PLAZO</v>
          </cell>
        </row>
        <row r="552">
          <cell r="B552" t="str">
            <v>7-01-02-00-00</v>
          </cell>
          <cell r="C552" t="str">
            <v>INTERESES DE LA DEUDA PUBLICA INTERNA A CORTO PLAZO (NUEVA)</v>
          </cell>
        </row>
        <row r="553">
          <cell r="B553" t="str">
            <v>7-01-02-01-00</v>
          </cell>
          <cell r="C553" t="str">
            <v>INTERESES DE TITULOS Y VALORES</v>
          </cell>
        </row>
        <row r="554">
          <cell r="B554" t="str">
            <v>7-01-02-02-00</v>
          </cell>
          <cell r="C554" t="str">
            <v>INTERESES POR PRESTAMOS DEL SECTOR PRIVADO</v>
          </cell>
        </row>
        <row r="555">
          <cell r="B555" t="str">
            <v>7-01-02-06-00</v>
          </cell>
          <cell r="C555" t="str">
            <v>INTERESES POR PRESTAMOS DE GOBIERNOS LOCALES</v>
          </cell>
        </row>
        <row r="556">
          <cell r="B556" t="str">
            <v>7-01-02-09-00</v>
          </cell>
          <cell r="C556" t="str">
            <v>INTERESES OTRAS DEUDAS A CORTO PLAZO</v>
          </cell>
        </row>
        <row r="557">
          <cell r="B557" t="str">
            <v>7-01-03-00-00</v>
          </cell>
          <cell r="C557" t="str">
            <v>COMISIONES Y OTROS GASTOS DE LA DEUDA PUBLICA INTERNA A CORTO PLAZO</v>
          </cell>
        </row>
        <row r="558">
          <cell r="B558" t="str">
            <v>7-01-04-00-00</v>
          </cell>
          <cell r="C558" t="str">
            <v>INTERESES POR MORA Y MULTAS DE LA DEUDA PUBLICA INTERNA A CORTO PLAZO</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7-02-00-00-00</v>
          </cell>
          <cell r="C561" t="str">
            <v>SERVICIO DE LA DEUDA PUBLICA A INTERNA A LARGO PLAZO (72000-00)</v>
          </cell>
        </row>
        <row r="562">
          <cell r="B562" t="str">
            <v>7-02-01-00-00</v>
          </cell>
          <cell r="C562" t="str">
            <v>AMORTIZACION PRESTAMOS DEL SECTOR PRIVADO (72100-00)</v>
          </cell>
        </row>
        <row r="563">
          <cell r="B563" t="str">
            <v>7-02-01-01-00</v>
          </cell>
          <cell r="C563" t="str">
            <v>ATENCION DEUDAS SALARIALES (AJUSTES SAL.MINIMO) (72110-00)</v>
          </cell>
        </row>
        <row r="564">
          <cell r="B564" t="str">
            <v>7-02-01-01-01</v>
          </cell>
          <cell r="C564" t="str">
            <v>ATENCIONES DEUDAS SALARIALES</v>
          </cell>
        </row>
        <row r="565">
          <cell r="B565" t="str">
            <v>7-02-01-02-00</v>
          </cell>
          <cell r="C565" t="str">
            <v>NEGOCIACION CONTRATO COLECTIVO</v>
          </cell>
        </row>
        <row r="566">
          <cell r="B566" t="str">
            <v>7-02-01-03-00</v>
          </cell>
          <cell r="C566" t="str">
            <v>DEUDA PERSONAL DOCENTE</v>
          </cell>
        </row>
        <row r="567">
          <cell r="B567" t="str">
            <v>7-02-01-04-00</v>
          </cell>
          <cell r="C567" t="str">
            <v>RECLASIFICACION PERSONAL DOCENTE Y ADMON</v>
          </cell>
        </row>
        <row r="568">
          <cell r="B568" t="str">
            <v>7-03-00-00-00</v>
          </cell>
          <cell r="C568" t="str">
            <v>SERVICIO DE LA DEUDA PUBLICA A EXTERNA A CORTO PLAZO</v>
          </cell>
        </row>
        <row r="569">
          <cell r="B569" t="str">
            <v>7-03-01-00-00</v>
          </cell>
          <cell r="C569" t="str">
            <v>AMORTIZACION DE LA DEUDA PUBLICA EXTERNA A CORTO PLAZO</v>
          </cell>
        </row>
        <row r="570">
          <cell r="B570" t="str">
            <v>7-03-02-00-00</v>
          </cell>
          <cell r="C570" t="str">
            <v>INTERESES DE LA DEUDA PUBLICA EXTERNA A CORTO PLAZO</v>
          </cell>
        </row>
        <row r="571">
          <cell r="B571" t="str">
            <v>7-03-03-00-00</v>
          </cell>
          <cell r="C571" t="str">
            <v>COMISIONES Y OTROS GASTOS DE LA DEUDA PUBLICA EXTERNA A CORTO PLAZO</v>
          </cell>
        </row>
        <row r="572">
          <cell r="B572" t="str">
            <v>7-04-00-00-00</v>
          </cell>
          <cell r="C572" t="str">
            <v>SERVICIO DE LA DEUDA PUBLICA A EXTERNA A LARGO PLAZO</v>
          </cell>
        </row>
        <row r="573">
          <cell r="B573" t="str">
            <v>7-04-01-00-00</v>
          </cell>
          <cell r="C573" t="str">
            <v>AMORTIZACION DE LA DEUDA PUBLICA EXTERNA A LARGO PLAZO</v>
          </cell>
        </row>
        <row r="574">
          <cell r="B574" t="str">
            <v>7-04-02-00-00</v>
          </cell>
          <cell r="C574" t="str">
            <v>INTERESES DE LA DEUDA PUBLICA EXTERNA A LARGO PLAZO</v>
          </cell>
        </row>
        <row r="575">
          <cell r="B575" t="str">
            <v>7-04-03-00-00</v>
          </cell>
          <cell r="C575" t="str">
            <v>COMISIONES Y OTROS GASTOS DE LA DEUDA PUBLICA EXTERNA A LARGO PLAZO</v>
          </cell>
        </row>
        <row r="576">
          <cell r="B576" t="str">
            <v>7-05-00-00-00</v>
          </cell>
          <cell r="C576" t="str">
            <v>OTRAS OBLIGACIONES A CARGO DEL TESORO</v>
          </cell>
        </row>
        <row r="577">
          <cell r="B577" t="str">
            <v>7-05-01-00-00</v>
          </cell>
          <cell r="C577" t="str">
            <v>AMORTIZACIONES</v>
          </cell>
        </row>
        <row r="578">
          <cell r="B578" t="str">
            <v>7-05-02-00-00</v>
          </cell>
          <cell r="C578" t="str">
            <v>INTERESES</v>
          </cell>
        </row>
        <row r="579">
          <cell r="B579" t="str">
            <v>7-05-03-00-00</v>
          </cell>
          <cell r="C579" t="str">
            <v>COMISIONES</v>
          </cell>
        </row>
        <row r="580">
          <cell r="B580" t="str">
            <v>9-00-00-00-00</v>
          </cell>
          <cell r="C580" t="str">
            <v>OTROS GASTOS</v>
          </cell>
        </row>
        <row r="581">
          <cell r="B581" t="str">
            <v>9-01-00-00-00</v>
          </cell>
          <cell r="C581" t="str">
            <v>INTERESES DE INSTITUCIONES PUBLICAS FINANCIERAS</v>
          </cell>
        </row>
        <row r="582">
          <cell r="B582" t="str">
            <v>9-01-01-00-00</v>
          </cell>
          <cell r="C582" t="str">
            <v>INTERESES POR DEPOSITOS EN CAJA DE AHORRO</v>
          </cell>
        </row>
        <row r="583">
          <cell r="B583" t="str">
            <v>9-01-02-00-00</v>
          </cell>
          <cell r="C583" t="str">
            <v>INTERESES POR DEPOSITOS A PLAZO FIJO</v>
          </cell>
        </row>
        <row r="584">
          <cell r="B584" t="str">
            <v>9-01-03-00-00</v>
          </cell>
          <cell r="C584" t="str">
            <v>INTERESES POR FONDOS COMUNES DE INVERSION</v>
          </cell>
        </row>
        <row r="585">
          <cell r="B585" t="str">
            <v>9-01-04-00-00</v>
          </cell>
          <cell r="C585" t="str">
            <v>OTROS INTERESES</v>
          </cell>
        </row>
      </sheetData>
      <sheetData sheetId="3"/>
      <sheetData sheetId="4"/>
      <sheetData sheetId="5"/>
      <sheetData sheetId="6"/>
      <sheetData sheetId="7"/>
      <sheetData sheetId="8"/>
      <sheetData sheetId="9"/>
      <sheetData sheetId="10"/>
      <sheetData sheetId="11">
        <row r="3">
          <cell r="E3" t="str">
            <v>Correlativo de la Actividad</v>
          </cell>
          <cell r="F3" t="str">
            <v>ACTIVIDADES</v>
          </cell>
        </row>
        <row r="6">
          <cell r="E6" t="str">
            <v>1.a.1</v>
          </cell>
          <cell r="F6" t="str">
            <v>a.1 Realización de investigaciones de mercado que permitan evaluar la pertinencia de los planes de estudio.                                                                                                              a.2 Intitucionalización de comisiones y sub comisiones de desarrollo curricular.</v>
          </cell>
        </row>
        <row r="7">
          <cell r="E7" t="str">
            <v>1.1.1</v>
          </cell>
          <cell r="F7" t="str">
            <v>b.1 Realizar un apoyo de universidades líderes, reformas en los planes y programas de estudio de todas las carreras para ajustarlas al Modelo Educativo de la UNAH y a las exigencias del desarrollo tecnológico, científico y del entorno social.</v>
          </cell>
        </row>
        <row r="8">
          <cell r="E8" t="str">
            <v>2.5.1</v>
          </cell>
          <cell r="F8" t="str">
            <v>b.2 Impartir talleres de capacitación a toda la comunidad docente  sobre los fundamentos y principios del nuevo modelo educativo.                                                       b.3 Promoción e incentivos para la innovación educativa.</v>
          </cell>
        </row>
        <row r="9">
          <cell r="E9" t="str">
            <v>1.1.1</v>
          </cell>
          <cell r="F9" t="str">
            <v>b.3 Ejecución de la ruta del desarrollo curricular en las unidades Académicas.</v>
          </cell>
        </row>
        <row r="10">
          <cell r="F10" t="str">
            <v>Promoción de la obligatoriedad de mantenimiento del sistema de estadísiticas por parte de todas las instancias de gestión académica.</v>
          </cell>
        </row>
        <row r="11">
          <cell r="F11" t="str">
            <v>b.5 Incorporar al menos 15 carreras al nuevo modelo educativo.</v>
          </cell>
        </row>
        <row r="12">
          <cell r="F12" t="str">
            <v>c.1 Actualizar permanentemente los currículos de acuerdo a estudios de pertinencia y de mercado, a realizar y conforme a los planes de mejora del proceso de autoevaluación.</v>
          </cell>
        </row>
        <row r="13">
          <cell r="F13" t="str">
            <v>Inversión para la ejecución de los planes de mejora.</v>
          </cell>
        </row>
        <row r="14">
          <cell r="F14" t="str">
            <v xml:space="preserve">1) Apropiación, alineamiento y articulación de las unidades académicas de la UNAH con los requerimientos del SHACES. </v>
          </cell>
        </row>
        <row r="15">
          <cell r="F15" t="str">
            <v>1) Divulgación de Normas Académicas a toda la comunidad universitaria.                                                                                                                                                                                              2) Edición y publicación.</v>
          </cell>
        </row>
      </sheetData>
      <sheetData sheetId="12">
        <row r="3">
          <cell r="E3" t="str">
            <v>Correlativo de Actividad</v>
          </cell>
          <cell r="F3" t="str">
            <v>ACTIVIDADES</v>
          </cell>
        </row>
        <row r="6">
          <cell r="E6" t="str">
            <v>2.2.2</v>
          </cell>
          <cell r="F6" t="str">
            <v>a.1 Creación y fortalecimiento en las Unidades Académicas, unidades, institutos o comités de investigación científica y de vinculación Universidad-Sociedad.</v>
          </cell>
        </row>
        <row r="7">
          <cell r="F7" t="str">
            <v>b.1 Creación de un programa de formación, capacitación y actualización científica en la Universidad, a través de becas, programas, talleres, cursos y seminarios.</v>
          </cell>
        </row>
        <row r="8">
          <cell r="F8" t="str">
            <v>Inversión institucional para capacitación de docentes.</v>
          </cell>
        </row>
        <row r="9">
          <cell r="F9" t="str">
            <v>Inversión institucional para la incorporación de herramientas informáticas.</v>
          </cell>
        </row>
        <row r="10">
          <cell r="F10" t="str">
            <v>c.1 Realizar reuniones y presentaciones para sociabilizar la aplicación de las políticas de investigación de la UNAH, o de la unidad académica específica inmersa en los procesos de investigación.</v>
          </cell>
        </row>
        <row r="11">
          <cell r="F11" t="str">
            <v>d.1 Crear en la UNAH revistas científicas en la que se publican las investigaciones importantes realizadas.</v>
          </cell>
        </row>
        <row r="12">
          <cell r="F12" t="str">
            <v>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v>
          </cell>
        </row>
        <row r="13">
          <cell r="F13" t="str">
            <v>d.3 Difundir en revistas científicas del exterior aquellos trabajos científicos importantes.</v>
          </cell>
        </row>
        <row r="14">
          <cell r="F14" t="str">
            <v>d.4 realizar presentaciones para la difusión de los trabajos científicos al público en general, especialmente   a los sectores relacionados con los campos de la investigación.</v>
          </cell>
        </row>
        <row r="16">
          <cell r="F16" t="str">
            <v>f.1 Presentación ante las autoridades competentes o un Comité de Gestión Científica los proyectos a desarrollar, ya sea con fondos internos o externos, para su financiamiento.</v>
          </cell>
        </row>
      </sheetData>
      <sheetData sheetId="13">
        <row r="3">
          <cell r="E3" t="str">
            <v>Correlativo de Actividad</v>
          </cell>
          <cell r="F3" t="str">
            <v>ACTIVIDADES</v>
          </cell>
        </row>
        <row r="7">
          <cell r="E7" t="str">
            <v>3.3.3</v>
          </cell>
          <cell r="F7" t="str">
            <v>a.1 Creación y funcionamiento de un Comité de Vinculación en cada unidad académica para que promueva y gestione el desarrollo  de proyectos con la Dirección de Gestión UNAH- Sociedad para contribuir a la solución de problemas en el país.</v>
          </cell>
        </row>
        <row r="9">
          <cell r="F9" t="str">
            <v>c.1 Los Departamentos Académicos y las carreras realizan actividades para socializar y aplicar las políticas de vinculación.</v>
          </cell>
        </row>
        <row r="10">
          <cell r="F10" t="str">
            <v>Los Departamentos Académicos negocian y promueven ls sprobación de convenios en el campo de la vinculación.</v>
          </cell>
        </row>
        <row r="11">
          <cell r="F11"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3">
          <cell r="F13"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sheetData>
      <sheetData sheetId="14">
        <row r="3">
          <cell r="E3" t="str">
            <v>Correlativo de Actividad</v>
          </cell>
          <cell r="F3" t="str">
            <v>ACTIVIDADES</v>
          </cell>
        </row>
        <row r="6">
          <cell r="E6" t="str">
            <v>4.4.4</v>
          </cell>
          <cell r="F6" t="str">
            <v>Inversión para la ejecución del plan de profesionalización docente.</v>
          </cell>
        </row>
        <row r="7">
          <cell r="F7" t="str">
            <v>1) Publicación.</v>
          </cell>
        </row>
        <row r="8">
          <cell r="F8" t="str">
            <v>Socialización e implementación de mecanismos que aseguren el uso del perfil general docente.</v>
          </cell>
        </row>
        <row r="10">
          <cell r="F10" t="str">
            <v>b.2 Aumentar inversión institucional para la oferta de postgrados a los docentes.</v>
          </cell>
        </row>
        <row r="11">
          <cell r="F11" t="str">
            <v>1) Socialización de la evaluación del desempeño a docentes y personal administrativo.                                                                                                                                                                  2) Implementación de la Evaluación del desempeño</v>
          </cell>
        </row>
      </sheetData>
      <sheetData sheetId="15">
        <row r="3">
          <cell r="E3" t="str">
            <v>Correlativo de Actividad</v>
          </cell>
          <cell r="F3" t="str">
            <v>ACTIVIDADES</v>
          </cell>
        </row>
        <row r="6">
          <cell r="E6" t="str">
            <v>5.5.5</v>
          </cell>
          <cell r="F6" t="str">
            <v>a.1 Asesoría técnica e Inversión para la crearción o fortalecimiento de las bases de datos para el seguimiento de los estudiantes, incluyendo información de ingreso, permanencia y egresos.</v>
          </cell>
        </row>
        <row r="7">
          <cell r="F7" t="str">
            <v>a.3 Realizar estudios de mercado para la determinación de la oferta de trabajo y la apertura de nuevas carreras.</v>
          </cell>
        </row>
        <row r="8">
          <cell r="F8" t="str">
            <v>a.4 Fortalecer el sistema de bibliotecas y  crear un sistema virtual para la obtención de documentos y materiales de trabajo de las diferentes carreras.</v>
          </cell>
        </row>
        <row r="9">
          <cell r="F9" t="str">
            <v>a.4 Fortalecer el sistema de bibliotecas y  crear un sistema virtual para la obtención de documentos y materiales de trabajo de las diferentes carreras.</v>
          </cell>
        </row>
        <row r="10">
          <cell r="F10" t="str">
            <v>a.5 Ampliar las áreas recreativas y de estudio para la satisfacción del estudiante de acuerdo al Plan de Desarrollo físico de la Universidad.</v>
          </cell>
        </row>
        <row r="11">
          <cell r="F11" t="str">
            <v>b.1 Mejorar la eficacia y calidad de los servicios estudiantiles.</v>
          </cell>
        </row>
        <row r="12">
          <cell r="F12" t="str">
            <v>Asesoría técnica e Inversión para gestión de sistema de indicadores.</v>
          </cell>
        </row>
        <row r="13">
          <cell r="F13" t="str">
            <v>Asesoría técnica e inversión para integración de bases de datos y acceso a las mismas.</v>
          </cell>
        </row>
        <row r="14">
          <cell r="F14" t="str">
            <v>c.1 fortalecer la reglamentación estudiantil existente y aplicarla eficientemente.</v>
          </cell>
        </row>
      </sheetData>
      <sheetData sheetId="16">
        <row r="3">
          <cell r="E3" t="str">
            <v>Correlativo de Actividad</v>
          </cell>
          <cell r="F3" t="str">
            <v>ACTIVIDADES</v>
          </cell>
        </row>
        <row r="8">
          <cell r="E8" t="str">
            <v>6.6.6</v>
          </cell>
          <cell r="F8" t="str">
            <v>1) Monitoría y evaluación del desarrollo y funcionamiento de la plataforma tecnológica.</v>
          </cell>
        </row>
        <row r="9">
          <cell r="F9" t="str">
            <v>b.1 Mejorar y optimizar el espacio físico de aulas, laboratorios, talleres y oficinas.</v>
          </cell>
        </row>
        <row r="10">
          <cell r="F10" t="str">
            <v>c.1 Mejorar los servicios de tecnología educativa en las diferentes aulas.                                                                                                                                                                                              c.2 Ejecución de plan de capacitación en uso adecuado de equipo.                                                                                                                                                                                                     c.3 Indicadores de desempeño positivos</v>
          </cell>
        </row>
        <row r="11">
          <cell r="F11" t="str">
            <v>a) Regularizar docentes ya contratados para tener un mínimo de docentes a tiempo completo en todas las unidades.                                                                                                    B) Adecuación ó creación de mecanismos de registro y control docente con enfoque integral.</v>
          </cell>
        </row>
        <row r="12">
          <cell r="F12" t="str">
            <v>e.1 Dotar a todas las Unidades Académicas y Administrativas de manuales de procedimientos y toda clase de normativa interna e institucional para el buen funcionamiento y cumplimiento de sus actividades.</v>
          </cell>
        </row>
        <row r="13">
          <cell r="F13" t="str">
            <v>a.1 Diseñar un plan de capacitación para todos los recursos humanos.</v>
          </cell>
        </row>
      </sheetData>
      <sheetData sheetId="17">
        <row r="3">
          <cell r="E3" t="str">
            <v>Correlativo de Actividad</v>
          </cell>
          <cell r="F3" t="str">
            <v>ACTIVIDADES</v>
          </cell>
        </row>
        <row r="7">
          <cell r="E7" t="str">
            <v>7.7.7</v>
          </cell>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8">
          <cell r="F8" t="str">
            <v>a.2 Impulsar la internacionalización de la Universidad, tomando como primera instancia el escenario Centro Americano del CSUCA.</v>
          </cell>
        </row>
        <row r="9">
          <cell r="F9" t="str">
            <v xml:space="preserve">a.1 Realizacion de giras de practicas a diferentes instutuciones y organizaciones del pais </v>
          </cell>
        </row>
        <row r="10">
          <cell r="F10" t="str">
            <v xml:space="preserve">a.1 Realizacion de giras de practicas a diferentes instutuciones y organizaciones del pais </v>
          </cell>
        </row>
        <row r="11">
          <cell r="F11"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2">
          <cell r="F12" t="str">
            <v>b.1 se fortalecerán, promoverán y adoptarán políticas y practicas transparentes para la rendición de cuentas de las unidades académicas.</v>
          </cell>
        </row>
        <row r="13">
          <cell r="F13" t="str">
            <v>b.1  Continuar con practicas transparentes para la rendición de cuentas en Admisiones CURLA.</v>
          </cell>
        </row>
        <row r="14">
          <cell r="F14" t="str">
            <v>c.1 Las unidades académicas respectivas participan permanentemente en sus áreas de conocimiento  en evaluaciones para el mejoramiento de la educación superior en el país.</v>
          </cell>
        </row>
        <row r="15">
          <cell r="F15" t="str">
            <v>c.1 El departamento de Industrias Forestales participara permanentemente en sus áreas del conocimiento  y en evaluaciones para el mejoramiento de la educación superior en el país.</v>
          </cell>
        </row>
        <row r="16">
          <cell r="F16" t="str">
            <v>c.1 El departemento de silvicultura participará permanentemente en sus áreas de conocimiento  en evaluaciones para el mejoramiento de la educación superior en el país.</v>
          </cell>
        </row>
        <row r="17">
          <cell r="F17" t="str">
            <v>c.1 El departemento de silvicultura participará permanentemente en sus áreas de conocimiento  en evaluaciones para el mejoramiento de la educación superior en el país.</v>
          </cell>
        </row>
      </sheetData>
      <sheetData sheetId="18">
        <row r="3">
          <cell r="E3" t="str">
            <v>Correlativo de Actividad</v>
          </cell>
          <cell r="F3" t="str">
            <v>ACTIVIDADES</v>
          </cell>
        </row>
        <row r="6">
          <cell r="E6" t="str">
            <v>8.8.8</v>
          </cell>
          <cell r="F6" t="str">
            <v>a. 1 Analizar el perfil del egresado de las carreras de acuerdo a las demandas laborales de profesionales.</v>
          </cell>
        </row>
        <row r="7">
          <cell r="F7" t="str">
            <v>b.1 Realizar encuestas de satisfacción de los egresados.</v>
          </cell>
        </row>
        <row r="8">
          <cell r="F8" t="str">
            <v>c.1 Realizar encuestas del desempeño laboral de los egresados.</v>
          </cell>
        </row>
        <row r="9">
          <cell r="F9" t="str">
            <v>d.1 IDEM</v>
          </cell>
        </row>
        <row r="10">
          <cell r="F10" t="str">
            <v>e.1 Realizar encuestas de satisfacción comunitaria.</v>
          </cell>
        </row>
      </sheetData>
      <sheetData sheetId="19">
        <row r="3">
          <cell r="E3" t="str">
            <v>Correlativo de Actividad</v>
          </cell>
          <cell r="F3" t="str">
            <v>ACTIVIDADES</v>
          </cell>
        </row>
        <row r="6">
          <cell r="E6" t="str">
            <v>9.9.9</v>
          </cell>
          <cell r="F6" t="str">
            <v>a.1 Socialización e ejecución del proceso de organización y desarrollo de las redes educativas regionales con actores internos y externos a la UNAH.</v>
          </cell>
        </row>
        <row r="8">
          <cell r="F8" t="str">
            <v>a.2 Consolidación y funcionamiento de los institutos tecnológicos de Tela, Gracias  a Dios y Puerto Cortes.</v>
          </cell>
        </row>
        <row r="9">
          <cell r="F9" t="str">
            <v>b.1 Realización de estudios regionalizados de cobertura y equidad en el acceso a la UNAH y de estudios de oferta y demanda de estudios universitarios en cada región educativa.</v>
          </cell>
        </row>
        <row r="10">
          <cell r="F10"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1">
          <cell r="F11" t="str">
            <v>1) Fortalecimiento del Programa de Incentivos a la investigación.                                                                                                                                                                                                              2) Asignación y disponibilidad de recursos subyacientes para la ejecución de dos programas.</v>
          </cell>
        </row>
        <row r="12">
          <cell r="F12" t="str">
            <v>1) Implantación y fortalecimiento de la política de incentivos para la mejora continúa del funcionamiento de las redes educativas regionales.</v>
          </cell>
        </row>
        <row r="13">
          <cell r="F13" t="str">
            <v>b.4 Desarrollar los Módulos del Subsistema de Planificación, M&amp;E. b.5) Implantación en Facultades y CRU's pilotos para hacer pruebas beta con los usuarios. b.6) Depuración del Subsistema. b.7) Implantación del Subsistema en las Facultades y CRU's</v>
          </cell>
        </row>
        <row r="18">
          <cell r="F18" t="str">
            <v>1) Consolidación del programa de formación y capacitación institucional en TIC.                                                                                                                                                                               2)Mantenimiento permanente y sostenido de página web de la UNAH.                                                                                                                                                                                            3) Monitoría y evaluación del Programa de Educación Permanente.</v>
          </cell>
        </row>
        <row r="20">
          <cell r="F20" t="str">
            <v>1) Jornadas de intercambio de experiencias, y presentación de resultados, entre investigadores socio económicos, investigadores de la economía de la cultura, alumnos y comunidad universitaria en general.</v>
          </cell>
        </row>
      </sheetData>
      <sheetData sheetId="20">
        <row r="3">
          <cell r="E3" t="str">
            <v>Correlativo de Actividad</v>
          </cell>
          <cell r="F3" t="str">
            <v>ACTIVIDADES</v>
          </cell>
        </row>
        <row r="7">
          <cell r="E7" t="str">
            <v>10.10.10</v>
          </cell>
          <cell r="F7" t="str">
            <v>2.1  Dar asesoramiento tecnico y juridico                   2.2 recopilacion de datos y documentos.                              2.3 Envio de correspondencia e informacion</v>
          </cell>
        </row>
        <row r="8">
          <cell r="F8" t="str">
            <v>a.3 Según sea el caso, se deben realizar las siguientes actividades o procesos: Revisión; actualización; complementación; inclusión del eje de ética; adecuación curricular; reforma del plan de estudio; nueva oferta educativa.</v>
          </cell>
        </row>
        <row r="9">
          <cell r="F9" t="str">
            <v>b.1 Coordinación con la Direccion Departamental de Educación para la articulación del nivel medio con el nivel universitario en el Caribe Hondureño.</v>
          </cell>
        </row>
      </sheetData>
      <sheetData sheetId="21">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2">
        <row r="3">
          <cell r="E3" t="str">
            <v>Correlativo de Actividad</v>
          </cell>
          <cell r="F3" t="str">
            <v>ACTIVIDADES</v>
          </cell>
        </row>
        <row r="6">
          <cell r="E6" t="str">
            <v>12.12.12</v>
          </cell>
          <cell r="F6" t="str">
            <v xml:space="preserve">1) Socialización de los lineamientos metodológicos.                                                                                                                                                                                                                                       </v>
          </cell>
        </row>
        <row r="7">
          <cell r="F7" t="str">
            <v>2) Jornadas de trabajo (conferencias, exposiciones, talleres, y otros) interdisciplinarias orientadas a la transversalización efectiva y profunda del eje de ética.</v>
          </cell>
        </row>
        <row r="9">
          <cell r="F9" t="str">
            <v>Gestión de convenios y planes de trabajo en ejecución, que fundamentan un ejercicio de las funciones académicas con identidad.</v>
          </cell>
        </row>
        <row r="10">
          <cell r="F10" t="str">
            <v>Inversión para la gestión de los proyectos culturales.</v>
          </cell>
        </row>
        <row r="11">
          <cell r="F11" t="str">
            <v>Promoción activa y efectiva de iniciativas en red.</v>
          </cell>
        </row>
        <row r="12">
          <cell r="F12" t="str">
            <v>Inversión para el desarrollo de iniciativas de incidencia para implementar el Programa LO ESENCIAL.</v>
          </cell>
        </row>
        <row r="13">
          <cell r="F13" t="str">
            <v>Promoción e inversión en encuentros regionales.</v>
          </cell>
        </row>
        <row r="14">
          <cell r="F14" t="str">
            <v>Promoción de aprobación y firma de convenios regionales con socios estratégicos</v>
          </cell>
        </row>
        <row r="15">
          <cell r="F15" t="str">
            <v>Construcción participativa y ejecución en red de proyectos de ciudadanía cultural</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4-03-09-00-01</v>
          </cell>
          <cell r="C374" t="str">
            <v>Sofwares</v>
          </cell>
        </row>
        <row r="375">
          <cell r="B375" t="str">
            <v>4-04-00-00-00</v>
          </cell>
          <cell r="C375" t="str">
            <v>SEMOVIENTES</v>
          </cell>
        </row>
        <row r="376">
          <cell r="B376" t="str">
            <v>4-05-00-00-00</v>
          </cell>
          <cell r="C376" t="str">
            <v>ACTIVOS INTANGIBLES (45000-00)</v>
          </cell>
        </row>
        <row r="377">
          <cell r="B377" t="str">
            <v>4-05-01-00-00</v>
          </cell>
          <cell r="C377" t="str">
            <v>APLICACIONES INFORMATICAS (45100-00)</v>
          </cell>
        </row>
        <row r="378">
          <cell r="B378" t="str">
            <v>4-05-01-01-00</v>
          </cell>
          <cell r="C378" t="str">
            <v>APLICACIONES INFORMATICAS</v>
          </cell>
        </row>
        <row r="379">
          <cell r="B379" t="str">
            <v>4-05-01-02-00</v>
          </cell>
          <cell r="C379" t="str">
            <v>APLICACIONES INFORMATICAS PROYECTO VINCULACION UNAH SOCIEDAD</v>
          </cell>
        </row>
        <row r="380">
          <cell r="B380" t="str">
            <v>4-06-00-00-00</v>
          </cell>
          <cell r="C380" t="str">
            <v>EQUIPO MILITAR Y DE SEGURIDAD</v>
          </cell>
        </row>
        <row r="381">
          <cell r="B381" t="str">
            <v>4-06-01-00-00</v>
          </cell>
          <cell r="C381" t="str">
            <v>EQUIPO MILITAR Y DE SEGURIDAD</v>
          </cell>
        </row>
        <row r="382">
          <cell r="B382" t="str">
            <v>4-07-00-00-00</v>
          </cell>
          <cell r="C382" t="str">
            <v>CONSTRUCCIONES (47000-00)</v>
          </cell>
        </row>
        <row r="383">
          <cell r="B383" t="str">
            <v>4-07-01-00-00</v>
          </cell>
          <cell r="C383" t="str">
            <v>CONSTRUCCIONES ADICIONES Y MEJORA DE EDIF (47100-00)</v>
          </cell>
        </row>
        <row r="384">
          <cell r="B384" t="str">
            <v>4-07-01-01-00</v>
          </cell>
          <cell r="C384" t="str">
            <v>CONSTRUCCIONES Y MEJORAS DE BIENES NACIONALES EN DOMINIO PRIVADO</v>
          </cell>
        </row>
        <row r="385">
          <cell r="B385" t="str">
            <v>4-07-02-00-00</v>
          </cell>
          <cell r="C385" t="str">
            <v>CONSTRUCCIONES Y MEJORAS DE BIENES NACIONALES EN DOMINIO PUBLICO (NUEVA)</v>
          </cell>
        </row>
        <row r="386">
          <cell r="B386" t="str">
            <v>4-07-02-01-00</v>
          </cell>
          <cell r="C386" t="str">
            <v>CONSTRUCCIONES Y MEJORAS DE BIENES EN DOMINIO PUBLICO</v>
          </cell>
        </row>
        <row r="387">
          <cell r="B387" t="str">
            <v>4-07-02-02-00</v>
          </cell>
          <cell r="C387" t="str">
            <v>SUPERVISION DE CONSTRUCCIONES Y MEJORAS EN BIENES EN DOMINIO PUBLICO</v>
          </cell>
        </row>
        <row r="388">
          <cell r="B388" t="str">
            <v>4-07-03-00-00</v>
          </cell>
          <cell r="C388" t="str">
            <v>CONSOLIDACION Y MEJORAS EN BIENES CULTURALES (NUEVA)</v>
          </cell>
        </row>
        <row r="389">
          <cell r="B389" t="str">
            <v>4-07-03-01-00</v>
          </cell>
          <cell r="C389" t="str">
            <v>CONSOLIDACION Y MEJORAS EN BIENES CULTURALES</v>
          </cell>
        </row>
        <row r="390">
          <cell r="B390" t="str">
            <v>4-07-03-02-00</v>
          </cell>
          <cell r="C390" t="str">
            <v>SUPERVISION DE CONSOLIDACION Y MEJORAS EN BIENES CULTURALES</v>
          </cell>
        </row>
        <row r="391">
          <cell r="B391" t="str">
            <v>4-01-00-00-00</v>
          </cell>
          <cell r="C391" t="str">
            <v>BIENES PREEXISTENTES (41000-00)</v>
          </cell>
        </row>
        <row r="392">
          <cell r="B392" t="str">
            <v>4-01-01-00-00</v>
          </cell>
          <cell r="C392" t="str">
            <v>TIERRAS Y TERRENOS (41100-00)</v>
          </cell>
        </row>
        <row r="393">
          <cell r="B393" t="str">
            <v>4-01-01-01-00</v>
          </cell>
          <cell r="C393" t="str">
            <v>PARA CONSTRUCCION DE BIENES EN DOMINIO PRIVADO (41110-00)</v>
          </cell>
        </row>
        <row r="394">
          <cell r="B394" t="str">
            <v>4-01-01-01-01</v>
          </cell>
          <cell r="C394" t="str">
            <v>PARA CONSTRUCCION DE BIENES EN DOMINIO PRIVADO</v>
          </cell>
        </row>
        <row r="395">
          <cell r="B395" t="str">
            <v>4-01-01-01-02</v>
          </cell>
          <cell r="C395" t="str">
            <v>CONSTR.DE MEJ. DOM.EDIFICIO AULAS No.5 v.s.</v>
          </cell>
        </row>
        <row r="396">
          <cell r="B396" t="str">
            <v>4-01-01-01-03</v>
          </cell>
          <cell r="C396" t="str">
            <v>CONSTR.DE MEJ.DOM LABOR. DE INGENIERIA V.S.</v>
          </cell>
        </row>
        <row r="397">
          <cell r="B397" t="str">
            <v>4-01-01-01-04</v>
          </cell>
          <cell r="C397" t="str">
            <v>CONSTR.DE MEJ.DOM SALA DE JUICIO V.S.</v>
          </cell>
        </row>
        <row r="398">
          <cell r="B398" t="str">
            <v>4-01-01-02-00</v>
          </cell>
          <cell r="C398" t="str">
            <v>PARA CONSTRUCCION DE BIENES DE DOMINIO PUBLICOS (41120-00)</v>
          </cell>
        </row>
        <row r="399">
          <cell r="B399" t="str">
            <v>4-01-01-02-01</v>
          </cell>
          <cell r="C399" t="str">
            <v>CONSTRUCCION DE BIENES DE DOMINIO PUBLICO</v>
          </cell>
        </row>
        <row r="400">
          <cell r="B400" t="str">
            <v>4-01-01-03-00</v>
          </cell>
          <cell r="C400" t="str">
            <v>TIERRA PREDIOS Y SOLARES (41130-00)</v>
          </cell>
        </row>
        <row r="401">
          <cell r="B401" t="str">
            <v>4-01-01-03-01</v>
          </cell>
          <cell r="C401" t="str">
            <v>TIERRA PREDIOS Y SOLARES (COMPRA DE TERRENO EN CRUNO)</v>
          </cell>
        </row>
        <row r="402">
          <cell r="B402" t="str">
            <v>4-01-02-00-00</v>
          </cell>
          <cell r="C402" t="str">
            <v>EDIFICIOS E INSTALACIONES (41210-00)</v>
          </cell>
        </row>
        <row r="403">
          <cell r="B403" t="str">
            <v>4-01-02-01-00</v>
          </cell>
          <cell r="C403" t="str">
            <v>EDIFICIOS Y LOCALES</v>
          </cell>
        </row>
        <row r="404">
          <cell r="B404" t="str">
            <v>4-01-02-04-00</v>
          </cell>
          <cell r="C404" t="str">
            <v>INSTALACIONES VARIAS (41240-00)</v>
          </cell>
        </row>
        <row r="405">
          <cell r="B405" t="str">
            <v>4-01-02-00-00</v>
          </cell>
          <cell r="C405" t="str">
            <v>EDIFICIOS E INSTALACIONES (41210-00)</v>
          </cell>
        </row>
        <row r="406">
          <cell r="B406" t="str">
            <v>4-01-02-04-00</v>
          </cell>
          <cell r="C406" t="str">
            <v>INSTALACIONES VARIAS (41240-00)</v>
          </cell>
        </row>
        <row r="407">
          <cell r="B407" t="str">
            <v>4-01-02-04-01</v>
          </cell>
          <cell r="C407" t="str">
            <v>INSTALACIONES VARIAS</v>
          </cell>
        </row>
        <row r="408">
          <cell r="B408" t="str">
            <v>4-01-02-04-02</v>
          </cell>
          <cell r="C408" t="str">
            <v>INSTALACIONES VARIAS EDIFICIO DE QUIMICA Y FARMACIA</v>
          </cell>
        </row>
        <row r="409">
          <cell r="B409" t="str">
            <v>4-01-02-04-03</v>
          </cell>
          <cell r="C409" t="str">
            <v>INSTALACIONES VARIAS AULAS NO. 6 (41240-05)</v>
          </cell>
        </row>
        <row r="410">
          <cell r="B410" t="str">
            <v>5-00-00-00-00</v>
          </cell>
          <cell r="C410" t="str">
            <v>TRANSFERENCIAS (50000-00)</v>
          </cell>
        </row>
        <row r="411">
          <cell r="B411" t="str">
            <v>5-01-00-00-00</v>
          </cell>
          <cell r="C411" t="str">
            <v>TRANSFERENCIAS CORRIENTES AL SECTOR PRIVADO (51000-00)</v>
          </cell>
        </row>
        <row r="412">
          <cell r="B412" t="str">
            <v>5-01-01-00-00</v>
          </cell>
          <cell r="C412" t="str">
            <v>PRESTACIONES DE LA SEGURIDAD SOCIAL (NUEVA)</v>
          </cell>
        </row>
        <row r="413">
          <cell r="B413" t="str">
            <v>5-01-01-01-00</v>
          </cell>
          <cell r="C413" t="str">
            <v>JUBILACIONES Y RETIROS</v>
          </cell>
        </row>
        <row r="414">
          <cell r="B414" t="str">
            <v>5-01-01-02-00</v>
          </cell>
          <cell r="C414" t="str">
            <v>PENSIONES</v>
          </cell>
        </row>
        <row r="415">
          <cell r="B415" t="str">
            <v>5-01-02-00-00</v>
          </cell>
          <cell r="C415" t="str">
            <v>PRESTACIONES DE ASISTENCIA SOCIAL (51200-00)</v>
          </cell>
        </row>
        <row r="416">
          <cell r="B416" t="str">
            <v>5-01-03-00-00</v>
          </cell>
          <cell r="C416" t="str">
            <v>DONACIONES A INSTITUCIONES PRIVADAS SIN FINES DE LUCRO (51300-00)</v>
          </cell>
        </row>
        <row r="417">
          <cell r="B417" t="str">
            <v>5-01-03-01-00</v>
          </cell>
          <cell r="C417" t="str">
            <v>DONACIONES IHADFA</v>
          </cell>
        </row>
        <row r="418">
          <cell r="B418" t="str">
            <v>5-01-03-02-00</v>
          </cell>
          <cell r="C418" t="str">
            <v>ASIG.EQUIPO DE FUTBALL CURNO (LIGA LUCAS MENDEZ)</v>
          </cell>
        </row>
        <row r="419">
          <cell r="B419" t="str">
            <v>5-01-03-03-00</v>
          </cell>
          <cell r="C419" t="str">
            <v>ASIG.EQUIPO DE FUTBALL LIGA DIONICIO HERRERA</v>
          </cell>
        </row>
        <row r="420">
          <cell r="B420" t="str">
            <v>5-01-03-04-00</v>
          </cell>
          <cell r="C420" t="str">
            <v>DONACIONES INJUVEN</v>
          </cell>
        </row>
        <row r="421">
          <cell r="B421" t="str">
            <v>5-01-04-00-00</v>
          </cell>
          <cell r="C421" t="str">
            <v>SUBSIDIOS A EMPRESAS PRIVADAS</v>
          </cell>
        </row>
        <row r="422">
          <cell r="B422" t="str">
            <v>5-02-00-00-00</v>
          </cell>
          <cell r="C422" t="str">
            <v>TRANSFERENCIAS CORRIENTES UNIDADES DEL SECTOR PUBLICO (NUEVA)</v>
          </cell>
        </row>
        <row r="423">
          <cell r="B423" t="str">
            <v>5-02-01-00-00</v>
          </cell>
          <cell r="C423" t="str">
            <v>DONACIONES A UNIDADES DEL GOBIERNO CENTRAL (NUEVA)</v>
          </cell>
        </row>
        <row r="424">
          <cell r="B424" t="str">
            <v>5-02-01-01-00</v>
          </cell>
          <cell r="C424" t="str">
            <v>DONACIONES A INSTITUCIONES DE LA ADMINISTRACION CENTRAL</v>
          </cell>
        </row>
        <row r="425">
          <cell r="B425" t="str">
            <v>5-02-01-02-00</v>
          </cell>
          <cell r="C425" t="str">
            <v>DONACIONES A INSTITUCIONES DESCENTRALIZADAS</v>
          </cell>
        </row>
        <row r="426">
          <cell r="B426" t="str">
            <v>5-02-01-03-00</v>
          </cell>
          <cell r="C426" t="str">
            <v>DONACIONES A INSTITUCIONES DE LA SEGURIDAD SOCIAL</v>
          </cell>
        </row>
        <row r="427">
          <cell r="B427" t="str">
            <v>5-02-02-00-00</v>
          </cell>
          <cell r="C427" t="str">
            <v>DONACIONES A GOBIERNOS LOCALES</v>
          </cell>
        </row>
        <row r="428">
          <cell r="B428" t="str">
            <v>5-02-03-00-00</v>
          </cell>
          <cell r="C428" t="str">
            <v>DONACIONES A OTRAS INSTITUCIONES PUBLICAS FINANCIERAS NO EMPRESARIALES</v>
          </cell>
        </row>
        <row r="429">
          <cell r="B429" t="str">
            <v>5-02-04-00-00</v>
          </cell>
          <cell r="C429" t="str">
            <v>SUBSIDIOS A EMPRESAS PUBLICAS</v>
          </cell>
        </row>
        <row r="430">
          <cell r="B430" t="str">
            <v>5-03-00-00-00</v>
          </cell>
          <cell r="C430" t="str">
            <v>TRANSFERENCIAS CORRIENTES SECTOR EXTERNO (53000-00)</v>
          </cell>
        </row>
        <row r="431">
          <cell r="B431" t="str">
            <v>5-03-01-00-00</v>
          </cell>
          <cell r="C431" t="str">
            <v>DONACIONES A GOBIERNOS EXTRANJEROS</v>
          </cell>
        </row>
        <row r="432">
          <cell r="B432" t="str">
            <v>5-03-02-00-00</v>
          </cell>
          <cell r="C432" t="str">
            <v>TRANSFERENCIAS CORR. SECTOR EXTERNO (53200-00)</v>
          </cell>
        </row>
        <row r="433">
          <cell r="B433" t="str">
            <v>5-04-00-00-00</v>
          </cell>
          <cell r="C433" t="str">
            <v>TRANSFERENCIAS DE CAPITAL AL SECTOR PRIVADO (NUEVA)</v>
          </cell>
        </row>
        <row r="434">
          <cell r="B434" t="str">
            <v>5-04-01-00-00</v>
          </cell>
          <cell r="C434" t="str">
            <v>PRESTACIONES DE ASISTENCIA SOCIAL (NUEVA)</v>
          </cell>
        </row>
        <row r="435">
          <cell r="B435" t="str">
            <v>5-04-01-01-00</v>
          </cell>
          <cell r="C435" t="str">
            <v>AYUDA SOCIAL A PERSONAS</v>
          </cell>
        </row>
        <row r="436">
          <cell r="B436" t="str">
            <v>5-04-02-00-00</v>
          </cell>
          <cell r="C436" t="str">
            <v>DONACIONES A ASOCIACIONES CIVILES SIN FINES DE LUCRO</v>
          </cell>
        </row>
        <row r="437">
          <cell r="B437" t="str">
            <v>5-05-00-00-00</v>
          </cell>
          <cell r="C437" t="str">
            <v>TRANSFERENCIAS DE CAPITAL A UNIDADES DEL SECTOR PUBLICO (NUEVA)</v>
          </cell>
        </row>
        <row r="438">
          <cell r="B438" t="str">
            <v>5-05-01-00-00</v>
          </cell>
          <cell r="C438" t="str">
            <v>DONACIONES A UNIDADES DEL GOBIERNO CENTRAL (NUEVA)</v>
          </cell>
        </row>
        <row r="439">
          <cell r="B439" t="str">
            <v>5-05-01-01-00</v>
          </cell>
          <cell r="C439" t="str">
            <v>DONACIONES A INSTITUCIONES DE LA ADMINISTRACION CENTRAL</v>
          </cell>
        </row>
        <row r="440">
          <cell r="B440" t="str">
            <v>5-05-01-02-00</v>
          </cell>
          <cell r="C440" t="str">
            <v>DONACIONES A INSTITUCIONES DESCENTRALIZADAS</v>
          </cell>
        </row>
        <row r="441">
          <cell r="B441" t="str">
            <v>5-05-02-00-00</v>
          </cell>
          <cell r="C441" t="str">
            <v>DONACIONES A GOBIERNOS LOCALES</v>
          </cell>
        </row>
        <row r="442">
          <cell r="B442" t="str">
            <v>5-05-03-00-00</v>
          </cell>
          <cell r="C442" t="str">
            <v>DONACIONES A OTRAS INSTITUCIONES PUBLICAS FINANCIERAS</v>
          </cell>
        </row>
        <row r="443">
          <cell r="B443" t="str">
            <v>5-05-04-00-00</v>
          </cell>
          <cell r="C443" t="str">
            <v>SUBSIDIOS A EMPRESAS PUBLICAS</v>
          </cell>
        </row>
        <row r="444">
          <cell r="B444" t="str">
            <v>5-06-00-00-00</v>
          </cell>
          <cell r="C444" t="str">
            <v>TRANSFERENCIAS DE CAPITAL AL SECTOR EXTERNO</v>
          </cell>
        </row>
        <row r="445">
          <cell r="B445" t="str">
            <v>5-06-01-00-00</v>
          </cell>
          <cell r="C445" t="str">
            <v>DONACIONES A GOBIERNOS EXTRANJEROS</v>
          </cell>
        </row>
        <row r="446">
          <cell r="B446" t="str">
            <v>5-06-02-00-00</v>
          </cell>
          <cell r="C446" t="str">
            <v>DONACIONES A ORGANISMOS INTERNACIONALES</v>
          </cell>
        </row>
        <row r="447">
          <cell r="B447" t="str">
            <v>5-01-00-00-00</v>
          </cell>
          <cell r="C447" t="str">
            <v>TRANSFERENCIAS CORRIENTES AL SECTOR PRIVADO (51000-00)</v>
          </cell>
        </row>
        <row r="448">
          <cell r="B448" t="str">
            <v>5-01-02-00-00</v>
          </cell>
          <cell r="C448" t="str">
            <v>PRESTACIONES DE ASISTENCIA SOCIAL (51200-00)</v>
          </cell>
        </row>
        <row r="449">
          <cell r="B449" t="str">
            <v>5-01-02-01-00</v>
          </cell>
          <cell r="C449" t="str">
            <v>BECAS (51210-00)</v>
          </cell>
        </row>
        <row r="450">
          <cell r="B450" t="str">
            <v>5-01-02-01-01</v>
          </cell>
          <cell r="C450" t="str">
            <v>BECAS</v>
          </cell>
        </row>
        <row r="451">
          <cell r="B451" t="str">
            <v>5-01-02-01-02</v>
          </cell>
          <cell r="C451" t="str">
            <v>BECAS ESTUDIANTES DE PREGRADO (PLAN REFORMA)</v>
          </cell>
        </row>
        <row r="452">
          <cell r="B452" t="str">
            <v>5-01-02-01-03</v>
          </cell>
          <cell r="C452" t="str">
            <v>BECAS CONVENIO MINISTERIO SALUD -IHSS-UNAH</v>
          </cell>
        </row>
        <row r="453">
          <cell r="B453" t="str">
            <v>5-01-02-01-04</v>
          </cell>
          <cell r="C453" t="str">
            <v>BECAS DE ACTUALIZACION Y CAPACITACION DOCENTE</v>
          </cell>
        </row>
        <row r="454">
          <cell r="B454" t="str">
            <v>5-01-02-01-05</v>
          </cell>
          <cell r="C454" t="str">
            <v>BECAS EXCELENCIA ACADEMICA</v>
          </cell>
        </row>
        <row r="455">
          <cell r="B455" t="str">
            <v>5-01-02-01-06</v>
          </cell>
          <cell r="C455" t="str">
            <v>BECAS PARA HIJOS DE LOS TRABAJADORES</v>
          </cell>
        </row>
        <row r="456">
          <cell r="B456" t="str">
            <v>5-01-02-01-07</v>
          </cell>
          <cell r="C456" t="str">
            <v>BECAS POST GRADO ECONOMIA</v>
          </cell>
        </row>
        <row r="457">
          <cell r="B457" t="str">
            <v>5-01-02-01-08</v>
          </cell>
          <cell r="C457" t="str">
            <v>BECAS POST-GRADO DE TRABAJO SOCIAL</v>
          </cell>
        </row>
        <row r="458">
          <cell r="B458" t="str">
            <v>5-01-02-01-09</v>
          </cell>
          <cell r="C458" t="str">
            <v>BECAS PROFESIONALIZANTES DOCENTE (PLAN DE REFORMA)</v>
          </cell>
        </row>
        <row r="459">
          <cell r="B459" t="str">
            <v>5-01-02-01-10</v>
          </cell>
          <cell r="C459" t="str">
            <v>PRESTAMOS A ESTUDIANTES</v>
          </cell>
        </row>
        <row r="460">
          <cell r="B460" t="str">
            <v>5-01-02-01-11</v>
          </cell>
          <cell r="C460" t="str">
            <v>BECAS TALLERES EMPLEADOS A ESTUDIANTES</v>
          </cell>
        </row>
        <row r="461">
          <cell r="B461" t="str">
            <v>5-01-02-01-12</v>
          </cell>
          <cell r="C461" t="str">
            <v>BECAS EXTERNAS DE INVESTIGACION</v>
          </cell>
        </row>
        <row r="462">
          <cell r="B462" t="str">
            <v>5-01-02-01-13</v>
          </cell>
          <cell r="C462" t="str">
            <v>BECAS SUSTANTIVAS DE INVESTIGACIÓN</v>
          </cell>
        </row>
        <row r="463">
          <cell r="B463" t="str">
            <v>5-01-02-01-14</v>
          </cell>
          <cell r="C463" t="str">
            <v>BECAS DE INVEST, PARA ESTUD. DE PREGRADO</v>
          </cell>
        </row>
        <row r="464">
          <cell r="B464" t="str">
            <v>5-01-02-01-15</v>
          </cell>
          <cell r="C464" t="str">
            <v>BECAS DE INVEST. PARA DOC.DE POST-GRADO</v>
          </cell>
        </row>
        <row r="465">
          <cell r="B465" t="str">
            <v>5-01-02-01-16</v>
          </cell>
          <cell r="C465" t="str">
            <v>BECAS BÁSICAS DE INVESTIGACIÓN</v>
          </cell>
        </row>
        <row r="466">
          <cell r="B466" t="str">
            <v>5-01-02-01-17</v>
          </cell>
          <cell r="C466" t="str">
            <v>BECAS RELEVO GENERACIONAL</v>
          </cell>
        </row>
        <row r="467">
          <cell r="B467" t="str">
            <v>5-01-02-01-18</v>
          </cell>
          <cell r="C467" t="str">
            <v>BECAS DE EQUIDAD</v>
          </cell>
        </row>
        <row r="468">
          <cell r="B468" t="str">
            <v>5-01-02-01-19</v>
          </cell>
          <cell r="C468" t="str">
            <v>PREMIOS AL INVESTIGADOR</v>
          </cell>
        </row>
        <row r="469">
          <cell r="B469" t="str">
            <v>5-01-02-01-20</v>
          </cell>
          <cell r="C469" t="str">
            <v>BECAS DE INV. PARA ESTUDIANTES DE POSTGRADO</v>
          </cell>
        </row>
        <row r="470">
          <cell r="B470" t="str">
            <v>5-01-02-01-21</v>
          </cell>
          <cell r="C470" t="str">
            <v>Becas Especiales de Investigación</v>
          </cell>
        </row>
        <row r="471">
          <cell r="B471" t="str">
            <v>5-01-02-01-22</v>
          </cell>
          <cell r="C471" t="str">
            <v>Préstamos Educativos</v>
          </cell>
        </row>
        <row r="472">
          <cell r="B472" t="str">
            <v>5-01-02-02-00</v>
          </cell>
          <cell r="C472" t="str">
            <v>AYUDA SOCIALES A PERSONAS</v>
          </cell>
        </row>
        <row r="473">
          <cell r="B473" t="str">
            <v>5-01-02-02-01</v>
          </cell>
          <cell r="C473" t="str">
            <v>PREMIO INVESTIGADOR LARGA TRAYECTORIA</v>
          </cell>
        </row>
        <row r="474">
          <cell r="B474" t="str">
            <v>5-01-02-02-02</v>
          </cell>
          <cell r="C474" t="str">
            <v>PREMIOS AL INVESTIGADOR</v>
          </cell>
        </row>
        <row r="475">
          <cell r="B475" t="str">
            <v>5-01-02-02-03</v>
          </cell>
          <cell r="C475" t="str">
            <v>PREMIOS A ESTUDIANTES DE SECUNDARIA</v>
          </cell>
        </row>
        <row r="476">
          <cell r="B476" t="str">
            <v>5-01-02-02-04</v>
          </cell>
          <cell r="C476" t="str">
            <v>SUBSIDIOS CORO DE LA UNAH</v>
          </cell>
        </row>
        <row r="477">
          <cell r="B477" t="str">
            <v>5-01-02-02-05</v>
          </cell>
          <cell r="C477" t="str">
            <v>SUBSIDIOS ESCUELA RAMON AMAYA AMADOR</v>
          </cell>
        </row>
        <row r="478">
          <cell r="B478" t="str">
            <v>5-01-02-02-06</v>
          </cell>
          <cell r="C478" t="str">
            <v>SUBVENCION A EMPLEADOS</v>
          </cell>
        </row>
        <row r="479">
          <cell r="B479" t="str">
            <v>5-01-02-02-07</v>
          </cell>
          <cell r="C479" t="str">
            <v>SUBVENCION AL SINDICATO</v>
          </cell>
        </row>
        <row r="480">
          <cell r="B480" t="str">
            <v>5-01-02-02-08</v>
          </cell>
          <cell r="C480" t="str">
            <v>SUBVENCION DEPORTIVA</v>
          </cell>
        </row>
        <row r="481">
          <cell r="B481" t="str">
            <v>5-01-02-02-09</v>
          </cell>
          <cell r="C481" t="str">
            <v>GRATIFICACIONES A PARTICULARES</v>
          </cell>
        </row>
        <row r="482">
          <cell r="B482" t="str">
            <v>5-01-02-02-10</v>
          </cell>
          <cell r="C482" t="str">
            <v>GRATIFIC.PARTICULAR (PREMIOS ARTES)</v>
          </cell>
        </row>
        <row r="483">
          <cell r="B483" t="str">
            <v>5-01-02-02-11</v>
          </cell>
          <cell r="C483" t="str">
            <v>AYUDAS SOCIALES A PERSONAS</v>
          </cell>
        </row>
        <row r="484">
          <cell r="B484" t="str">
            <v>5-01-02-02-12</v>
          </cell>
          <cell r="C484" t="str">
            <v>GRATIFICACIOENS A PARTIC.(PREMIOS AL FESTIVAL</v>
          </cell>
        </row>
        <row r="485">
          <cell r="B485" t="str">
            <v>5-01-02-02-13</v>
          </cell>
          <cell r="C485" t="str">
            <v>PREMIO IDEAS SOBRE TECNOLOGIAS E INNOVACION</v>
          </cell>
        </row>
        <row r="486">
          <cell r="B486" t="str">
            <v>5-01-02-02-14</v>
          </cell>
          <cell r="C486" t="str">
            <v>Premio Ciencia y Tecnología</v>
          </cell>
        </row>
        <row r="487">
          <cell r="B487" t="str">
            <v>5-01-02-02-15</v>
          </cell>
          <cell r="C487" t="str">
            <v>Premio Mejoramiento y Calidad de Vida</v>
          </cell>
        </row>
        <row r="488">
          <cell r="B488" t="str">
            <v>5-01-02-02-16</v>
          </cell>
          <cell r="C488" t="str">
            <v>Larga Trayectoria</v>
          </cell>
        </row>
        <row r="489">
          <cell r="B489" t="str">
            <v>5-01-02-02-17</v>
          </cell>
          <cell r="C489" t="str">
            <v>Investigador en Consolidación</v>
          </cell>
        </row>
        <row r="490">
          <cell r="B490" t="str">
            <v>5-01-02-02-18</v>
          </cell>
          <cell r="C490" t="str">
            <v>Investigador en Formación Profesor</v>
          </cell>
        </row>
        <row r="491">
          <cell r="B491" t="str">
            <v>5-01-02-02-19</v>
          </cell>
          <cell r="C491" t="str">
            <v>Investigador en Formación Estudiante</v>
          </cell>
        </row>
        <row r="492">
          <cell r="B492" t="str">
            <v>5-01-02-02-20</v>
          </cell>
          <cell r="C492" t="str">
            <v>Profesor Investigador</v>
          </cell>
        </row>
        <row r="493">
          <cell r="B493" t="str">
            <v>5-01-02-02-21</v>
          </cell>
          <cell r="C493" t="str">
            <v>Estudiante Investigador</v>
          </cell>
        </row>
        <row r="494">
          <cell r="B494" t="str">
            <v>5-01-02-02-22</v>
          </cell>
          <cell r="C494" t="str">
            <v>Premio Ensayo Sobre Investigación, Transferencia Tecnológica</v>
          </cell>
        </row>
        <row r="495">
          <cell r="B495" t="str">
            <v>5-01-02-02-23</v>
          </cell>
          <cell r="C495" t="str">
            <v>Premio a la Innovación en la Gestión de la Investigación.</v>
          </cell>
        </row>
        <row r="496">
          <cell r="B496" t="str">
            <v>5-01-02-02-24</v>
          </cell>
          <cell r="C496" t="str">
            <v>AYUDA SOCIALES A PERSONAS (MAESTRIA FIL. Y LETRAS)</v>
          </cell>
        </row>
        <row r="497">
          <cell r="B497" t="str">
            <v>5-01-02-02-25</v>
          </cell>
          <cell r="C497" t="str">
            <v>AYUDA SOCIALES A PERSONAS (MAESTRIA CIEN. POL. Y CINE)</v>
          </cell>
        </row>
        <row r="498">
          <cell r="B498" t="str">
            <v>5-01-02-03-00</v>
          </cell>
          <cell r="C498" t="str">
            <v>PRESTAMO A ESTUDIANTES</v>
          </cell>
        </row>
        <row r="499">
          <cell r="B499" t="str">
            <v>5-01-02-03-01</v>
          </cell>
          <cell r="C499" t="str">
            <v>Inscripcion a Congresos y Cursos</v>
          </cell>
        </row>
        <row r="500">
          <cell r="B500" t="str">
            <v>5-03-00-00-00</v>
          </cell>
          <cell r="C500" t="str">
            <v>TRANSFERENCIAS CORRIENTES SECTOR EXTERNO (53000-00)</v>
          </cell>
        </row>
        <row r="501">
          <cell r="B501" t="str">
            <v>5-03-02-00-00</v>
          </cell>
          <cell r="C501" t="str">
            <v>TRANSFERENCIAS CORR. SECTOR EXTERNO (53200-00)</v>
          </cell>
        </row>
        <row r="502">
          <cell r="B502" t="str">
            <v>5-03-02-01-00</v>
          </cell>
          <cell r="C502" t="str">
            <v>DONACIONES A ORG. INTERNAC. CUOTAS ORDINARIAS (53210-00)</v>
          </cell>
        </row>
        <row r="503">
          <cell r="B503" t="str">
            <v>5-03-02-01-01</v>
          </cell>
          <cell r="C503" t="str">
            <v>UNION DE UNIVERSIDADES DE LA UDUAL</v>
          </cell>
        </row>
        <row r="504">
          <cell r="B504" t="str">
            <v>5-03-02-01-02</v>
          </cell>
          <cell r="C504" t="str">
            <v>CONS. UNAH INTER-AMERICANA DES. ECONOMICO SOC.</v>
          </cell>
        </row>
        <row r="505">
          <cell r="B505" t="str">
            <v>5-03-02-01-03</v>
          </cell>
          <cell r="C505" t="str">
            <v>MEMBRESIA ASOC. PANAM. DE CREDITO EDUC.</v>
          </cell>
        </row>
        <row r="506">
          <cell r="B506" t="str">
            <v>5-03-02-01-04</v>
          </cell>
          <cell r="C506" t="str">
            <v>SECRETARIA GENERAL CSUCA</v>
          </cell>
        </row>
        <row r="507">
          <cell r="B507" t="str">
            <v>5-03-02-01-05</v>
          </cell>
          <cell r="C507" t="str">
            <v>ANCIAMIENTO GASTOS CORRIENTES (FLACSO)</v>
          </cell>
        </row>
        <row r="508">
          <cell r="B508" t="str">
            <v>5-03-02-01-06</v>
          </cell>
          <cell r="C508" t="str">
            <v>CONT. PARA ORG. DE LA CEDE C.A. DE ACREDIT. DE POST-GRADOS</v>
          </cell>
        </row>
        <row r="509">
          <cell r="B509" t="str">
            <v>5-03-02-01-07</v>
          </cell>
          <cell r="C509" t="str">
            <v>APORTES A LA FUNDACION PRO ARTE Y CULTURA (FUNDARTE)</v>
          </cell>
        </row>
        <row r="510">
          <cell r="B510" t="str">
            <v>5-03-02-01-11</v>
          </cell>
          <cell r="C510" t="str">
            <v>ASOCIACION DE T.V. IBEROAMERICANA EDUCATIVA</v>
          </cell>
        </row>
        <row r="511">
          <cell r="B511" t="str">
            <v>5-03-02-01-12</v>
          </cell>
          <cell r="C511" t="str">
            <v>MEMBRECIA DE LA RLB</v>
          </cell>
        </row>
        <row r="512">
          <cell r="B512" t="str">
            <v>5-03-02-01-13</v>
          </cell>
          <cell r="C512" t="str">
            <v>ORGANISMOS DE DEFENSA DE LOS DERECHOS HUMANOS</v>
          </cell>
        </row>
        <row r="513">
          <cell r="B513" t="str">
            <v>5-03-02-01-14</v>
          </cell>
          <cell r="C513" t="str">
            <v>MEMBRECIA HINARI</v>
          </cell>
        </row>
        <row r="514">
          <cell r="B514" t="str">
            <v>5-03-02-01-15</v>
          </cell>
          <cell r="C514" t="str">
            <v>AGENCIA DE ACREDITACION CA DE POSTGRADO</v>
          </cell>
        </row>
        <row r="515">
          <cell r="B515" t="str">
            <v>5-03-02-01-16</v>
          </cell>
          <cell r="C515" t="str">
            <v>MEMBRECIA (RED INCA)</v>
          </cell>
        </row>
        <row r="516">
          <cell r="B516" t="str">
            <v>5-03-02-01-17</v>
          </cell>
          <cell r="C516" t="str">
            <v>MEMBRECIA (RED PILA)</v>
          </cell>
        </row>
        <row r="517">
          <cell r="B517" t="str">
            <v>6-00-00-00-00</v>
          </cell>
          <cell r="C517" t="str">
            <v>ACTIVOS FINANCIEROS (60000-00)</v>
          </cell>
        </row>
        <row r="518">
          <cell r="B518" t="str">
            <v>6-01-00-00-00</v>
          </cell>
          <cell r="C518" t="str">
            <v>PARTICIPACION DE CAPITAL Y COMPRA DE ACCIONES (NUEVA)</v>
          </cell>
        </row>
        <row r="519">
          <cell r="B519" t="str">
            <v>6-01-01-00-00</v>
          </cell>
          <cell r="C519" t="str">
            <v>APORTES DE CAPITAL A EMPRESAS PRIVADAS (NUEVA)</v>
          </cell>
        </row>
        <row r="520">
          <cell r="B520" t="str">
            <v>6-01-01-01-00</v>
          </cell>
          <cell r="C520" t="str">
            <v>APORTES DE CAPITAL A EMPRESA PRIVADA NO FINANCIERA</v>
          </cell>
        </row>
        <row r="521">
          <cell r="B521" t="str">
            <v>6-01-01-02-00</v>
          </cell>
          <cell r="C521" t="str">
            <v>APORTES DE CAPITAL A EMPRESAS PRIVADAS FINANCIERAS</v>
          </cell>
        </row>
        <row r="522">
          <cell r="B522" t="str">
            <v>6-01-02-00-00</v>
          </cell>
          <cell r="C522" t="str">
            <v>APORTES DE CAPITAL A EMPRESAS PUBLICAS NACIONALES (NUEVA)</v>
          </cell>
        </row>
        <row r="523">
          <cell r="B523" t="str">
            <v>6-01-02-01-00</v>
          </cell>
          <cell r="C523" t="str">
            <v>APORTES DE CAPITAL A EMPRESAS PUBLICAS NO FINANCIERAS</v>
          </cell>
        </row>
        <row r="524">
          <cell r="B524" t="str">
            <v>6-01-02-02-00</v>
          </cell>
          <cell r="C524" t="str">
            <v>APORTES DE CAPITAL A EMPRESAS PUBLICAS FINANCIERAS</v>
          </cell>
        </row>
        <row r="525">
          <cell r="B525" t="str">
            <v>6-01-03-00-00</v>
          </cell>
          <cell r="C525" t="str">
            <v>APORTES DE CAPITAL A ORGANISMOS INTERNACIONALES</v>
          </cell>
        </row>
        <row r="526">
          <cell r="B526" t="str">
            <v>6-01-04-00-00</v>
          </cell>
          <cell r="C526" t="str">
            <v>APOTES DE CAPITAL A OTROAS ORGANIZACIONES DE SECTOR EXTERNO</v>
          </cell>
        </row>
        <row r="527">
          <cell r="B527" t="str">
            <v>6-02-00-00-00</v>
          </cell>
          <cell r="C527" t="str">
            <v>PRESTAMOS A CORTO PLAZO (NUEVA)</v>
          </cell>
        </row>
        <row r="528">
          <cell r="B528" t="str">
            <v>6-02-01-00-00</v>
          </cell>
          <cell r="C528" t="str">
            <v>PRESTAMOS A CORTO PLAZO AL SECTOR PRIVADO (NUEVA)</v>
          </cell>
        </row>
        <row r="529">
          <cell r="B529" t="str">
            <v>6-02-01-01-00</v>
          </cell>
          <cell r="C529" t="str">
            <v>PRESTAMOS A CORTO PLAZO A PERSONAS</v>
          </cell>
        </row>
        <row r="530">
          <cell r="B530" t="str">
            <v>6-02-01-02-00</v>
          </cell>
          <cell r="C530" t="str">
            <v>PRESTAMOS A CORTO PLAZO A INSITUCIONES PRIVADAS SIN FINES DE LUCRO</v>
          </cell>
        </row>
        <row r="531">
          <cell r="B531" t="str">
            <v>6-02-02-00-00</v>
          </cell>
          <cell r="C531" t="str">
            <v>PRESTAMOS A CORTO PLAZO A GOBIERNO CENTRAL</v>
          </cell>
        </row>
        <row r="532">
          <cell r="B532" t="str">
            <v>6-02-03-00-00</v>
          </cell>
          <cell r="C532" t="str">
            <v>PRESTAMOS A CORTO PLAZO A GOBIERNOS LOCALES</v>
          </cell>
        </row>
        <row r="533">
          <cell r="B533" t="str">
            <v>6-02-04-00-00</v>
          </cell>
          <cell r="C533" t="str">
            <v>PRESTAMOS A CORTO PLAZO A OTRAS INSTITUCIONES PUBLICAS FINANCIERAS</v>
          </cell>
        </row>
        <row r="534">
          <cell r="B534" t="str">
            <v>6-02-05-00-00</v>
          </cell>
          <cell r="C534" t="str">
            <v>PRESTAMOS A CORTO PLAZO A EMPRESAS PUBLICAS NO FINANCIERAS</v>
          </cell>
        </row>
        <row r="535">
          <cell r="B535" t="str">
            <v>6-02-06-00-00</v>
          </cell>
          <cell r="C535" t="str">
            <v>PRESTAMOS A CORTO PLAZO AL SECTOR EXTERNO</v>
          </cell>
        </row>
        <row r="536">
          <cell r="B536" t="str">
            <v>6-03-00-00-00</v>
          </cell>
          <cell r="C536" t="str">
            <v>PRESTAMOS A LARGO PLAZO</v>
          </cell>
        </row>
        <row r="537">
          <cell r="B537" t="str">
            <v>6-03-01-00-00</v>
          </cell>
          <cell r="C537" t="str">
            <v>PRESTAMOS A LARGO PLAZO AL SECTOR PRIVADO</v>
          </cell>
        </row>
        <row r="538">
          <cell r="B538" t="str">
            <v>6-03-02-00-00</v>
          </cell>
          <cell r="C538" t="str">
            <v>PRESTAMOS A LARGO PLAZO AL GOBIERNO CENTRAL</v>
          </cell>
        </row>
        <row r="539">
          <cell r="B539" t="str">
            <v>6-03-03-00-00</v>
          </cell>
          <cell r="C539" t="str">
            <v>PRESTAMOS A LARGO PLAZO A GOBIERNOS LOCALES</v>
          </cell>
        </row>
        <row r="540">
          <cell r="B540" t="str">
            <v>6-03-04-00-00</v>
          </cell>
          <cell r="C540" t="str">
            <v>PRESTAMOS A LARGO PLAZO A OTRAS INSTITUCIONES PUBLICAS FINANCIERAS</v>
          </cell>
        </row>
        <row r="541">
          <cell r="B541" t="str">
            <v>6-03-05-00-00</v>
          </cell>
          <cell r="C541" t="str">
            <v>PRESTAMOS A LARGO PLAZO A EMPRESAS PUBLICAS</v>
          </cell>
        </row>
        <row r="542">
          <cell r="B542" t="str">
            <v>6-04-00-00-00</v>
          </cell>
          <cell r="C542" t="str">
            <v>TITULOS Y VALORES</v>
          </cell>
        </row>
        <row r="543">
          <cell r="B543" t="str">
            <v>6-04-02-00-00</v>
          </cell>
          <cell r="C543" t="str">
            <v>TIT. Y VAL. A LARGO PLAZO (RESERVA 10% DIFERENCIAL VTA. DE BONOS)</v>
          </cell>
        </row>
        <row r="544">
          <cell r="B544" t="str">
            <v>7-00-00-00-00</v>
          </cell>
          <cell r="C544" t="str">
            <v>DEUDA Y OTROS PASIVOS (70000-00)</v>
          </cell>
        </row>
        <row r="545">
          <cell r="B545" t="str">
            <v>7-01-00-00-00</v>
          </cell>
          <cell r="C545" t="str">
            <v>SERVICIO DE LA DEUDA PUBLICA A INTERNA A CORTO PLAZO (71000-00)</v>
          </cell>
        </row>
        <row r="546">
          <cell r="B546" t="str">
            <v>7-01-01-00-00</v>
          </cell>
          <cell r="C546" t="str">
            <v>AMORTIZACION DE LA DEUDA PUBLICA CORTO PLAZO (71100-00)</v>
          </cell>
        </row>
        <row r="547">
          <cell r="B547" t="str">
            <v>7-01-01-01-00</v>
          </cell>
          <cell r="C547" t="str">
            <v>GTOS DEVENG. Y NO PAGADOS CORRES.AL EJERC.ANTERIOR</v>
          </cell>
        </row>
        <row r="548">
          <cell r="B548" t="str">
            <v>7-01-01-02-00</v>
          </cell>
          <cell r="C548" t="str">
            <v>DEUDA EMPELADOS UNAH</v>
          </cell>
        </row>
        <row r="549">
          <cell r="B549" t="str">
            <v>7-01-01-03-00</v>
          </cell>
          <cell r="C549" t="str">
            <v>DEFICI ACTUARIAL INPREUNAH</v>
          </cell>
        </row>
        <row r="550">
          <cell r="B550" t="str">
            <v>7-01-01-04-00</v>
          </cell>
          <cell r="C550" t="str">
            <v>DEUDA IMPREUNAH A¥OS ANTERIORES.</v>
          </cell>
        </row>
        <row r="551">
          <cell r="B551" t="str">
            <v>7-01-01-05-00</v>
          </cell>
          <cell r="C551" t="str">
            <v>AMORTIZACIÓN PRÉSTAMOS A LARGO PLAZO</v>
          </cell>
        </row>
        <row r="552">
          <cell r="B552" t="str">
            <v>7-01-02-00-00</v>
          </cell>
          <cell r="C552" t="str">
            <v>INTERESES DE LA DEUDA PUBLICA INTERNA A CORTO PLAZO (NUEVA)</v>
          </cell>
        </row>
        <row r="553">
          <cell r="B553" t="str">
            <v>7-01-02-01-00</v>
          </cell>
          <cell r="C553" t="str">
            <v>INTERESES DE TITULOS Y VALORES</v>
          </cell>
        </row>
        <row r="554">
          <cell r="B554" t="str">
            <v>7-01-02-02-00</v>
          </cell>
          <cell r="C554" t="str">
            <v>INTERESES POR PRESTAMOS DEL SECTOR PRIVADO</v>
          </cell>
        </row>
        <row r="555">
          <cell r="B555" t="str">
            <v>7-01-02-06-00</v>
          </cell>
          <cell r="C555" t="str">
            <v>INTERESES POR PRESTAMOS DE GOBIERNOS LOCALES</v>
          </cell>
        </row>
        <row r="556">
          <cell r="B556" t="str">
            <v>7-01-02-09-00</v>
          </cell>
          <cell r="C556" t="str">
            <v>INTERESES OTRAS DEUDAS A CORTO PLAZO</v>
          </cell>
        </row>
        <row r="557">
          <cell r="B557" t="str">
            <v>7-01-03-00-00</v>
          </cell>
          <cell r="C557" t="str">
            <v>COMISIONES Y OTROS GASTOS DE LA DEUDA PUBLICA INTERNA A CORTO PLAZO</v>
          </cell>
        </row>
        <row r="558">
          <cell r="B558" t="str">
            <v>7-01-04-00-00</v>
          </cell>
          <cell r="C558" t="str">
            <v>INTERESES POR MORA Y MULTAS DE LA DEUDA PUBLICA INTERNA A CORTO PLAZO</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7-02-00-00-00</v>
          </cell>
          <cell r="C561" t="str">
            <v>SERVICIO DE LA DEUDA PUBLICA A INTERNA A LARGO PLAZO (72000-00)</v>
          </cell>
        </row>
        <row r="562">
          <cell r="B562" t="str">
            <v>7-02-01-00-00</v>
          </cell>
          <cell r="C562" t="str">
            <v>AMORTIZACION PRESTAMOS DEL SECTOR PRIVADO (72100-00)</v>
          </cell>
        </row>
        <row r="563">
          <cell r="B563" t="str">
            <v>7-02-01-01-00</v>
          </cell>
          <cell r="C563" t="str">
            <v>ATENCION DEUDAS SALARIALES (AJUSTES SAL.MINIMO) (72110-00)</v>
          </cell>
        </row>
        <row r="564">
          <cell r="B564" t="str">
            <v>7-02-01-01-01</v>
          </cell>
          <cell r="C564" t="str">
            <v>ATENCIONES DEUDAS SALARIALES</v>
          </cell>
        </row>
        <row r="565">
          <cell r="B565" t="str">
            <v>7-02-01-02-00</v>
          </cell>
          <cell r="C565" t="str">
            <v>NEGOCIACION CONTRATO COLECTIVO</v>
          </cell>
        </row>
        <row r="566">
          <cell r="B566" t="str">
            <v>7-02-01-03-00</v>
          </cell>
          <cell r="C566" t="str">
            <v>DEUDA PERSONAL DOCENTE</v>
          </cell>
        </row>
        <row r="567">
          <cell r="B567" t="str">
            <v>7-02-01-04-00</v>
          </cell>
          <cell r="C567" t="str">
            <v>RECLASIFICACION PERSONAL DOCENTE Y ADMON</v>
          </cell>
        </row>
        <row r="568">
          <cell r="B568" t="str">
            <v>7-03-00-00-00</v>
          </cell>
          <cell r="C568" t="str">
            <v>SERVICIO DE LA DEUDA PUBLICA A EXTERNA A CORTO PLAZO</v>
          </cell>
        </row>
        <row r="569">
          <cell r="B569" t="str">
            <v>7-03-01-00-00</v>
          </cell>
          <cell r="C569" t="str">
            <v>AMORTIZACION DE LA DEUDA PUBLICA EXTERNA A CORTO PLAZO</v>
          </cell>
        </row>
        <row r="570">
          <cell r="B570" t="str">
            <v>7-03-02-00-00</v>
          </cell>
          <cell r="C570" t="str">
            <v>INTERESES DE LA DEUDA PUBLICA EXTERNA A CORTO PLAZO</v>
          </cell>
        </row>
        <row r="571">
          <cell r="B571" t="str">
            <v>7-03-03-00-00</v>
          </cell>
          <cell r="C571" t="str">
            <v>COMISIONES Y OTROS GASTOS DE LA DEUDA PUBLICA EXTERNA A CORTO PLAZO</v>
          </cell>
        </row>
        <row r="572">
          <cell r="B572" t="str">
            <v>7-04-00-00-00</v>
          </cell>
          <cell r="C572" t="str">
            <v>SERVICIO DE LA DEUDA PUBLICA A EXTERNA A LARGO PLAZO</v>
          </cell>
        </row>
        <row r="573">
          <cell r="B573" t="str">
            <v>7-04-01-00-00</v>
          </cell>
          <cell r="C573" t="str">
            <v>AMORTIZACION DE LA DEUDA PUBLICA EXTERNA A LARGO PLAZO</v>
          </cell>
        </row>
        <row r="574">
          <cell r="B574" t="str">
            <v>7-04-02-00-00</v>
          </cell>
          <cell r="C574" t="str">
            <v>INTERESES DE LA DEUDA PUBLICA EXTERNA A LARGO PLAZO</v>
          </cell>
        </row>
        <row r="575">
          <cell r="B575" t="str">
            <v>7-04-03-00-00</v>
          </cell>
          <cell r="C575" t="str">
            <v>COMISIONES Y OTROS GASTOS DE LA DEUDA PUBLICA EXTERNA A LARGO PLAZO</v>
          </cell>
        </row>
        <row r="576">
          <cell r="B576" t="str">
            <v>7-05-00-00-00</v>
          </cell>
          <cell r="C576" t="str">
            <v>OTRAS OBLIGACIONES A CARGO DEL TESORO</v>
          </cell>
        </row>
        <row r="577">
          <cell r="B577" t="str">
            <v>7-05-01-00-00</v>
          </cell>
          <cell r="C577" t="str">
            <v>AMORTIZACIONES</v>
          </cell>
        </row>
        <row r="578">
          <cell r="B578" t="str">
            <v>7-05-02-00-00</v>
          </cell>
          <cell r="C578" t="str">
            <v>INTERESES</v>
          </cell>
        </row>
        <row r="579">
          <cell r="B579" t="str">
            <v>7-05-03-00-00</v>
          </cell>
          <cell r="C579" t="str">
            <v>COMISIONES</v>
          </cell>
        </row>
        <row r="580">
          <cell r="B580" t="str">
            <v>9-00-00-00-00</v>
          </cell>
          <cell r="C580" t="str">
            <v>OTROS GASTOS</v>
          </cell>
        </row>
        <row r="581">
          <cell r="B581" t="str">
            <v>9-01-00-00-00</v>
          </cell>
          <cell r="C581" t="str">
            <v>INTERESES DE INSTITUCIONES PUBLICAS FINANCIERAS</v>
          </cell>
        </row>
        <row r="582">
          <cell r="B582" t="str">
            <v>9-01-01-00-00</v>
          </cell>
          <cell r="C582" t="str">
            <v>INTERESES POR DEPOSITOS EN CAJA DE AHORRO</v>
          </cell>
        </row>
        <row r="583">
          <cell r="B583" t="str">
            <v>9-01-02-00-00</v>
          </cell>
          <cell r="C583" t="str">
            <v>INTERESES POR DEPOSITOS A PLAZO FIJO</v>
          </cell>
        </row>
        <row r="584">
          <cell r="B584" t="str">
            <v>9-01-03-00-00</v>
          </cell>
          <cell r="C584" t="str">
            <v>INTERESES POR FONDOS COMUNES DE INVERSION</v>
          </cell>
        </row>
        <row r="585">
          <cell r="B585" t="str">
            <v>9-01-04-00-00</v>
          </cell>
          <cell r="C58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Correlativo de la Actividad</v>
          </cell>
          <cell r="F3" t="str">
            <v>ACTIVIDADES</v>
          </cell>
        </row>
        <row r="6">
          <cell r="E6" t="str">
            <v>1.a.1</v>
          </cell>
          <cell r="F6" t="str">
            <v>a.1 Realización de investigaciones de mercado que permitan evaluar la pertinencia de los planes de estudio en Ingenieria Industrial.                                                                                                              a.2 Intitucionalización de comisiones y sub comisiones de desarrollo curricular en Ingenieria Industrial.</v>
          </cell>
        </row>
        <row r="7">
          <cell r="E7" t="str">
            <v>1.1.1</v>
          </cell>
          <cell r="F7" t="str">
            <v>b.1 Realizar un apoyo de universidades líderes, reformas en los planes y programas de estudio de todas las carreras para ajustarlas al Modelo Educativo de la UNAH y a las exigencias del desarrollo tecnológico, científico y del entorno social.</v>
          </cell>
        </row>
        <row r="8">
          <cell r="E8" t="str">
            <v>2.5.1</v>
          </cell>
          <cell r="F8" t="str">
            <v>b.2 Solicitar talleres de capacitación a los docentes de Ingenieria Insdustrial  sobre los fundamentos y principios del nuevo modelo educativo.                                                       b.3 Promoción e incentivos para la innovación educativa en Ingenieria Industrial.</v>
          </cell>
        </row>
        <row r="9">
          <cell r="E9" t="str">
            <v>1.1.1</v>
          </cell>
        </row>
        <row r="12">
          <cell r="F12" t="str">
            <v>c.1 Actualizar permanentemente los currículos de acuerdo a estudios de pertinencia y de mercado, a realizar y conforme a los planes de mejora del proceso de autoevaluación.</v>
          </cell>
        </row>
        <row r="13">
          <cell r="F13" t="str">
            <v>Inversión para la ejecución de los planes de mejora.</v>
          </cell>
        </row>
        <row r="15">
          <cell r="F15" t="str">
            <v>1) solicitar a quien corresponda la  Divulgación de Normas Académicas para docentes y estudiantes de la carrera de ing. industrial.                                                                                                                                                                                              2) Edición y publicación.</v>
          </cell>
        </row>
      </sheetData>
      <sheetData sheetId="12">
        <row r="3">
          <cell r="E3" t="str">
            <v>Correlativo de Actividad</v>
          </cell>
          <cell r="F3" t="str">
            <v>ACTIVIDADES</v>
          </cell>
        </row>
        <row r="6">
          <cell r="E6" t="str">
            <v>2.2.2</v>
          </cell>
          <cell r="F6" t="str">
            <v>a.1 fortalecimiento del comité de investigación científica y de vinculación Universidad-Sociedad.</v>
          </cell>
        </row>
        <row r="7">
          <cell r="F7" t="str">
            <v>b.1 gestionar  formación, capacitación y actualización científica a través de  talleres, cursos y seminarios.</v>
          </cell>
        </row>
        <row r="10">
          <cell r="F10" t="str">
            <v>c.1 Realizar reuniones y presentaciones con docentes y estudiantes para sociabilizar la aplicación de las políticas de investigación de la UNAH de los procesos de investigación.</v>
          </cell>
        </row>
        <row r="12">
          <cell r="F12" t="str">
            <v>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v>
          </cell>
        </row>
        <row r="14">
          <cell r="F14" t="str">
            <v>d.4 realizar presentaciones para la difusión de los trabajos científicos al público en general, especialmente   a los sectores relacionados con los campos de la investigación.</v>
          </cell>
        </row>
        <row r="16">
          <cell r="F16" t="str">
            <v>f.1 Presentación ante las autoridades competentes o un Comité de Gestión Científica los proyectos a desarrollar, ya sea con fondos internos o externos, para su financiamiento.</v>
          </cell>
        </row>
      </sheetData>
      <sheetData sheetId="13">
        <row r="3">
          <cell r="E3" t="str">
            <v>Correlativo de Actividad</v>
          </cell>
          <cell r="F3" t="str">
            <v>ACTIVIDADES</v>
          </cell>
        </row>
        <row r="7">
          <cell r="E7" t="str">
            <v>3.3.3</v>
          </cell>
          <cell r="F7" t="str">
            <v>a.1promover el buen funcionamiento del Comité de Vinculación para que promueva y gestione el desarrollo  de proyectos con la Dirección de Gestión UNAH- Sociedad para contribuir a la solución de problemas en el país.</v>
          </cell>
        </row>
        <row r="9">
          <cell r="F9" t="str">
            <v>c.1  socializar y aplicar las políticas de vinculación.</v>
          </cell>
        </row>
        <row r="10">
          <cell r="F10" t="str">
            <v xml:space="preserve"> promueven la aprobación de convenios en el campo de la vinculación.</v>
          </cell>
        </row>
        <row r="11">
          <cell r="F11" t="str">
            <v>d.1 realizar gestiones ante organismos nacionales o externos para la obtención de recursos para proyectos de vinculación.</v>
          </cell>
        </row>
      </sheetData>
      <sheetData sheetId="14">
        <row r="3">
          <cell r="E3" t="str">
            <v>Correlativo de Actividad</v>
          </cell>
          <cell r="F3" t="str">
            <v>ACTIVIDADES</v>
          </cell>
        </row>
        <row r="6">
          <cell r="E6" t="str">
            <v>4.4.4</v>
          </cell>
          <cell r="F6" t="str">
            <v>solicitar capacitacion o maestrias para areas de especialidad.</v>
          </cell>
        </row>
        <row r="7">
          <cell r="F7" t="str">
            <v>1) Publicación.</v>
          </cell>
        </row>
        <row r="8">
          <cell r="F8" t="str">
            <v>Socialización e implementación de mecanismos que aseguren el uso del perfil general docente.</v>
          </cell>
        </row>
        <row r="10">
          <cell r="F10" t="str">
            <v>b.2 solicitar  inversión institucional para la oferta de postgrados a los docentes.</v>
          </cell>
        </row>
        <row r="11">
          <cell r="F11" t="str">
            <v>1) Socialización de la evaluación del desempeño a docentes y personal administrativo.                                                                                                                                                                  2) Implementación de la Evaluación del desempeño</v>
          </cell>
        </row>
      </sheetData>
      <sheetData sheetId="15">
        <row r="3">
          <cell r="E3" t="str">
            <v>Correlativo de Actividad</v>
          </cell>
          <cell r="F3" t="str">
            <v>ACTIVIDADES</v>
          </cell>
        </row>
        <row r="6">
          <cell r="E6" t="str">
            <v>5.5.5</v>
          </cell>
        </row>
        <row r="7">
          <cell r="F7" t="str">
            <v xml:space="preserve">a.3 Realizar estudios de mercado para la determinación de la oferta de trabajo </v>
          </cell>
        </row>
        <row r="11">
          <cell r="F11" t="str">
            <v>b.1 Mejorar la eficacia y calidad de los servicios estudiantiles.</v>
          </cell>
        </row>
        <row r="12">
          <cell r="F12" t="str">
            <v>Asesoría técnica e Inversión para gestión de sistema de indicadores.</v>
          </cell>
        </row>
        <row r="13">
          <cell r="F13" t="str">
            <v>Asesoría técnica e inversión para integración de bases de datos y acceso a las mismas.</v>
          </cell>
        </row>
        <row r="14">
          <cell r="F14" t="str">
            <v>c.1 fortalecer la reglamentación estudiantil existente y aplicarla eficientemente.</v>
          </cell>
        </row>
      </sheetData>
      <sheetData sheetId="16">
        <row r="3">
          <cell r="E3" t="str">
            <v>Correlativo de Actividad</v>
          </cell>
          <cell r="F3" t="str">
            <v>ACTIVIDADES</v>
          </cell>
        </row>
        <row r="8">
          <cell r="E8" t="str">
            <v>6.6.6</v>
          </cell>
        </row>
        <row r="9">
          <cell r="F9" t="str">
            <v>b.1 Solicitar nuevamente reparacion de los canales del cuarto edificio del 4to. Piso del edifico de las ingenierias.</v>
          </cell>
        </row>
        <row r="10">
          <cell r="F10" t="str">
            <v xml:space="preserve">c.1 Mejorar los servicios de tecnología educativa en las diferentes aulas.                                                                                                                                                                                              c.2 Ejecución de plan de capacitación en uso adecuado de equipo.                                                                                                                                                                                                     </v>
          </cell>
        </row>
        <row r="12">
          <cell r="F12" t="str">
            <v>e.1 conocer manuales de procedimientos y toda clase de normativa interna e institucional para el buen funcionamiento y cumplimiento de actividades.</v>
          </cell>
        </row>
        <row r="13">
          <cell r="F13" t="str">
            <v xml:space="preserve">a.1 Diseñar un plan de capacitación para las areas de relevo docente y areas profesionalizantes. </v>
          </cell>
        </row>
      </sheetData>
      <sheetData sheetId="17">
        <row r="3">
          <cell r="E3" t="str">
            <v>Correlativo de Actividad</v>
          </cell>
          <cell r="F3" t="str">
            <v>ACTIVIDADES</v>
          </cell>
        </row>
        <row r="7">
          <cell r="E7" t="str">
            <v>7.7.7</v>
          </cell>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9">
          <cell r="F9" t="str">
            <v xml:space="preserve">a.1 Realizacion de giras de practicas a diferentes instutuciones y organizaciones del pais </v>
          </cell>
        </row>
        <row r="10">
          <cell r="F10" t="str">
            <v xml:space="preserve">a.1 Realizacion de giras de practicas a diferentes instutuciones y organizaciones del pais </v>
          </cell>
        </row>
        <row r="12">
          <cell r="F12" t="str">
            <v>b.1 se fortalecerán, promoverán y adoptarán políticas y practicas transparentes para la rendición de cuentas de las unidades académicas.</v>
          </cell>
        </row>
      </sheetData>
      <sheetData sheetId="18">
        <row r="3">
          <cell r="E3" t="str">
            <v>Correlativo de Actividad</v>
          </cell>
          <cell r="F3" t="str">
            <v>ACTIVIDADES</v>
          </cell>
        </row>
        <row r="6">
          <cell r="E6" t="str">
            <v>8.8.8</v>
          </cell>
          <cell r="F6" t="str">
            <v>a. 1 Analizar el perfil del egresado de las carreras de acuerdo a las demandas laborales de profesionales.</v>
          </cell>
        </row>
        <row r="7">
          <cell r="F7" t="str">
            <v>b.1 Realizar encuestas de satisfacción de los egresados.</v>
          </cell>
        </row>
        <row r="8">
          <cell r="F8" t="str">
            <v>c.1 Realizar encuestas del desempeño laboral de los egresados.</v>
          </cell>
        </row>
        <row r="9">
          <cell r="F9" t="str">
            <v>d.1 IDEM</v>
          </cell>
        </row>
        <row r="10">
          <cell r="F10" t="str">
            <v>e.1 Realizar encuestas de satisfacción comunitaria.</v>
          </cell>
        </row>
      </sheetData>
      <sheetData sheetId="19">
        <row r="3">
          <cell r="E3" t="str">
            <v>Correlativo de Actividad</v>
          </cell>
          <cell r="F3" t="str">
            <v>ACTIVIDADES</v>
          </cell>
        </row>
        <row r="6">
          <cell r="E6" t="str">
            <v>9.9.9</v>
          </cell>
          <cell r="F6" t="str">
            <v>a.1 Socialización e ejecución del proceso de organización y desarrollo de las redes educativas regionales con actores internos y externos a la UNAH.</v>
          </cell>
        </row>
        <row r="8">
          <cell r="F8" t="str">
            <v>a.2 Consolidación y funcionamiento de los institutos tecnológicos de Tela, Gracias  a Dios y Puerto Cortes.</v>
          </cell>
        </row>
        <row r="9">
          <cell r="F9" t="str">
            <v>b.1 Realización de estudios regionalizados de cobertura y equidad en el acceso a la UNAH y de estudios de oferta y demanda de estudios universitarios en cada región educativa.</v>
          </cell>
        </row>
        <row r="10">
          <cell r="F10"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1">
          <cell r="F11" t="str">
            <v>1) Fortalecimiento del Programa de Incentivos a la investigación.                                                                                                                                                                                                              2) Asignación y disponibilidad de recursos subyacientes para la ejecución de dos programas.</v>
          </cell>
        </row>
        <row r="12">
          <cell r="F12" t="str">
            <v>1) Implantación y fortalecimiento de la política de incentivos para la mejora continúa del funcionamiento de las redes educativas regionales.</v>
          </cell>
        </row>
        <row r="13">
          <cell r="F13" t="str">
            <v>b.4 Desarrollar los Módulos del Subsistema de Planificación, M&amp;E. b.5) Implantación en Facultades y CRU's pilotos para hacer pruebas beta con los usuarios. b.6) Depuración del Subsistema. b.7) Implantación del Subsistema en las Facultades y CRU's</v>
          </cell>
        </row>
        <row r="18">
          <cell r="F18" t="str">
            <v>1) Consolidación del programa de formación y capacitación institucional en TIC.                                                                                                                                                                               2)Mantenimiento permanente y sostenido de página web de la UNAH.                                                                                                                                                                                            3) Monitoría y evaluación del Programa de Educación Permanente.</v>
          </cell>
        </row>
        <row r="20">
          <cell r="F20" t="str">
            <v>1) Jornadas de intercambio de experiencias, y presentación de resultados, entre investigadores socio económicos, investigadores de la economía de la cultura, alumnos y comunidad universitaria en general.</v>
          </cell>
        </row>
      </sheetData>
      <sheetData sheetId="20">
        <row r="3">
          <cell r="E3" t="str">
            <v>Correlativo de Actividad</v>
          </cell>
          <cell r="F3" t="str">
            <v>ACTIVIDADES</v>
          </cell>
        </row>
        <row r="7">
          <cell r="E7" t="str">
            <v>10.10.10</v>
          </cell>
          <cell r="F7" t="str">
            <v>2.1  Dar asesoramiento tecnico y juridico                   2.2 recopilacion de datos y documentos.                              2.3 Envio de correspondencia e informacion</v>
          </cell>
        </row>
        <row r="8">
          <cell r="F8" t="str">
            <v>a.3 Según sea el caso, se deben realizar las siguientes actividades o procesos: Revisión; actualización; complementación; inclusión del eje de ética; adecuación curricular; reforma del plan de estudio; nueva oferta educativa.</v>
          </cell>
        </row>
        <row r="9">
          <cell r="F9" t="str">
            <v>b.1 Coordinación con la Direccion Departamental de Educación para la articulación del nivel medio con el nivel universitario en el Caribe Hondureño.</v>
          </cell>
        </row>
      </sheetData>
      <sheetData sheetId="21">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2">
        <row r="3">
          <cell r="E3" t="str">
            <v>Correlativo de Actividad</v>
          </cell>
          <cell r="F3" t="str">
            <v>ACTIVIDADES</v>
          </cell>
        </row>
        <row r="6">
          <cell r="E6" t="str">
            <v>12.12.12</v>
          </cell>
          <cell r="F6" t="str">
            <v xml:space="preserve">1) Socialización de los lineamientos metodológicos.                                                                                                                                                                                                                                       </v>
          </cell>
        </row>
        <row r="7">
          <cell r="F7" t="str">
            <v>2) Jornadas de trabajo (conferencias, exposiciones, talleres, y otros) interdisciplinarias orientadas a la transversalización efectiva y profunda del eje de ética.</v>
          </cell>
        </row>
        <row r="9">
          <cell r="F9" t="str">
            <v>Gestión de convenios y planes de trabajo en ejecución, que fundamentan un ejercicio de las funciones académicas con identidad.</v>
          </cell>
        </row>
        <row r="10">
          <cell r="F10" t="str">
            <v>Inversión para la gestión de los proyectos culturales.</v>
          </cell>
        </row>
        <row r="11">
          <cell r="F11" t="str">
            <v>Promoción activa y efectiva de iniciativas en red.</v>
          </cell>
        </row>
        <row r="12">
          <cell r="F12" t="str">
            <v>Inversión para el desarrollo de iniciativas de incidencia para implementar el Programa LO ESENCIAL.</v>
          </cell>
        </row>
        <row r="13">
          <cell r="F13" t="str">
            <v>Promoción e inversión en encuentros regionales.</v>
          </cell>
        </row>
        <row r="14">
          <cell r="F14" t="str">
            <v>Promoción de aprobación y firma de convenios regionales con socios estratégicos</v>
          </cell>
        </row>
        <row r="15">
          <cell r="F15" t="str">
            <v>Construcción participativa y ejecución en red de proyectos de ciudadanía cultural</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Lo Esencial"/>
    </sheetNames>
    <sheetDataSet>
      <sheetData sheetId="0" refreshError="1"/>
      <sheetData sheetId="1" refreshError="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17">
          <cell r="H117">
            <v>0</v>
          </cell>
          <cell r="J117">
            <v>0</v>
          </cell>
          <cell r="L117">
            <v>0</v>
          </cell>
          <cell r="N117">
            <v>0</v>
          </cell>
        </row>
      </sheetData>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 val="Hoja1"/>
    </sheetNames>
    <sheetDataSet>
      <sheetData sheetId="0"/>
      <sheetData sheetId="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row r="584">
          <cell r="B584">
            <v>0</v>
          </cell>
          <cell r="C584" t="str">
            <v>Total Plan Operativo</v>
          </cell>
        </row>
      </sheetData>
      <sheetData sheetId="3"/>
      <sheetData sheetId="4"/>
      <sheetData sheetId="5"/>
      <sheetData sheetId="6"/>
      <sheetData sheetId="7"/>
      <sheetData sheetId="8"/>
      <sheetData sheetId="9"/>
      <sheetData sheetId="10"/>
      <sheetData sheetId="11">
        <row r="1">
          <cell r="E1">
            <v>0</v>
          </cell>
        </row>
        <row r="2">
          <cell r="E2">
            <v>0</v>
          </cell>
          <cell r="F2">
            <v>0</v>
          </cell>
        </row>
        <row r="3">
          <cell r="E3" t="str">
            <v>Correlativo de la Actividad</v>
          </cell>
          <cell r="F3" t="str">
            <v>ACTIVIDADES</v>
          </cell>
        </row>
        <row r="4">
          <cell r="E4">
            <v>0</v>
          </cell>
          <cell r="F4">
            <v>0</v>
          </cell>
        </row>
        <row r="5">
          <cell r="E5">
            <v>0</v>
          </cell>
          <cell r="F5">
            <v>0</v>
          </cell>
        </row>
        <row r="6">
          <cell r="E6" t="str">
            <v>1.a.1</v>
          </cell>
          <cell r="F6" t="str">
            <v>a.1 Realización de investigaciones de mercado que permitan evaluar la pertinencia de los planes de estudio.                                                                                                              a.2 Intitucionalización de comisiones y sub comisiones de desarrollo curricular.</v>
          </cell>
        </row>
        <row r="7">
          <cell r="E7" t="str">
            <v>1.1.1</v>
          </cell>
          <cell r="F7" t="str">
            <v>b.1 Realizar un apoyo de universidades líderes, reformas en los planes y programas de estudio de todas las carreras para ajustarlas al Modelo Educativo de la UNAH y a las exigencias del desarrollo tecnológico, científico y del entorno social.</v>
          </cell>
        </row>
        <row r="8">
          <cell r="E8" t="str">
            <v>2.5.1</v>
          </cell>
          <cell r="F8" t="str">
            <v>b.2 Impartir talleres de capacitación a toda la comunidad docente  sobre los fundamentos y principios del nuevo modelo educativo.                                                       b.3 Promoción e incentivos para la innovación educativa.</v>
          </cell>
        </row>
        <row r="9">
          <cell r="E9" t="str">
            <v>1.1.1</v>
          </cell>
          <cell r="F9" t="str">
            <v>b.3 Ejecución de la ruta del desarrollo curricular en las unidades Académicas.</v>
          </cell>
        </row>
        <row r="10">
          <cell r="E10">
            <v>0</v>
          </cell>
          <cell r="F10" t="str">
            <v>Promoción de la obligatoriedad de mantenimiento del sistema de estadísiticas por parte de todas las instancias de gestión académica.</v>
          </cell>
        </row>
        <row r="11">
          <cell r="E11">
            <v>0</v>
          </cell>
          <cell r="F11" t="str">
            <v>b.5 Incorporar al menos 15 carreras al nuevo modelo educativo.</v>
          </cell>
        </row>
        <row r="12">
          <cell r="E12">
            <v>0</v>
          </cell>
          <cell r="F12" t="str">
            <v>c.1 Actualizar permanentemente los currículos de acuerdo a estudios de pertinencia y de mercado, a realizar y conforme a los planes de mejora del proceso de autoevaluación.</v>
          </cell>
        </row>
        <row r="13">
          <cell r="E13">
            <v>0</v>
          </cell>
          <cell r="F13" t="str">
            <v>Inversión para la ejecución de los planes de mejora.</v>
          </cell>
        </row>
        <row r="14">
          <cell r="E14">
            <v>0</v>
          </cell>
          <cell r="F14" t="str">
            <v xml:space="preserve">1) Apropiación, alineamiento y articulación de las unidades académicas de la UNAH con los requerimientos del SHACES. </v>
          </cell>
        </row>
        <row r="15">
          <cell r="E15">
            <v>0</v>
          </cell>
          <cell r="F15" t="str">
            <v>1) Divulgación de Normas Académicas a toda la comunidad universitaria.                                                                                                                                                                                              2) Edición y publicación.</v>
          </cell>
        </row>
        <row r="16">
          <cell r="E16">
            <v>0</v>
          </cell>
          <cell r="F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sheetData>
      <sheetData sheetId="1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2.2.2</v>
          </cell>
          <cell r="F6" t="str">
            <v>a.1 Creación y fortalecimiento en las Unidades Académicas, unidades, institutos o comités de investigación científica y de vinculación Universidad-Sociedad.</v>
          </cell>
        </row>
        <row r="7">
          <cell r="E7">
            <v>0</v>
          </cell>
          <cell r="F7" t="str">
            <v>b.1 Creación de un programa de formación, capacitación y actualización científica en la Universidad, a través de becas, programas, talleres, cursos y seminarios.</v>
          </cell>
        </row>
        <row r="8">
          <cell r="E8">
            <v>0</v>
          </cell>
          <cell r="F8" t="str">
            <v>Inversión institucional para capacitación de docentes.</v>
          </cell>
        </row>
        <row r="9">
          <cell r="E9">
            <v>0</v>
          </cell>
          <cell r="F9" t="str">
            <v>Inversión institucional para la incorporación de herramientas informáticas.</v>
          </cell>
        </row>
        <row r="10">
          <cell r="E10">
            <v>0</v>
          </cell>
          <cell r="F10" t="str">
            <v>c.1 Realizar reuniones y presentaciones para sociabilizar la aplicación de las políticas de investigación de la UNAH, o de la unidad académica específica inmersa en los procesos de investigación.</v>
          </cell>
        </row>
        <row r="11">
          <cell r="E11">
            <v>0</v>
          </cell>
          <cell r="F11" t="str">
            <v>d.1 Crear en la UNAH revistas científicas en la que se publican las investigaciones importantes realizadas.</v>
          </cell>
        </row>
        <row r="12">
          <cell r="E12">
            <v>0</v>
          </cell>
          <cell r="F12" t="str">
            <v>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v>
          </cell>
        </row>
        <row r="13">
          <cell r="E13">
            <v>0</v>
          </cell>
          <cell r="F13" t="str">
            <v>d.3 Difundir en revistas científicas del exterior aquellos trabajos científicos importantes.</v>
          </cell>
        </row>
        <row r="14">
          <cell r="E14">
            <v>0</v>
          </cell>
          <cell r="F14" t="str">
            <v>d.4 realizar presentaciones para la difusión de los trabajos científicos al público en general, especialmente   a los sectores relacionados con los campos de la investigación.</v>
          </cell>
        </row>
        <row r="15">
          <cell r="E15">
            <v>0</v>
          </cell>
          <cell r="F15">
            <v>0</v>
          </cell>
        </row>
        <row r="16">
          <cell r="E16">
            <v>0</v>
          </cell>
          <cell r="F16" t="str">
            <v>f.1 Presentación ante las autoridades competentes o un Comité de Gestión Científica los proyectos a desarrollar, ya sea con fondos internos o externos, para su financiamiento.</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3">
        <row r="1">
          <cell r="E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3.3.3</v>
          </cell>
          <cell r="F7" t="str">
            <v>a.1 Creación y funcionamiento de un Comité de Vinculación en cada unidad académica para que promueva y gestione el desarrollo  de proyectos con la Dirección de Gestión UNAH- Sociedad para contribuir a la solución de problemas en el país.</v>
          </cell>
        </row>
        <row r="8">
          <cell r="E8">
            <v>0</v>
          </cell>
          <cell r="F8">
            <v>0</v>
          </cell>
        </row>
        <row r="9">
          <cell r="E9">
            <v>0</v>
          </cell>
          <cell r="F9" t="str">
            <v>c.1 Los Departamentos Académicos y las carreras realizan actividades para socializar y aplicar las políticas de vinculación.</v>
          </cell>
        </row>
        <row r="10">
          <cell r="E10">
            <v>0</v>
          </cell>
          <cell r="F10" t="str">
            <v>Los Departamentos Académicos negocian y promueven ls sprobación de convenios en el campo de la vinculación.</v>
          </cell>
        </row>
        <row r="11">
          <cell r="E11">
            <v>0</v>
          </cell>
          <cell r="F11"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2">
          <cell r="E12">
            <v>0</v>
          </cell>
          <cell r="F12">
            <v>0</v>
          </cell>
        </row>
        <row r="13">
          <cell r="E13">
            <v>0</v>
          </cell>
          <cell r="F13" t="str">
            <v xml:space="preserve">Formacion de grupos de difusion cultural:                                                                      1. Cuadro de Danzas de la Carrera de Psicologia .                                                            .                                                                      2. Creacion del boletin trimestral de la carrera de Psicologia                                                                                                                                                                                                                3. Celebracion de la semana de Salud Mental                                  </v>
          </cell>
        </row>
        <row r="14">
          <cell r="E14">
            <v>0</v>
          </cell>
          <cell r="F14">
            <v>0</v>
          </cell>
        </row>
        <row r="15">
          <cell r="E15">
            <v>0</v>
          </cell>
          <cell r="F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4">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4.4.4</v>
          </cell>
          <cell r="F6" t="str">
            <v>Inversión para la ejecución del plan de profesionalización docente.</v>
          </cell>
        </row>
        <row r="7">
          <cell r="E7">
            <v>0</v>
          </cell>
          <cell r="F7" t="str">
            <v>1) Publicación.</v>
          </cell>
        </row>
        <row r="8">
          <cell r="E8">
            <v>0</v>
          </cell>
          <cell r="F8" t="str">
            <v>Socialización e implementación de mecanismos que aseguren el uso del perfil general docente.</v>
          </cell>
        </row>
        <row r="9">
          <cell r="E9">
            <v>0</v>
          </cell>
          <cell r="F9">
            <v>0</v>
          </cell>
        </row>
        <row r="10">
          <cell r="E10">
            <v>0</v>
          </cell>
          <cell r="F10" t="str">
            <v>b.2 Aumentar inversión institucional para la oferta de postgrados a los docentes.</v>
          </cell>
        </row>
        <row r="11">
          <cell r="E11">
            <v>0</v>
          </cell>
          <cell r="F11" t="str">
            <v>1) Socialización de la evaluación del desempeño a docentes y personal administrativo.                                                                                                                                                                  2) Implementación de la Evaluación del desempeño</v>
          </cell>
        </row>
        <row r="12">
          <cell r="E12">
            <v>0</v>
          </cell>
          <cell r="F12">
            <v>0</v>
          </cell>
        </row>
      </sheetData>
      <sheetData sheetId="15">
        <row r="2">
          <cell r="E2">
            <v>0</v>
          </cell>
          <cell r="F2">
            <v>0</v>
          </cell>
        </row>
        <row r="3">
          <cell r="E3" t="str">
            <v>Correlativo de Actividad</v>
          </cell>
          <cell r="F3" t="str">
            <v>ACTIVIDADES</v>
          </cell>
        </row>
        <row r="4">
          <cell r="E4">
            <v>0</v>
          </cell>
          <cell r="F4">
            <v>0</v>
          </cell>
        </row>
        <row r="5">
          <cell r="E5">
            <v>0</v>
          </cell>
          <cell r="F5">
            <v>0</v>
          </cell>
        </row>
        <row r="6">
          <cell r="E6" t="str">
            <v>5.5.5</v>
          </cell>
          <cell r="F6" t="str">
            <v>a.1 Asesoría técnica e Inversión para la crearción o fortalecimiento de las bases de datos para el seguimiento de los estudiantes, incluyendo información de ingreso, permanencia y egresos.</v>
          </cell>
        </row>
        <row r="7">
          <cell r="E7">
            <v>0</v>
          </cell>
          <cell r="F7" t="str">
            <v>a.3 Realizar estudios de mercado para la determinación de la oferta de trabajo y la apertura de nuevas carreras.</v>
          </cell>
        </row>
        <row r="8">
          <cell r="E8">
            <v>0</v>
          </cell>
          <cell r="F8" t="str">
            <v>a.4 Fortalecer el sistema de bibliotecas y  crear un sistema virtual para la obtención de documentos y materiales de trabajo de las diferentes carreras.</v>
          </cell>
        </row>
        <row r="9">
          <cell r="E9">
            <v>0</v>
          </cell>
          <cell r="F9" t="str">
            <v>a.4 Fortalecer el sistema de bibliotecas y  crear un sistema virtual para la obtención de documentos y materiales de trabajo de las diferentes carreras.</v>
          </cell>
        </row>
        <row r="10">
          <cell r="E10">
            <v>0</v>
          </cell>
          <cell r="F10" t="str">
            <v>a.5 Ampliar las áreas recreativas y de estudio para la satisfacción del estudiante de acuerdo al Plan de Desarrollo físico de la Universidad.</v>
          </cell>
        </row>
        <row r="11">
          <cell r="E11">
            <v>0</v>
          </cell>
          <cell r="F11" t="str">
            <v>b.1 Mejorar la eficacia y calidad de los servicios estudiantiles.</v>
          </cell>
        </row>
        <row r="12">
          <cell r="E12">
            <v>0</v>
          </cell>
          <cell r="F12" t="str">
            <v>Asesoría técnica e Inversión para gestión de sistema de indicadores.</v>
          </cell>
        </row>
        <row r="13">
          <cell r="E13">
            <v>0</v>
          </cell>
          <cell r="F13" t="str">
            <v>Asesoría técnica e inversión para integración de bases de datos y acceso a las mismas.</v>
          </cell>
        </row>
        <row r="14">
          <cell r="E14">
            <v>0</v>
          </cell>
          <cell r="F14" t="str">
            <v>c.1 fortalecer la reglamentación estudiantil existente y aplicarla eficientemente.</v>
          </cell>
        </row>
        <row r="15">
          <cell r="E15">
            <v>0</v>
          </cell>
          <cell r="F15">
            <v>0</v>
          </cell>
        </row>
      </sheetData>
      <sheetData sheetId="16">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t="str">
            <v>6.6.6</v>
          </cell>
          <cell r="F8" t="str">
            <v>1) Monitoría y evaluación del desarrollo y funcionamiento de la plataforma tecnológica.</v>
          </cell>
        </row>
        <row r="9">
          <cell r="E9">
            <v>0</v>
          </cell>
          <cell r="F9" t="str">
            <v>b.1 Mejorar y optimizar el espacio físico de aulas, laboratorios, talleres y oficinas.</v>
          </cell>
        </row>
        <row r="10">
          <cell r="E10">
            <v>0</v>
          </cell>
          <cell r="F10" t="str">
            <v>c.1 Mejorar los servicios de tecnología educativa en las diferentes aulas.                                                                                                                                                                                              c.2 Ejecución de plan de capacitación en uso adecuado de equipo.                                                                                                                                                                                                     c.3 Indicadores de desempeño positivos</v>
          </cell>
        </row>
        <row r="11">
          <cell r="E11">
            <v>0</v>
          </cell>
          <cell r="F11" t="str">
            <v>a) Regularizar docentes ya contratados para tener un mínimo de docentes a tiempo completo en todas las unidades.                                                                                                    B) Adecuación ó creación de mecanismos de registro y control docente con enfoque integral.</v>
          </cell>
        </row>
        <row r="12">
          <cell r="E12">
            <v>0</v>
          </cell>
          <cell r="F12" t="str">
            <v>e.1 Dotar a todas las Unidades Académicas y Administrativas de manuales de procedimientos y toda clase de normativa interna e institucional para el buen funcionamiento y cumplimiento de sus actividades.</v>
          </cell>
        </row>
        <row r="13">
          <cell r="E13">
            <v>0</v>
          </cell>
          <cell r="F13" t="str">
            <v>a.1 Diseñar un plan de capacitación para todos los recursos humanos.</v>
          </cell>
        </row>
        <row r="14">
          <cell r="E14">
            <v>0</v>
          </cell>
          <cell r="F14">
            <v>0</v>
          </cell>
        </row>
        <row r="15">
          <cell r="E15">
            <v>0</v>
          </cell>
          <cell r="F15">
            <v>0</v>
          </cell>
        </row>
        <row r="40">
          <cell r="E40">
            <v>0</v>
          </cell>
        </row>
      </sheetData>
      <sheetData sheetId="17">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7.7.7</v>
          </cell>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8">
          <cell r="E8">
            <v>0</v>
          </cell>
          <cell r="F8" t="str">
            <v>a.2 Impulsar la internacionalización de la Universidad, tomando como primera instancia el escenario Centro Americano del CSUCA.</v>
          </cell>
        </row>
        <row r="9">
          <cell r="E9">
            <v>0</v>
          </cell>
          <cell r="F9" t="str">
            <v xml:space="preserve">a.1 Realizacion de giras de practicas a diferentes instutuciones y organizaciones del pais </v>
          </cell>
        </row>
        <row r="10">
          <cell r="E10">
            <v>0</v>
          </cell>
          <cell r="F10" t="str">
            <v xml:space="preserve">a.1 Realizacion de giras de practicas a diferentes instutuciones y organizaciones del pais </v>
          </cell>
        </row>
        <row r="11">
          <cell r="E11">
            <v>0</v>
          </cell>
          <cell r="F11"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2">
          <cell r="E12">
            <v>0</v>
          </cell>
          <cell r="F12" t="str">
            <v>b.1 se fortalecerán, promoverán y adoptarán políticas y practicas transparentes para la rendición de cuentas de las unidades académicas.</v>
          </cell>
        </row>
        <row r="13">
          <cell r="E13">
            <v>0</v>
          </cell>
          <cell r="F13">
            <v>0</v>
          </cell>
        </row>
        <row r="14">
          <cell r="E14">
            <v>0</v>
          </cell>
          <cell r="F14" t="str">
            <v>c.1 Las unidades académicas respectivas participan permanentemente en sus áreas de conocimiento  en evaluaciones para el mejoramiento de la educación superior en el país.</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sheetData>
      <sheetData sheetId="18">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8.8.8</v>
          </cell>
          <cell r="F6" t="str">
            <v xml:space="preserve">a. 1 Analizar el perfil del egresado de la carrera de Psicología de acuerdo a la demanda del mercado laboral </v>
          </cell>
        </row>
        <row r="7">
          <cell r="E7">
            <v>0</v>
          </cell>
          <cell r="F7" t="str">
            <v xml:space="preserve">b.1 Realizar encuestas de satisfacción de los egresados de Psicología </v>
          </cell>
        </row>
        <row r="8">
          <cell r="E8">
            <v>0</v>
          </cell>
          <cell r="F8" t="str">
            <v>c.1 Realizar encuestas del desempeño laboral de los egresados de Psicología</v>
          </cell>
        </row>
        <row r="9">
          <cell r="E9">
            <v>0</v>
          </cell>
          <cell r="F9" t="str">
            <v>d.1 IDEM</v>
          </cell>
        </row>
        <row r="10">
          <cell r="E10">
            <v>0</v>
          </cell>
          <cell r="F10" t="str">
            <v>e.1 Realizar encuestas de satisfacción comunitaria.</v>
          </cell>
        </row>
        <row r="11">
          <cell r="E11">
            <v>0</v>
          </cell>
          <cell r="F11">
            <v>0</v>
          </cell>
        </row>
      </sheetData>
      <sheetData sheetId="19">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9.9.9</v>
          </cell>
          <cell r="F6" t="str">
            <v>a.1 Socialización e ejecución del proceso de organización y desarrollo de las redes educativas regionales con actores internos y externos a la UNAH.</v>
          </cell>
        </row>
        <row r="7">
          <cell r="E7">
            <v>0</v>
          </cell>
          <cell r="F7">
            <v>0</v>
          </cell>
        </row>
        <row r="8">
          <cell r="E8">
            <v>0</v>
          </cell>
          <cell r="F8" t="str">
            <v>a.2 Consolidación y funcionamiento de los institutos tecnológicos de Tela, Gracias  a Dios y Puerto Cortes.</v>
          </cell>
        </row>
        <row r="9">
          <cell r="E9">
            <v>0</v>
          </cell>
          <cell r="F9" t="str">
            <v>b.1 Realización de estudios regionalizados de cobertura y equidad en el acceso a la UNAH y de estudios de oferta y demanda de estudios universitarios en cada región educativa.</v>
          </cell>
        </row>
        <row r="10">
          <cell r="E10">
            <v>0</v>
          </cell>
          <cell r="F10"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1">
          <cell r="E11">
            <v>0</v>
          </cell>
          <cell r="F11" t="str">
            <v>1) Fortalecimiento del Programa de Incentivos a la investigación.                                                                                                                                                                                                              2) Asignación y disponibilidad de recursos subyacientes para la ejecución de dos programas.</v>
          </cell>
        </row>
        <row r="12">
          <cell r="E12">
            <v>0</v>
          </cell>
          <cell r="F12" t="str">
            <v>1) Implantación y fortalecimiento de la política de incentivos para la mejora continúa del funcionamiento de las redes educativas regionales.</v>
          </cell>
        </row>
        <row r="13">
          <cell r="E13">
            <v>0</v>
          </cell>
          <cell r="F13" t="str">
            <v>b.4 Desarrollar los Módulos del Subsistema de Planificación, M&amp;E. b.5) Implantación en Facultades y CRU's pilotos para hacer pruebas beta con los usuarios. b.6) Depuración del Subsistema. b.7) Implantación del Subsistema en las Facultades y CRU's</v>
          </cell>
        </row>
        <row r="14">
          <cell r="E14">
            <v>0</v>
          </cell>
          <cell r="F14">
            <v>0</v>
          </cell>
        </row>
        <row r="15">
          <cell r="E15">
            <v>0</v>
          </cell>
          <cell r="F15">
            <v>0</v>
          </cell>
        </row>
        <row r="16">
          <cell r="E16">
            <v>0</v>
          </cell>
          <cell r="F16">
            <v>0</v>
          </cell>
        </row>
        <row r="17">
          <cell r="E17">
            <v>0</v>
          </cell>
          <cell r="F17">
            <v>0</v>
          </cell>
        </row>
        <row r="18">
          <cell r="E18">
            <v>0</v>
          </cell>
          <cell r="F18" t="str">
            <v>1) Consolidación del programa de formación y capacitación institucional en TIC.                                                                                                                                                                               2)Mantenimiento permanente y sostenido de página web de la UNAH.                                                                                                                                                                                            3) Monitoría y evaluación del Programa de Educación Permanente.</v>
          </cell>
        </row>
        <row r="19">
          <cell r="E19">
            <v>0</v>
          </cell>
          <cell r="F19">
            <v>0</v>
          </cell>
        </row>
        <row r="20">
          <cell r="E20">
            <v>0</v>
          </cell>
          <cell r="F20" t="str">
            <v>1) Jornadas de intercambio de experiencias, y presentación de resultados, entre investigadores socio económicos, investigadores de la economía de la cultura, alumnos y comunidad universitaria en general.</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0">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10.10.10</v>
          </cell>
          <cell r="F7" t="str">
            <v>2.1  Dar asesoramiento tecnico y juridico                   2.2 recopilacion de datos y documentos.                              2.3 Envio de correspondencia e informacion</v>
          </cell>
        </row>
        <row r="8">
          <cell r="E8">
            <v>0</v>
          </cell>
          <cell r="F8" t="str">
            <v>a.3 Según sea el caso, se deben realizar las siguientes actividades o procesos: Revisión; actualización; complementación; inclusión del eje de ética; adecuación curricular; reforma del plan de estudio; nueva oferta educativa.</v>
          </cell>
        </row>
        <row r="9">
          <cell r="E9">
            <v>0</v>
          </cell>
          <cell r="F9" t="str">
            <v>b.1 Coordinación con la Direccion Departamental de Educación para la articulación del nivel medio con el nivel universitario en el Caribe Hondureño.</v>
          </cell>
        </row>
        <row r="10">
          <cell r="E10">
            <v>0</v>
          </cell>
          <cell r="F10">
            <v>0</v>
          </cell>
        </row>
      </sheetData>
      <sheetData sheetId="21">
        <row r="1">
          <cell r="E1">
            <v>0</v>
          </cell>
        </row>
        <row r="2">
          <cell r="E2">
            <v>0</v>
          </cell>
          <cell r="F2">
            <v>0</v>
          </cell>
        </row>
        <row r="3">
          <cell r="E3" t="str">
            <v>Correlativo de Actividad</v>
          </cell>
          <cell r="F3" t="str">
            <v>ACTIVIDADES</v>
          </cell>
        </row>
        <row r="4">
          <cell r="E4">
            <v>0</v>
          </cell>
          <cell r="F4">
            <v>0</v>
          </cell>
        </row>
        <row r="5">
          <cell r="E5">
            <v>0</v>
          </cell>
          <cell r="F5">
            <v>0</v>
          </cell>
        </row>
        <row r="6">
          <cell r="E6" t="str">
            <v>11.11.11</v>
          </cell>
          <cell r="F6" t="str">
            <v>1. Mejora continua de los mecanismos y métodos de comunicación entre la UNAH y los actores del sistema educativo nacional.</v>
          </cell>
        </row>
        <row r="7">
          <cell r="E7">
            <v>0</v>
          </cell>
          <cell r="F7" t="str">
            <v>2. Fortalecer los procesos y el sistema de diálogo en forma permanente, constructivo y respetuoso.</v>
          </cell>
        </row>
        <row r="8">
          <cell r="E8">
            <v>0</v>
          </cell>
          <cell r="F8" t="str">
            <v>3. Concertación permanente bajo los principios del respeto mutuo, autonomía universitaria y defensa de lo público.</v>
          </cell>
        </row>
        <row r="9">
          <cell r="E9">
            <v>0</v>
          </cell>
          <cell r="F9" t="str">
            <v>4. Formulación y consolidación de estrategias que garanticen la articulación de los actores de la UNAH, alrededor de una visión compartida del Sistema Educativo Nacional.</v>
          </cell>
        </row>
        <row r="10">
          <cell r="E10">
            <v>0</v>
          </cell>
          <cell r="F10" t="str">
            <v>5. Coordinación con la Secretaría de Educación para la articulación del nivel medio con el nivel universitario.</v>
          </cell>
        </row>
        <row r="11">
          <cell r="E11">
            <v>0</v>
          </cell>
          <cell r="F11" t="str">
            <v>6. Cumplimiento de los alcances del Plan Estratégico de desarrollo de la ES.</v>
          </cell>
        </row>
        <row r="12">
          <cell r="E12">
            <v>0</v>
          </cell>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E13">
            <v>0</v>
          </cell>
          <cell r="F13" t="str">
            <v>3. Ejercer una influencia académica actualizada y de calidad en el sistema universitario nacional.</v>
          </cell>
        </row>
        <row r="14">
          <cell r="E14">
            <v>0</v>
          </cell>
          <cell r="F14">
            <v>0</v>
          </cell>
        </row>
      </sheetData>
      <sheetData sheetId="2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12.12.12</v>
          </cell>
          <cell r="F6" t="str">
            <v xml:space="preserve">1) Socialización de los lineamientos metodológicos.                                                                                                                                                                                                                                       </v>
          </cell>
        </row>
        <row r="7">
          <cell r="E7">
            <v>0</v>
          </cell>
          <cell r="F7" t="str">
            <v>2) Jornadas de trabajo (conferencias, exposiciones, talleres, y otros) interdisciplinarias orientadas a la transversalización efectiva y profunda del eje de ética.</v>
          </cell>
        </row>
        <row r="8">
          <cell r="E8">
            <v>0</v>
          </cell>
          <cell r="F8">
            <v>0</v>
          </cell>
        </row>
        <row r="9">
          <cell r="E9">
            <v>0</v>
          </cell>
          <cell r="F9" t="str">
            <v>Gestión de convenios y planes de trabajo en ejecución, que fundamentan un ejercicio de las funciones académicas con identidad.</v>
          </cell>
        </row>
        <row r="10">
          <cell r="E10">
            <v>0</v>
          </cell>
          <cell r="F10" t="str">
            <v>Inversión para la gestión de los proyectos culturales.</v>
          </cell>
        </row>
        <row r="11">
          <cell r="E11">
            <v>0</v>
          </cell>
          <cell r="F11" t="str">
            <v>Promoción activa y efectiva de iniciativas en red.</v>
          </cell>
        </row>
        <row r="12">
          <cell r="E12">
            <v>0</v>
          </cell>
          <cell r="F12" t="str">
            <v>Inversión para el desarrollo de iniciativas de incidencia para implementar el Programa LO ESENCIAL.</v>
          </cell>
        </row>
        <row r="13">
          <cell r="E13">
            <v>0</v>
          </cell>
          <cell r="F13" t="str">
            <v>Promoción e inversión en encuentros regionales.</v>
          </cell>
        </row>
        <row r="14">
          <cell r="E14">
            <v>0</v>
          </cell>
          <cell r="F14" t="str">
            <v>Promoción de aprobación y firma de convenios regionales con socios estratégicos</v>
          </cell>
        </row>
        <row r="15">
          <cell r="E15">
            <v>0</v>
          </cell>
          <cell r="F15" t="str">
            <v>Construcción participativa y ejecución en red de proyectos de ciudadanía cultural</v>
          </cell>
        </row>
        <row r="16">
          <cell r="E16">
            <v>0</v>
          </cell>
          <cell r="F16">
            <v>0</v>
          </cell>
        </row>
      </sheetData>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row r="584">
          <cell r="B584">
            <v>0</v>
          </cell>
          <cell r="C584" t="str">
            <v>Total Plan Operativo</v>
          </cell>
        </row>
      </sheetData>
      <sheetData sheetId="3"/>
      <sheetData sheetId="4"/>
      <sheetData sheetId="5"/>
      <sheetData sheetId="6"/>
      <sheetData sheetId="7"/>
      <sheetData sheetId="8"/>
      <sheetData sheetId="9"/>
      <sheetData sheetId="10"/>
      <sheetData sheetId="11">
        <row r="3">
          <cell r="E3" t="str">
            <v>Correlativo de la Actividad</v>
          </cell>
          <cell r="F3" t="str">
            <v>ACTIVIDADES</v>
          </cell>
        </row>
        <row r="6">
          <cell r="F6" t="str">
            <v>a.1 Realización de investigaciones de mercado que permitan evaluar la pertinencia de los planes de estudio.                                                                                                              a.2 Intitucionalización de comisiones y sub comisiones de desarrollo curricular.</v>
          </cell>
        </row>
        <row r="7">
          <cell r="F7" t="str">
            <v>b.1 Realizar un apoyo de universidades líderes, reformas en los planes y programas de estudio de todas las carreras para ajustarlas al Modelo Educativo de la UNAH y a las exigencias del desarrollo tecnológico, científico y del entorno social.</v>
          </cell>
        </row>
        <row r="8">
          <cell r="F8" t="str">
            <v>b.2 Impartir talleres de capacitación a toda la comunidad docente  sobre los fundamentos y principios del nuevo modelo educativo.                                                       b.3 Promoción e incentivos para la innovación educativa.</v>
          </cell>
        </row>
        <row r="9">
          <cell r="F9" t="str">
            <v>b.3 Ejecución de la ruta del desarrollo curricular en las unidades Académicas.</v>
          </cell>
        </row>
        <row r="10">
          <cell r="F10" t="str">
            <v>Promoción de la obligatoriedad de mantenimiento del sistema de estadísiticas por parte de todas las instancias de gestión académica.</v>
          </cell>
        </row>
        <row r="11">
          <cell r="F11" t="str">
            <v>b.5 Incorporar al menos 15 carreras al nuevo modelo educativo.</v>
          </cell>
        </row>
        <row r="12">
          <cell r="F12" t="str">
            <v>c.1 Actualizar permanentemente los currículos de acuerdo a estudios de pertinencia y de mercado, a realizar y conforme a los planes de mejora del proceso de autoevaluación.</v>
          </cell>
        </row>
        <row r="13">
          <cell r="F13" t="str">
            <v>Inversión para la ejecución de los planes de mejora.</v>
          </cell>
        </row>
        <row r="14">
          <cell r="F14" t="str">
            <v xml:space="preserve">1) Apropiación, alineamiento y articulación de las unidades académicas de la UNAH con los requerimientos del SHACES. </v>
          </cell>
        </row>
        <row r="15">
          <cell r="F15" t="str">
            <v>1) Divulgación de Normas Académicas a toda la comunidad universitaria.                                                                                                                                                                                              2) Edición y publicación.</v>
          </cell>
        </row>
      </sheetData>
      <sheetData sheetId="12">
        <row r="3">
          <cell r="E3" t="str">
            <v>Correlativo de Actividad</v>
          </cell>
          <cell r="F3" t="str">
            <v>ACTIVIDADES</v>
          </cell>
        </row>
        <row r="6">
          <cell r="E6" t="str">
            <v>2.a.1</v>
          </cell>
          <cell r="F6" t="str">
            <v>a.1 Creación y fortalecimiento del comité de investigación científica y de vinculación Universidad-Sociedad de Derecho</v>
          </cell>
        </row>
        <row r="7">
          <cell r="F7" t="str">
            <v>b.1 Creación de un programa de formación, capacitación y actualización científica en la Universidad, a través de becas, programas, talleres, cursos y seminarios.</v>
          </cell>
        </row>
        <row r="8">
          <cell r="E8" t="str">
            <v>2.b.2</v>
          </cell>
          <cell r="F8" t="str">
            <v>b.2 Taller de investigaciones científicas</v>
          </cell>
        </row>
        <row r="9">
          <cell r="F9" t="str">
            <v>Inversión institucional para la incorporación de herramientas informáticas.</v>
          </cell>
        </row>
        <row r="10">
          <cell r="F10" t="str">
            <v>c.1 Realizar reuniones y presentaciones para sociabilizar la aplicación de las políticas de investigación de la UNAH, o de la unidad académica específica inmersa en los procesos de investigación.</v>
          </cell>
        </row>
        <row r="11">
          <cell r="F11" t="str">
            <v>d.1 Crear en la UNAH revistas científicas en la que se publican las investigaciones importantes realizadas.</v>
          </cell>
        </row>
        <row r="12">
          <cell r="F12" t="str">
            <v>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v>
          </cell>
        </row>
        <row r="13">
          <cell r="F13" t="str">
            <v>d.3 Difundir en revistas científicas del exterior aquellos trabajos científicos importantes.</v>
          </cell>
        </row>
        <row r="14">
          <cell r="E14" t="str">
            <v>2.d.3.1</v>
          </cell>
          <cell r="F14" t="str">
            <v>d.3.1  Realizar investigación de acoso sexual UNAH-VS</v>
          </cell>
        </row>
        <row r="15">
          <cell r="E15" t="str">
            <v>2.d.3.2</v>
          </cell>
          <cell r="F15" t="str">
            <v>d.3.2 Socialización de la investigación de Acoso Sexual</v>
          </cell>
        </row>
        <row r="16">
          <cell r="E16" t="str">
            <v>2.d.4</v>
          </cell>
          <cell r="F16" t="str">
            <v>d.4 Difusión de resultado dela investigación de Acoso Sexual</v>
          </cell>
        </row>
        <row r="18">
          <cell r="F18" t="str">
            <v>f.1 Presentación ante las autoridades competentes o un Comité de Gestión Científica los proyectos a desarrollar, ya sea con fondos internos o externos, para su financiamiento.</v>
          </cell>
        </row>
      </sheetData>
      <sheetData sheetId="13">
        <row r="3">
          <cell r="E3" t="str">
            <v>Correlativo de Actividad</v>
          </cell>
          <cell r="F3" t="str">
            <v>ACTIVIDADES</v>
          </cell>
        </row>
        <row r="7">
          <cell r="E7" t="str">
            <v>3.a.1</v>
          </cell>
          <cell r="F7" t="str">
            <v>a.1 Creación y funcionamiento de un Comité de Vinculación en cada unidad académica para que promueva y gestione el desarrollo  de proyectos con la Dirección de Gestión UNAH- Sociedad para contribuir a la solución de problemas en el país.</v>
          </cell>
        </row>
        <row r="8">
          <cell r="E8" t="str">
            <v>3.a.2</v>
          </cell>
          <cell r="F8" t="str">
            <v>a.2 Mejor codiciones de atecion al publico en el consultorio Juridico</v>
          </cell>
        </row>
        <row r="9">
          <cell r="E9" t="str">
            <v>3.c.1</v>
          </cell>
          <cell r="F9" t="str">
            <v>c.1  Charla para Socializar y aplicar las políticas de vinculación.</v>
          </cell>
        </row>
        <row r="10">
          <cell r="F10" t="str">
            <v>Los Departamentos Académicos negocian y promueven ls sprobación de convenios en el campo de la vinculación.</v>
          </cell>
        </row>
        <row r="11">
          <cell r="F11"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3">
          <cell r="F13"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sheetData>
      <sheetData sheetId="14">
        <row r="3">
          <cell r="E3" t="str">
            <v>Correlativo de Actividad</v>
          </cell>
          <cell r="F3" t="str">
            <v>ACTIVIDADES</v>
          </cell>
        </row>
        <row r="6">
          <cell r="E6" t="str">
            <v>4.4.4</v>
          </cell>
          <cell r="F6" t="str">
            <v>Inversión para la ejecución del plan de profesionalización docente.</v>
          </cell>
        </row>
        <row r="7">
          <cell r="F7" t="str">
            <v>1) Publicación.</v>
          </cell>
        </row>
        <row r="8">
          <cell r="F8" t="str">
            <v>Socialización e implementación de mecanismos que aseguren el uso del perfil general docente.</v>
          </cell>
        </row>
        <row r="10">
          <cell r="F10" t="str">
            <v>b.2 Aumentar inversión institucional para la oferta de postgrados a los docentes.</v>
          </cell>
        </row>
        <row r="11">
          <cell r="F11" t="str">
            <v>1) Socialización de la evaluación del desempeño a docentes y personal administrativo.                                                                                                                                                                  2) Implementación de la Evaluación del desempeño</v>
          </cell>
        </row>
      </sheetData>
      <sheetData sheetId="15">
        <row r="3">
          <cell r="E3" t="str">
            <v>Correlativo de Actividad</v>
          </cell>
          <cell r="F3" t="str">
            <v>ACTIVIDADES</v>
          </cell>
        </row>
        <row r="6">
          <cell r="E6" t="str">
            <v>5.5.5</v>
          </cell>
          <cell r="F6" t="str">
            <v>a.1 Asesoría técnica e Inversión para la crearción o fortalecimiento de las bases de datos para el seguimiento de los estudiantes, incluyendo información de ingreso, permanencia y egresos.</v>
          </cell>
        </row>
        <row r="7">
          <cell r="F7" t="str">
            <v>a.3 Realizar estudios de mercado para la determinación de la oferta de trabajo y la apertura de nuevas carreras.</v>
          </cell>
        </row>
        <row r="8">
          <cell r="F8" t="str">
            <v>a.4 Fortalecer el sistema de bibliotecas y  crear un sistema virtual para la obtención de documentos y materiales de trabajo de las diferentes carreras.</v>
          </cell>
        </row>
        <row r="9">
          <cell r="F9" t="str">
            <v>a.4 Fortalecer el sistema de bibliotecas y  crear un sistema virtual para la obtención de documentos y materiales de trabajo de las diferentes carreras.</v>
          </cell>
        </row>
        <row r="10">
          <cell r="F10" t="str">
            <v>a.5 Ampliar las áreas recreativas y de estudio para la satisfacción del estudiante de acuerdo al Plan de Desarrollo físico de la Universidad.</v>
          </cell>
        </row>
        <row r="11">
          <cell r="F11" t="str">
            <v>b.1 Mejorar la eficacia y calidad de los servicios estudiantiles.</v>
          </cell>
        </row>
        <row r="12">
          <cell r="F12" t="str">
            <v>Asesoría técnica e Inversión para gestión de sistema de indicadores.</v>
          </cell>
        </row>
        <row r="13">
          <cell r="F13" t="str">
            <v>Asesoría técnica e inversión para integración de bases de datos y acceso a las mismas.</v>
          </cell>
        </row>
        <row r="14">
          <cell r="F14" t="str">
            <v>c.1 fortalecer la reglamentación estudiantil existente y aplicarla eficientemente.</v>
          </cell>
        </row>
      </sheetData>
      <sheetData sheetId="16">
        <row r="3">
          <cell r="E3" t="str">
            <v>Correlativo de Actividad</v>
          </cell>
          <cell r="F3" t="str">
            <v>ACTIVIDADES</v>
          </cell>
        </row>
        <row r="8">
          <cell r="E8" t="str">
            <v>6.a.1</v>
          </cell>
          <cell r="F8" t="str">
            <v>a.1 Monitoría y evaluación del desarrollo y funcionamiento de la plataforma tecnológica.</v>
          </cell>
        </row>
        <row r="9">
          <cell r="F9" t="str">
            <v>b.1 Mejorar y optimizar el espacio físico de aulas, laboratorios, talleres y oficinas.</v>
          </cell>
        </row>
        <row r="10">
          <cell r="F10" t="str">
            <v>c.1 Mejorar los servicios de tecnología educativa en las diferentes aulas.                                                                                                                                                                                              c.2 Ejecución de plan de capacitación en uso adecuado de equipo.                                                                                                                                                                                                     c.3 Indicadores de desempeño positivos</v>
          </cell>
        </row>
        <row r="11">
          <cell r="F11" t="str">
            <v>a) Regularizar docentes ya contratados para tener un mínimo de docentes a tiempo completo en todas las unidades.                                                                                                    B) Adecuación ó creación de mecanismos de registro y control docente con enfoque integral.</v>
          </cell>
        </row>
        <row r="12">
          <cell r="F12" t="str">
            <v>e.1 Dotar a todas las Unidades Académicas y Administrativas de manuales de procedimientos y toda clase de normativa interna e institucional para el buen funcionamiento y cumplimiento de sus actividades.</v>
          </cell>
        </row>
        <row r="13">
          <cell r="E13" t="str">
            <v>6.f.a.1</v>
          </cell>
          <cell r="F13" t="str">
            <v>a.1 Diseñar un plan de capacitación para todos los recursos humanos.</v>
          </cell>
        </row>
        <row r="14">
          <cell r="E14" t="str">
            <v>6.f.a.2</v>
          </cell>
          <cell r="F14" t="str">
            <v>a.2 Maestría en Procesal Civil</v>
          </cell>
        </row>
      </sheetData>
      <sheetData sheetId="17">
        <row r="3">
          <cell r="E3" t="str">
            <v>Correlativo de Actividad</v>
          </cell>
          <cell r="F3" t="str">
            <v>ACTIVIDADES</v>
          </cell>
        </row>
        <row r="7">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8">
          <cell r="F8" t="str">
            <v>a.2 Impulsar la internacionalización de la Universidad, tomando como primera instancia el escenario Centro Americano del CSUCA.</v>
          </cell>
        </row>
        <row r="9">
          <cell r="F9" t="str">
            <v xml:space="preserve">a.1 Realizacion de giras de practicas a diferentes instutuciones y organizaciones del pais </v>
          </cell>
        </row>
        <row r="10">
          <cell r="F10" t="str">
            <v xml:space="preserve">a.1 Realizacion de giras de practicas a diferentes instutuciones y organizaciones del pais </v>
          </cell>
        </row>
        <row r="11">
          <cell r="F11"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2">
          <cell r="F12" t="str">
            <v>b.1 se fortalecerán, promoverán y adoptarán políticas y practicas transparentes para la rendición de cuentas de las unidades académicas.</v>
          </cell>
        </row>
        <row r="13">
          <cell r="F13" t="str">
            <v>b.1  Continuar con practicas transparentes para la rendición de cuentas en Admisiones CURLA.</v>
          </cell>
        </row>
        <row r="14">
          <cell r="F14" t="str">
            <v>c.1 Las unidades académicas respectivas participan permanentemente en sus áreas de conocimiento  en evaluaciones para el mejoramiento de la educación superior en el país.</v>
          </cell>
        </row>
        <row r="15">
          <cell r="F15" t="str">
            <v>c.1 El departamento de Industrias Forestales participara permanentemente en sus áreas del conocimiento  y en evaluaciones para el mejoramiento de la educación superior en el país.</v>
          </cell>
        </row>
        <row r="16">
          <cell r="F16" t="str">
            <v>c.1 El departemento de silvicultura participará permanentemente en sus áreas de conocimiento  en evaluaciones para el mejoramiento de la educación superior en el país.</v>
          </cell>
        </row>
        <row r="17">
          <cell r="F17" t="str">
            <v>c.1 El departemento de silvicultura participará permanentemente en sus áreas de conocimiento  en evaluaciones para el mejoramiento de la educación superior en el país.</v>
          </cell>
        </row>
      </sheetData>
      <sheetData sheetId="18">
        <row r="3">
          <cell r="E3" t="str">
            <v>Correlativo de Actividad</v>
          </cell>
          <cell r="F3" t="str">
            <v>ACTIVIDADES</v>
          </cell>
        </row>
        <row r="6">
          <cell r="E6" t="str">
            <v>8.8.8</v>
          </cell>
          <cell r="F6" t="str">
            <v>a. 1 Analizar el perfil del egresado de las carreras de acuerdo a las demandas laborales de profesionales.</v>
          </cell>
        </row>
        <row r="7">
          <cell r="F7" t="str">
            <v>b.1 Realizar encuestas de satisfacción de los egresados.</v>
          </cell>
        </row>
        <row r="8">
          <cell r="F8" t="str">
            <v>c.1 Realizar encuestas del desempeño laboral de los egresados.</v>
          </cell>
        </row>
        <row r="9">
          <cell r="F9" t="str">
            <v>d.1 IDEM</v>
          </cell>
        </row>
        <row r="10">
          <cell r="F10" t="str">
            <v>e.1 Realizar encuestas de satisfacción comunitaria.</v>
          </cell>
        </row>
      </sheetData>
      <sheetData sheetId="19">
        <row r="3">
          <cell r="E3" t="str">
            <v>Correlativo de Actividad</v>
          </cell>
          <cell r="F3" t="str">
            <v>ACTIVIDADES</v>
          </cell>
        </row>
        <row r="6">
          <cell r="E6" t="str">
            <v>9.9.9</v>
          </cell>
          <cell r="F6" t="str">
            <v>a.1 Socialización e ejecución del proceso de organización y desarrollo de las redes educativas regionales con actores internos y externos a la UNAH.</v>
          </cell>
        </row>
        <row r="8">
          <cell r="F8" t="str">
            <v>a.2 Consolidación y funcionamiento de los institutos tecnológicos de Tela, Gracias  a Dios y Puerto Cortes.</v>
          </cell>
        </row>
        <row r="9">
          <cell r="F9" t="str">
            <v>b.1 Realización de estudios regionalizados de cobertura y equidad en el acceso a la UNAH y de estudios de oferta y demanda de estudios universitarios en cada región educativa.</v>
          </cell>
        </row>
        <row r="10">
          <cell r="F10"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1">
          <cell r="F11" t="str">
            <v>1) Fortalecimiento del Programa de Incentivos a la investigación.                                                                                                                                                                                                              2) Asignación y disponibilidad de recursos subyacientes para la ejecución de dos programas.</v>
          </cell>
        </row>
        <row r="12">
          <cell r="F12" t="str">
            <v>1) Implantación y fortalecimiento de la política de incentivos para la mejora continúa del funcionamiento de las redes educativas regionales.</v>
          </cell>
        </row>
        <row r="13">
          <cell r="F13" t="str">
            <v>b.4 Desarrollar los Módulos del Subsistema de Planificación, M&amp;E. b.5) Implantación en Facultades y CRU's pilotos para hacer pruebas beta con los usuarios. b.6) Depuración del Subsistema. b.7) Implantación del Subsistema en las Facultades y CRU's</v>
          </cell>
        </row>
        <row r="18">
          <cell r="F18" t="str">
            <v>1) Consolidación del programa de formación y capacitación institucional en TIC.                                                                                                                                                                               2)Mantenimiento permanente y sostenido de página web de la UNAH.                                                                                                                                                                                            3) Monitoría y evaluación del Programa de Educación Permanente.</v>
          </cell>
        </row>
        <row r="20">
          <cell r="F20" t="str">
            <v>1) Jornadas de intercambio de experiencias, y presentación de resultados, entre investigadores socio económicos, investigadores de la economía de la cultura, alumnos y comunidad universitaria en general.</v>
          </cell>
        </row>
      </sheetData>
      <sheetData sheetId="20">
        <row r="3">
          <cell r="E3" t="str">
            <v>Correlativo de Actividad</v>
          </cell>
          <cell r="F3" t="str">
            <v>ACTIVIDADES</v>
          </cell>
        </row>
        <row r="7">
          <cell r="E7" t="str">
            <v>10.10.10</v>
          </cell>
          <cell r="F7" t="str">
            <v>2.1  Dar asesoramiento tecnico y juridico                   2.2 recopilacion de datos y documentos.                              2.3 Envio de correspondencia e informacion</v>
          </cell>
        </row>
        <row r="8">
          <cell r="F8" t="str">
            <v>a.3 Según sea el caso, se deben realizar las siguientes actividades o procesos: Revisión; actualización; complementación; inclusión del eje de ética; adecuación curricular; reforma del plan de estudio; nueva oferta educativa.</v>
          </cell>
        </row>
        <row r="9">
          <cell r="F9" t="str">
            <v>b.1 Coordinación con la Direccion Departamental de Educación para la articulación del nivel medio con el nivel universitario en el Caribe Hondureño.</v>
          </cell>
        </row>
      </sheetData>
      <sheetData sheetId="21">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2">
        <row r="3">
          <cell r="E3" t="str">
            <v>Correlativo de Actividad</v>
          </cell>
          <cell r="F3" t="str">
            <v>ACTIVIDADES</v>
          </cell>
        </row>
        <row r="6">
          <cell r="E6" t="str">
            <v>12.12.12</v>
          </cell>
          <cell r="F6" t="str">
            <v xml:space="preserve">1) Socialización de los lineamientos metodológicos.                                                                                                                                                                                                                                       </v>
          </cell>
        </row>
        <row r="7">
          <cell r="F7" t="str">
            <v>2) Jornadas de trabajo (conferencias, exposiciones, talleres, y otros) interdisciplinarias orientadas a la transversalización efectiva y profunda del eje de ética.</v>
          </cell>
        </row>
        <row r="9">
          <cell r="F9" t="str">
            <v>Gestión de convenios y planes de trabajo en ejecución, que fundamentan un ejercicio de las funciones académicas con identidad.</v>
          </cell>
        </row>
        <row r="10">
          <cell r="F10" t="str">
            <v>Inversión para la gestión de los proyectos culturales.</v>
          </cell>
        </row>
        <row r="11">
          <cell r="F11" t="str">
            <v>Promoción activa y efectiva de iniciativas en red.</v>
          </cell>
        </row>
        <row r="12">
          <cell r="F12" t="str">
            <v>Inversión para el desarrollo de iniciativas de incidencia para implementar el Programa LO ESENCIAL.</v>
          </cell>
        </row>
        <row r="13">
          <cell r="F13" t="str">
            <v>Promoción e inversión en encuentros regionales.</v>
          </cell>
        </row>
        <row r="14">
          <cell r="F14" t="str">
            <v>Promoción de aprobación y firma de convenios regionales con socios estratégicos</v>
          </cell>
        </row>
        <row r="15">
          <cell r="F15" t="str">
            <v>Construcción participativa y ejecución en red de proyectos de ciudadanía cultural</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row r="584">
          <cell r="B584">
            <v>0</v>
          </cell>
          <cell r="C584" t="str">
            <v>Total Plan Operativo</v>
          </cell>
        </row>
      </sheetData>
      <sheetData sheetId="3"/>
      <sheetData sheetId="4"/>
      <sheetData sheetId="5"/>
      <sheetData sheetId="6"/>
      <sheetData sheetId="7"/>
      <sheetData sheetId="8"/>
      <sheetData sheetId="9"/>
      <sheetData sheetId="10"/>
      <sheetData sheetId="11">
        <row r="1">
          <cell r="E1">
            <v>0</v>
          </cell>
        </row>
        <row r="2">
          <cell r="E2">
            <v>0</v>
          </cell>
          <cell r="F2">
            <v>0</v>
          </cell>
        </row>
        <row r="3">
          <cell r="E3" t="str">
            <v>Correlativo de la Actividad</v>
          </cell>
          <cell r="F3" t="str">
            <v>ACTIVIDADES</v>
          </cell>
        </row>
        <row r="4">
          <cell r="E4">
            <v>0</v>
          </cell>
          <cell r="F4">
            <v>0</v>
          </cell>
        </row>
        <row r="5">
          <cell r="E5">
            <v>0</v>
          </cell>
          <cell r="F5">
            <v>0</v>
          </cell>
        </row>
        <row r="6">
          <cell r="E6" t="str">
            <v>1.a.1</v>
          </cell>
          <cell r="F6" t="str">
            <v>a.1 Realización de investigaciones de mercado que permitan evaluar la pertinencia de los planes de estudio.                                                                                                              a.2 Intitucionalización de comisiones y sub comisiones de desarrollo curricular.</v>
          </cell>
        </row>
        <row r="7">
          <cell r="E7">
            <v>0</v>
          </cell>
          <cell r="F7">
            <v>0</v>
          </cell>
        </row>
        <row r="8">
          <cell r="E8" t="str">
            <v>1.b.2</v>
          </cell>
          <cell r="F8" t="str">
            <v>b.2 verificacion del programa anilitico de cada docente de docente  de la carrera de Pedagogia                                                       b.3 Evaluacion de los resultados</v>
          </cell>
        </row>
        <row r="9">
          <cell r="E9" t="str">
            <v>1.b.3</v>
          </cell>
          <cell r="F9" t="str">
            <v>b.3 Ejecución de la ruta del desarrollo curricular en la carrera de Pedagogia.</v>
          </cell>
        </row>
        <row r="10">
          <cell r="E10" t="str">
            <v>1.b.4</v>
          </cell>
          <cell r="F10" t="str">
            <v>Promoción de la obligatoriedad de mantenimiento del sistema de estadísiticas por parte de la carrera de Pedagogia</v>
          </cell>
        </row>
        <row r="11">
          <cell r="E11">
            <v>0</v>
          </cell>
          <cell r="F11">
            <v>0</v>
          </cell>
        </row>
        <row r="12">
          <cell r="E12" t="str">
            <v>1.b.5</v>
          </cell>
          <cell r="F12" t="str">
            <v>c.1 Actualizar permanentemente el   currículo de la Carrera de Pedagogia  de acuerdo a estudios de pertinencia y de mercado, a realizar y conforme a los planes de mejora del proceso de autoevaluación.</v>
          </cell>
        </row>
        <row r="13">
          <cell r="E13" t="str">
            <v>1.b.6</v>
          </cell>
          <cell r="F13" t="str">
            <v>Inversión para la ejecución de los planes de mejora.</v>
          </cell>
        </row>
        <row r="14">
          <cell r="E14" t="str">
            <v>1.b.7</v>
          </cell>
          <cell r="F14" t="str">
            <v xml:space="preserve">1) Apropiación, alineamiento y articulación de las unidades académicas de la Carrera de Pedagogia con los requerimientos del SHACES. </v>
          </cell>
        </row>
        <row r="15">
          <cell r="E15">
            <v>0</v>
          </cell>
          <cell r="F15">
            <v>0</v>
          </cell>
        </row>
        <row r="16">
          <cell r="E16">
            <v>0</v>
          </cell>
          <cell r="F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sheetData>
      <sheetData sheetId="1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2.a.1</v>
          </cell>
          <cell r="F6" t="str">
            <v>a.1 Fortalecimiento del comité de investigación científica y de vinculación Universidad-Sociedad de la Carrera de Pedagogia UNAH.VS</v>
          </cell>
        </row>
        <row r="7">
          <cell r="E7">
            <v>0</v>
          </cell>
          <cell r="F7">
            <v>0</v>
          </cell>
        </row>
        <row r="8">
          <cell r="E8" t="str">
            <v>2.b.2</v>
          </cell>
          <cell r="F8" t="str">
            <v>Inversión institucional para capacitación de docentes, enviar a los cinco docentes seleccionados a por lo menos un taller, capacitación, curso, congreso o seminario al exterior.</v>
          </cell>
        </row>
        <row r="9">
          <cell r="E9" t="str">
            <v>2.b.3</v>
          </cell>
          <cell r="F9" t="str">
            <v>a. Diagnosticar necesidades de capacitacion en la multimodalidad. .b Realizar las capacitaciones en bases a los resultados del DNC.</v>
          </cell>
        </row>
        <row r="10">
          <cell r="E10">
            <v>0</v>
          </cell>
          <cell r="F10">
            <v>0</v>
          </cell>
        </row>
        <row r="11">
          <cell r="E11" t="str">
            <v>2.d.2</v>
          </cell>
          <cell r="F11" t="str">
            <v>d.1 Crear en la Carrera de Pedagogia de la UNAH.VS revistas científicas en la que se publican las investigaciones importantes realizadas en la misma.</v>
          </cell>
        </row>
        <row r="12">
          <cell r="E12" t="str">
            <v>2.d.2</v>
          </cell>
          <cell r="F12" t="str">
            <v>d.1 Realizar reuniones y presentaciones para sociabilizar los procesos de investigación realizados.                                                                                                                                                                                                                                                                 d.2 Publicar los trabajos  científicos de importancia en la página WEB de la UNAH por la carrera de Pedagogia UNAH.VS en el area de la investigación.                                  d.3 Difusión de publicaciones impresas, a través de talleres, presentación de libros, conversatorios, seminarios, coloquios científicos.</v>
          </cell>
        </row>
        <row r="13">
          <cell r="E13" t="str">
            <v>2.d.2</v>
          </cell>
          <cell r="F13" t="str">
            <v>d.3 Difundir en revistas científicas del exterior aquellos trabajos científicos importantes.</v>
          </cell>
        </row>
        <row r="14">
          <cell r="E14" t="str">
            <v>2.d.2</v>
          </cell>
          <cell r="F14" t="str">
            <v>d.4 realizar presentaciones para la difusión de los trabajos científicos al público en general, especialmente   a los sectores relacionados con los campos de la investigación.</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3">
        <row r="1">
          <cell r="E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3.a.1</v>
          </cell>
          <cell r="F7" t="str">
            <v>a.1 Creación y funcionamiento de un Comité de Vinculación en la Carrera de Pedagogia para que promueva y gestione el desarrollo  de proyectos con la Dirección de Gestión UNAH- Sociedad para contribuir a la solución de problemas de la región y del país.</v>
          </cell>
        </row>
        <row r="8">
          <cell r="E8">
            <v>0</v>
          </cell>
          <cell r="F8">
            <v>0</v>
          </cell>
        </row>
        <row r="9">
          <cell r="E9">
            <v>0</v>
          </cell>
          <cell r="F9" t="str">
            <v>c.1 El departamento de Pedagogia realizan actividades para socializar y aplicar las políticas de vinculación. C2) En las asignaturas se incluye la socialización de la politicas de vinculación.</v>
          </cell>
        </row>
        <row r="10">
          <cell r="E10">
            <v>0</v>
          </cell>
          <cell r="F10">
            <v>0</v>
          </cell>
        </row>
        <row r="11">
          <cell r="E11">
            <v>0</v>
          </cell>
          <cell r="F11" t="str">
            <v>d.1 El departamento de Pedagogia realiza actividades para divulgar los proyectos de vinculación y sus resultados.                                                                                              d.2 La carrera de pedagogia realiza gestiones ante organismos nacionales o externos para la obtención de recursos para proyectos de vinculación.</v>
          </cell>
        </row>
        <row r="12">
          <cell r="E12">
            <v>0</v>
          </cell>
          <cell r="F12">
            <v>0</v>
          </cell>
        </row>
        <row r="13">
          <cell r="E13">
            <v>0</v>
          </cell>
          <cell r="F13">
            <v>0</v>
          </cell>
        </row>
        <row r="14">
          <cell r="E14">
            <v>0</v>
          </cell>
          <cell r="F14">
            <v>0</v>
          </cell>
        </row>
        <row r="15">
          <cell r="E15">
            <v>0</v>
          </cell>
          <cell r="F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4">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4.a1</v>
          </cell>
          <cell r="F6" t="str">
            <v>Inversión para la ejecución del plan de profesionalización docente de la carrera de Pedagogia.</v>
          </cell>
        </row>
        <row r="7">
          <cell r="E7">
            <v>0</v>
          </cell>
          <cell r="F7">
            <v>0</v>
          </cell>
        </row>
        <row r="8">
          <cell r="E8" t="str">
            <v>4.b.1</v>
          </cell>
          <cell r="F8" t="str">
            <v>Socialización e implementación de procesos de contratacion de personal  que aseguren el uso del perfil  docente de la carrera de Pedagogia.</v>
          </cell>
        </row>
        <row r="9">
          <cell r="E9" t="str">
            <v>4.b.2</v>
          </cell>
          <cell r="F9" t="str">
            <v>Publicar los concursos dando las bases que estipula el estatuto del docente universitario en la carrera de Pedagogia</v>
          </cell>
        </row>
        <row r="10">
          <cell r="E10" t="str">
            <v>4.b.3</v>
          </cell>
          <cell r="F10" t="str">
            <v>b.2 Aumentar inversión institucional para la oferta de postgrados a los docentes.</v>
          </cell>
        </row>
        <row r="11">
          <cell r="E11" t="str">
            <v>4.b.4</v>
          </cell>
          <cell r="F11" t="str">
            <v>1) Socialización de la evaluación del desempeño a docentes y personal administrativo.                                                                                                                                                                  2) Implementación de la Evaluación del desempeño</v>
          </cell>
        </row>
        <row r="12">
          <cell r="E12">
            <v>0</v>
          </cell>
          <cell r="F12">
            <v>0</v>
          </cell>
        </row>
      </sheetData>
      <sheetData sheetId="15">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sheetData>
      <sheetData sheetId="16">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t="str">
            <v>6.a.1.</v>
          </cell>
          <cell r="F8" t="str">
            <v>a.1 Monitoría y evaluación del desarrollo y funcionamiento de la plataforma tecnológica.</v>
          </cell>
        </row>
        <row r="9">
          <cell r="E9" t="str">
            <v>6.b.1.1</v>
          </cell>
          <cell r="F9" t="str">
            <v>b.1 Mejorar y optimizar el espacio físico del departamento de Pedagogia y aulas, aula de informatica , oficinas y techado de las aulas de clase de la Carrera de Pedagogia.</v>
          </cell>
        </row>
        <row r="10">
          <cell r="E10" t="str">
            <v>6.c..1.2</v>
          </cell>
          <cell r="F10" t="str">
            <v>c.1 Mejorar los servicios de tecnología educativa en las diferentes aulas.                                                                                                                                                                                              c.2 Ejecución de plan de capacitación en uso adecuado de equipo.                                                                                                                                                                                                     c.3 Indicadores de desempeño positivos</v>
          </cell>
        </row>
        <row r="11">
          <cell r="E11">
            <v>0</v>
          </cell>
          <cell r="F11">
            <v>0</v>
          </cell>
        </row>
        <row r="12">
          <cell r="E12">
            <v>0</v>
          </cell>
          <cell r="F12">
            <v>0</v>
          </cell>
        </row>
        <row r="13">
          <cell r="E13" t="str">
            <v>6.f.1.</v>
          </cell>
          <cell r="F13" t="str">
            <v>f.1 Realizar capacitaciones en el diseño y creacion de planes y programas de estudio de la Carrera de Pedagogia.</v>
          </cell>
        </row>
        <row r="14">
          <cell r="E14">
            <v>0</v>
          </cell>
          <cell r="F14">
            <v>0</v>
          </cell>
        </row>
        <row r="15">
          <cell r="E15">
            <v>0</v>
          </cell>
          <cell r="F15">
            <v>0</v>
          </cell>
        </row>
        <row r="40">
          <cell r="E40">
            <v>0</v>
          </cell>
        </row>
      </sheetData>
      <sheetData sheetId="17">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t="str">
            <v>7.c.1</v>
          </cell>
          <cell r="F14" t="str">
            <v>c.1  La Maestria en educación Superior  participa en sus áreas de conocimiento  en la ejecución de capacitaciones en base a las necesidades pedagogicas de los docentes de otras Carreras. A traves de la unidad academica proponer diplomados en formación pedagogica.</v>
          </cell>
        </row>
        <row r="15">
          <cell r="E15" t="str">
            <v>7.c.1</v>
          </cell>
          <cell r="F15" t="str">
            <v>C.2. Abordaje de la problemática de educación superior por medio de la investigación cientifica que se genera en el postgrado de Educación Superior.</v>
          </cell>
        </row>
        <row r="16">
          <cell r="E16" t="str">
            <v>7.c.1</v>
          </cell>
          <cell r="F16" t="str">
            <v>c.3 La Maestria en Educación Superior realiza el proceso de autoevaluación en busqueda de su mejoramiento.</v>
          </cell>
        </row>
        <row r="17">
          <cell r="E17">
            <v>0</v>
          </cell>
          <cell r="F17">
            <v>0</v>
          </cell>
        </row>
        <row r="18">
          <cell r="E18">
            <v>0</v>
          </cell>
          <cell r="F18">
            <v>0</v>
          </cell>
        </row>
        <row r="19">
          <cell r="E19">
            <v>0</v>
          </cell>
          <cell r="F19">
            <v>0</v>
          </cell>
        </row>
        <row r="20">
          <cell r="E20">
            <v>0</v>
          </cell>
          <cell r="F20">
            <v>0</v>
          </cell>
        </row>
      </sheetData>
      <sheetData sheetId="18">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8.a.1</v>
          </cell>
          <cell r="F6" t="str">
            <v>a. 1 Analizar el actual perfil del egresado de la Carrera de Pedagogia de acuerdo a las demandas laborales de profesionales. A.2. Con la actualización del plan de estudio de la carrera se realizan los cambios necesarios al perfil del egresado.</v>
          </cell>
        </row>
        <row r="7">
          <cell r="E7" t="str">
            <v>8.a.1</v>
          </cell>
          <cell r="F7" t="str">
            <v xml:space="preserve">b.1 Realizar encuestas de satisfacción de los egresados en las asignaturas relacionadas con la investigación cientifica y la Maestria en Educación Superior.  </v>
          </cell>
        </row>
        <row r="8">
          <cell r="E8" t="str">
            <v>8.b.1</v>
          </cell>
          <cell r="F8" t="str">
            <v>c.1 Realizar encuestas del desempeño laboral de los egresados.  C.2. Crear una base de datos sobre egresados de la Carrera de Pedagogia.</v>
          </cell>
        </row>
        <row r="9">
          <cell r="E9">
            <v>0</v>
          </cell>
          <cell r="F9">
            <v>0</v>
          </cell>
        </row>
        <row r="10">
          <cell r="E10" t="str">
            <v>8.b.1</v>
          </cell>
          <cell r="F10" t="str">
            <v>e.1 Realizar encuestas de satisfacción comunitaria.  E2. Analisis de los resultados de las encuestas.  E3. Diseño de propuestas para la solucion de problemas identificados.</v>
          </cell>
        </row>
        <row r="11">
          <cell r="E11">
            <v>0</v>
          </cell>
          <cell r="F11">
            <v>0</v>
          </cell>
        </row>
      </sheetData>
      <sheetData sheetId="19">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t="str">
            <v>a.a.1</v>
          </cell>
          <cell r="F9" t="str">
            <v>b.1 Realización de estudios regionalizados de cobertura y equidad, oferta y demanda en el acceso a la Carrera de Pedagogia en la región UNAH.VS.</v>
          </cell>
        </row>
        <row r="10">
          <cell r="E10" t="str">
            <v>9.b.1</v>
          </cell>
          <cell r="F10" t="str">
            <v>1) Realizar estudios sobre la oferta y demanda academica de la Carrera de Pedagogia.                                                                                                                                                                                 2) Acompañamiento en el diseño de un programa de mejoramiento de oferta academica de la carrera de Pedagogia y la Maestria en Educación Superior.                                                                                                   3) Diseño e implantación de programas y proyectos de investigación y de vinculación Universidad – Sociedad con apoyo de la Maestria en educación Superior.</v>
          </cell>
        </row>
        <row r="11">
          <cell r="E11">
            <v>0</v>
          </cell>
          <cell r="F11">
            <v>0</v>
          </cell>
        </row>
        <row r="12">
          <cell r="E12">
            <v>0</v>
          </cell>
          <cell r="F12">
            <v>0</v>
          </cell>
        </row>
        <row r="13">
          <cell r="E13">
            <v>0</v>
          </cell>
          <cell r="F13">
            <v>0</v>
          </cell>
        </row>
        <row r="14">
          <cell r="E14">
            <v>0</v>
          </cell>
          <cell r="F14">
            <v>0</v>
          </cell>
        </row>
        <row r="15">
          <cell r="E15" t="str">
            <v>9.b.1</v>
          </cell>
          <cell r="F15" t="str">
            <v>1) organización del comité de vinculación Universidad-Sociedad de la Carrera de Pedagogia.    2) Diseñar programas y proyectos en cada asigantura para ejecutar junto al programa vinculación-universidad-sociedad en el area del conocimiento.</v>
          </cell>
        </row>
        <row r="16">
          <cell r="E16">
            <v>0</v>
          </cell>
          <cell r="F16">
            <v>0</v>
          </cell>
        </row>
        <row r="17">
          <cell r="E17" t="str">
            <v>9.b.2</v>
          </cell>
          <cell r="F17" t="str">
            <v xml:space="preserve">1) Realizar reportes de los estudios realizados sobre el seguimiento a egresados de la Carrera de Pedagogia, 2) Elaborar programas de seguiento a egresados de la Carrera de Pedagogia y socializar los resultados. 3)hacer analisis sobre el plan de estudio y programas de las orientaciones que ofrece la carrera de pedagogia y la nueva propuesta en la orientación en informatica. </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0">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sheetData>
      <sheetData sheetId="21">
        <row r="1">
          <cell r="E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sheetData>
      <sheetData sheetId="2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11.a.1</v>
          </cell>
          <cell r="F6" t="str">
            <v xml:space="preserve">1) Socialización de los lineamientos metodológicos al claustro docente de la carrera de pedagogia a traves de conferencias, foros y videos.                                                                                                                                                                                                                                       </v>
          </cell>
        </row>
        <row r="7">
          <cell r="E7">
            <v>0</v>
          </cell>
          <cell r="F7">
            <v>0</v>
          </cell>
        </row>
        <row r="8">
          <cell r="E8">
            <v>0</v>
          </cell>
          <cell r="F8">
            <v>0</v>
          </cell>
        </row>
        <row r="9">
          <cell r="E9" t="str">
            <v>11.b.1</v>
          </cell>
          <cell r="F9" t="str">
            <v>1. diseño de planes operativos que fometen la identidad nacional. 2) Gestión de planes de trabajo que fundamentan un ejercicio de las funciones académicas con identidad.</v>
          </cell>
        </row>
        <row r="10">
          <cell r="E10" t="str">
            <v>11.b.2</v>
          </cell>
          <cell r="F10" t="str">
            <v>Inversión para la gestión de los proyectos culturales, presentación de libros, concursos, ensayos sobre la vida de ventura ramos, Froylan Turcios, Roberto Sosa, Juan Ramon Molina y otros.</v>
          </cell>
        </row>
        <row r="11">
          <cell r="E11">
            <v>0</v>
          </cell>
          <cell r="F11">
            <v>0</v>
          </cell>
        </row>
        <row r="12">
          <cell r="E12" t="str">
            <v>11.c.1</v>
          </cell>
          <cell r="F12" t="str">
            <v>1)Consolidar elementos culturales como la lectura, oratoria. 2)celebrar fiestas civico-culturales una por periodo academico. 3)Participar activamente como voluntario en el Programa LO ESENCIAL. 4) Organización del cuadro de danzas de la carrera de pedagogia.</v>
          </cell>
        </row>
        <row r="13">
          <cell r="E13">
            <v>0</v>
          </cell>
          <cell r="F13">
            <v>0</v>
          </cell>
        </row>
        <row r="14">
          <cell r="E14">
            <v>0</v>
          </cell>
          <cell r="F14">
            <v>0</v>
          </cell>
        </row>
        <row r="15">
          <cell r="E15" t="str">
            <v>11.d.1</v>
          </cell>
          <cell r="F15" t="str">
            <v>1).Construcción participativa y ejecución en los proyectos del programa lo Esencial. 2) crear espacios para el dialogo, la criticidad y la reflexion.3) Implementación del programa identidad para la construccion de la ciudadania y sus respectivos proyectos.</v>
          </cell>
        </row>
        <row r="16">
          <cell r="E16">
            <v>0</v>
          </cell>
          <cell r="F16">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efreshError="1">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row r="584">
          <cell r="C584"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E3" t="str">
            <v>Correlativo de la Actividad</v>
          </cell>
          <cell r="F3" t="str">
            <v>ACTIVIDADES</v>
          </cell>
        </row>
        <row r="6">
          <cell r="E6" t="str">
            <v>1.a.1</v>
          </cell>
          <cell r="F6" t="str">
            <v>a.1 Organizar y Capacitar  las sub-comisiones de desarrollo curricular por carrera; a.2 Seguimiento y evaluación del proceso de reforma curricular</v>
          </cell>
        </row>
        <row r="7">
          <cell r="E7" t="str">
            <v>1.b.1</v>
          </cell>
          <cell r="F7" t="str">
            <v>b.1 Realizar un apoyo de universidades líderes, reformas en los planes y programas de estudio de todas las carreras para ajustarlas al Modelo Educativo de la UNAH y a las exigencias del desarrollo tecnológico, científico y del entorno social.</v>
          </cell>
        </row>
        <row r="8">
          <cell r="E8" t="str">
            <v>1.b.2</v>
          </cell>
          <cell r="F8" t="str">
            <v>b.2 Impartir talleres de capacitación a toda la comunidad docente  sobre los fundamentos y principios del nuevo modelo educativo.                                                       b.3 Promoción e incentivos para la innovación educativa.</v>
          </cell>
        </row>
        <row r="9">
          <cell r="F9" t="str">
            <v>b.3 Ejecución de la ruta del desarrollo curricular en las unidades Académicas.</v>
          </cell>
        </row>
        <row r="10">
          <cell r="F10" t="str">
            <v>Promoción de la obligatoriedad de mantenimiento del sistema de estadísiticas por parte de todas las instancias de gestión académica.</v>
          </cell>
        </row>
        <row r="11">
          <cell r="F11" t="str">
            <v>b.5 Incorporar al menos 15 carreras al nuevo modelo educativo.</v>
          </cell>
        </row>
        <row r="12">
          <cell r="F12" t="str">
            <v>c.1 Actualizar permanentemente los currículos de acuerdo a estudios de pertinencia y de mercado, a realizar y conforme a los planes de mejora del proceso de autoevaluación.</v>
          </cell>
        </row>
        <row r="13">
          <cell r="F13" t="str">
            <v>Inversión para la ejecución de los planes de mejora.</v>
          </cell>
        </row>
        <row r="14">
          <cell r="F14" t="str">
            <v xml:space="preserve">1) Apropiación, alineamiento y articulación de las unidades académicas de la UNAH con los requerimientos del SHACES. </v>
          </cell>
        </row>
        <row r="15">
          <cell r="F15" t="str">
            <v>1) Divulgación de Normas Académicas a toda la comunidad universitaria.                                                                                                                                                                                              2) Edición y publicación.</v>
          </cell>
        </row>
      </sheetData>
      <sheetData sheetId="12" refreshError="1">
        <row r="3">
          <cell r="E3" t="str">
            <v>Correlativo de Actividad</v>
          </cell>
          <cell r="F3" t="str">
            <v>ACTIVIDADES</v>
          </cell>
        </row>
        <row r="6">
          <cell r="E6" t="str">
            <v>2.2.2</v>
          </cell>
          <cell r="F6" t="str">
            <v>a.1 Creación y fortalecimiento en las Unidades Académicas, unidades, institutos o comités de investigación científica y de vinculación Universidad-Sociedad.</v>
          </cell>
        </row>
        <row r="7">
          <cell r="F7" t="str">
            <v>b.1 Creación de un programa de formación, capacitación y actualización científica en la Universidad, a través de becas, programas, talleres, cursos y seminarios.</v>
          </cell>
        </row>
        <row r="8">
          <cell r="F8" t="str">
            <v>Inversión institucional para capacitación de docentes.</v>
          </cell>
        </row>
        <row r="9">
          <cell r="F9" t="str">
            <v>Inversión institucional para la incorporación de herramientas informáticas.</v>
          </cell>
        </row>
        <row r="10">
          <cell r="F10" t="str">
            <v>c.1 Realizar reuniones y presentaciones para sociabilizar la aplicación de las políticas de investigación de la UNAH, o de la unidad académica específica inmersa en los procesos de investigación.</v>
          </cell>
        </row>
        <row r="11">
          <cell r="F11" t="str">
            <v>d.1 Crear en la UNAH revistas científicas en la que se publican las investigaciones importantes realizadas.</v>
          </cell>
        </row>
        <row r="12">
          <cell r="F12" t="str">
            <v>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v>
          </cell>
        </row>
        <row r="13">
          <cell r="F13" t="str">
            <v>d.3 Difundir en revistas científicas del exterior aquellos trabajos científicos importantes.</v>
          </cell>
        </row>
        <row r="14">
          <cell r="F14" t="str">
            <v>d.4 realizar presentaciones para la difusión de los trabajos científicos al público en general, especialmente   a los sectores relacionados con los campos de la investigación.</v>
          </cell>
        </row>
        <row r="16">
          <cell r="F16" t="str">
            <v>f.1 Presentación ante las autoridades competentes o un Comité de Gestión Científica los proyectos a desarrollar, ya sea con fondos internos o externos, para su financiamiento.</v>
          </cell>
        </row>
      </sheetData>
      <sheetData sheetId="13" refreshError="1">
        <row r="3">
          <cell r="E3" t="str">
            <v>Correlativo de Actividad</v>
          </cell>
          <cell r="F3" t="str">
            <v>ACTIVIDADES</v>
          </cell>
        </row>
        <row r="7">
          <cell r="E7" t="str">
            <v>a.1.1</v>
          </cell>
          <cell r="F7" t="str">
            <v xml:space="preserve">a.1.1  Promocionar y Mercadear la carrera de Ingeniería eléctrica en los colegios e institutos con los alumnos de los últimos años </v>
          </cell>
        </row>
        <row r="8">
          <cell r="F8" t="str">
            <v>b.1 Mercadear la carrera de Ingeniería eléctrica en las empresas donde trabajaran los futuros ingenieros</v>
          </cell>
        </row>
        <row r="13">
          <cell r="E13" t="str">
            <v>d.2.1</v>
          </cell>
          <cell r="F13" t="str">
            <v>d.2.1 Crear una biblioteca para catedráticos y alumnos de la carrera de ingeniería eléctrica (200 Libros)</v>
          </cell>
        </row>
      </sheetData>
      <sheetData sheetId="14" refreshError="1">
        <row r="3">
          <cell r="E3" t="str">
            <v>Correlativo de Actividad</v>
          </cell>
          <cell r="F3" t="str">
            <v>ACTIVIDADES</v>
          </cell>
        </row>
        <row r="6">
          <cell r="E6" t="str">
            <v>a.1.1</v>
          </cell>
          <cell r="F6" t="str">
            <v>Inversión en Equipo de oficina</v>
          </cell>
        </row>
        <row r="7">
          <cell r="E7" t="str">
            <v>a.1.2</v>
          </cell>
          <cell r="F7" t="str">
            <v>Equipos informaticos para formacion de competencias</v>
          </cell>
        </row>
        <row r="8">
          <cell r="F8" t="str">
            <v>1) Publicación.</v>
          </cell>
        </row>
        <row r="9">
          <cell r="F9" t="str">
            <v>Contratacion de personal</v>
          </cell>
        </row>
        <row r="11">
          <cell r="E11" t="str">
            <v>b.3.2</v>
          </cell>
          <cell r="F11" t="str">
            <v>b.2 Aumentar inversión institucional para la oferta de postgrados a los docentes.</v>
          </cell>
        </row>
        <row r="12">
          <cell r="F12" t="str">
            <v>1) Socialización de la evaluación del desempeño a docentes y personal administrativo.                                                                                                                                                                  2) Implementación de la Evaluación del desempeño</v>
          </cell>
        </row>
      </sheetData>
      <sheetData sheetId="15" refreshError="1">
        <row r="3">
          <cell r="E3" t="str">
            <v>Correlativo de Actividad</v>
          </cell>
          <cell r="F3" t="str">
            <v>ACTIVIDADES</v>
          </cell>
        </row>
        <row r="6">
          <cell r="E6" t="str">
            <v>5.5.5</v>
          </cell>
          <cell r="F6" t="str">
            <v>a.1 Asesoría técnica e Inversión para la crearción o fortalecimiento de las bases de datos para el seguimiento de los estudiantes, incluyendo información de ingreso, permanencia y egresos.</v>
          </cell>
        </row>
        <row r="7">
          <cell r="F7" t="str">
            <v>a.3 Realizar estudios de mercado para la determinación de la oferta de trabajo y la apertura de nuevas carreras.</v>
          </cell>
        </row>
        <row r="8">
          <cell r="F8" t="str">
            <v>a.4 Fortalecer el sistema de bibliotecas y  crear un sistema virtual para la obtención de documentos y materiales de trabajo de las diferentes carreras.</v>
          </cell>
        </row>
        <row r="9">
          <cell r="F9" t="str">
            <v>a.4 Fortalecer el sistema de bibliotecas y  crear un sistema virtual para la obtención de documentos y materiales de trabajo de las diferentes carreras.</v>
          </cell>
        </row>
        <row r="10">
          <cell r="F10" t="str">
            <v>a.5 Ampliar las áreas recreativas y de estudio para la satisfacción del estudiante de acuerdo al Plan de Desarrollo físico de la Universidad.</v>
          </cell>
        </row>
        <row r="11">
          <cell r="F11" t="str">
            <v>b.1 Mejorar la eficacia y calidad de los servicios estudiantiles.</v>
          </cell>
        </row>
        <row r="12">
          <cell r="F12" t="str">
            <v>Asesoría técnica e Inversión para gestión de sistema de indicadores.</v>
          </cell>
        </row>
        <row r="13">
          <cell r="F13" t="str">
            <v>Asesoría técnica e inversión para integración de bases de datos y acceso a las mismas.</v>
          </cell>
        </row>
        <row r="14">
          <cell r="F14" t="str">
            <v>c.1 fortalecer la reglamentación estudiantil existente y aplicarla eficientemente.</v>
          </cell>
        </row>
      </sheetData>
      <sheetData sheetId="16" refreshError="1">
        <row r="3">
          <cell r="E3" t="str">
            <v>Correlativo de Actividad</v>
          </cell>
          <cell r="F3" t="str">
            <v>ACTIVIDADES</v>
          </cell>
        </row>
        <row r="8">
          <cell r="F8" t="str">
            <v>1) Monitoría y evaluación del desarrollo y funcionamiento de la plataforma tecnológica.</v>
          </cell>
        </row>
        <row r="9">
          <cell r="E9" t="str">
            <v>b.1.1</v>
          </cell>
          <cell r="F9" t="str">
            <v>b.1 Mejorar y optimizar el espacio físico de aulas, laboratorios, talleres y oficinas.</v>
          </cell>
        </row>
        <row r="10">
          <cell r="F10" t="str">
            <v>c.1 Mejorar los servicios de tecnología educativa en las diferentes aulas.                                                                                                                                                                                              c.2 Ejecución de plan de capacitación en uso adecuado de equipo.                                                                                                                                                                                                     c.3 Indicadores de desempeño positivos</v>
          </cell>
        </row>
        <row r="11">
          <cell r="F11" t="str">
            <v>a) Regularizar docentes ya contratados para tener un mínimo de docentes a tiempo completo en todas las unidades.                                                                                                    B) Adecuación ó creación de mecanismos de registro y control docente con enfoque integral.</v>
          </cell>
        </row>
        <row r="12">
          <cell r="F12" t="str">
            <v>e.1 Dotar a todas las Unidades Académicas y Administrativas de manuales de procedimientos y toda clase de normativa interna e institucional para el buen funcionamiento y cumplimiento de sus actividades.</v>
          </cell>
        </row>
        <row r="13">
          <cell r="F13" t="str">
            <v>a.1 Diseñar un plan de capacitación para todos los recursos humanos.</v>
          </cell>
        </row>
      </sheetData>
      <sheetData sheetId="17" refreshError="1">
        <row r="3">
          <cell r="E3" t="str">
            <v>Correlativo de Actividad</v>
          </cell>
          <cell r="F3" t="str">
            <v>ACTIVIDADES</v>
          </cell>
        </row>
      </sheetData>
      <sheetData sheetId="18" refreshError="1">
        <row r="3">
          <cell r="E3" t="str">
            <v>Correlativo de Actividad</v>
          </cell>
          <cell r="F3" t="str">
            <v>ACTIVIDADES</v>
          </cell>
        </row>
        <row r="6">
          <cell r="E6" t="str">
            <v>8.8.8</v>
          </cell>
          <cell r="F6" t="str">
            <v>a. 1 Analizar el perfil del egresado de las carreras de acuerdo a las demandas laborales de profesionales.</v>
          </cell>
        </row>
        <row r="7">
          <cell r="F7" t="str">
            <v>b.1 Realizar encuestas de satisfacción de los egresados.</v>
          </cell>
        </row>
        <row r="8">
          <cell r="F8" t="str">
            <v>c.1 Realizar encuestas del desempeño laboral de los egresados.</v>
          </cell>
        </row>
        <row r="9">
          <cell r="F9" t="str">
            <v>d.1 IDEM</v>
          </cell>
        </row>
        <row r="10">
          <cell r="F10" t="str">
            <v>e.1 Realizar encuestas de satisfacción comunitaria.</v>
          </cell>
        </row>
      </sheetData>
      <sheetData sheetId="19" refreshError="1">
        <row r="3">
          <cell r="E3" t="str">
            <v>Correlativo de Actividad</v>
          </cell>
          <cell r="F3" t="str">
            <v>ACTIVIDADES</v>
          </cell>
        </row>
      </sheetData>
      <sheetData sheetId="20" refreshError="1">
        <row r="3">
          <cell r="E3" t="str">
            <v>Correlativo de Actividad</v>
          </cell>
          <cell r="F3" t="str">
            <v>ACTIVIDADES</v>
          </cell>
        </row>
        <row r="7">
          <cell r="E7" t="str">
            <v>10.10.10</v>
          </cell>
          <cell r="F7" t="str">
            <v>2.1  Dar asesoramiento tecnico y juridico                   2.2 recopilacion de datos y documentos.                              2.3 Envio de correspondencia e informacion</v>
          </cell>
        </row>
        <row r="8">
          <cell r="F8" t="str">
            <v>a.3 Según sea el caso, se deben realizar las siguientes actividades o procesos: Revisión; actualización; complementación; inclusión del eje de ética; adecuación curricular; reforma del plan de estudio; nueva oferta educativa.</v>
          </cell>
        </row>
        <row r="9">
          <cell r="F9" t="str">
            <v>b.1 Coordinación con la Direccion Departamental de Educación para la articulación del nivel medio con el nivel universitario en el Caribe Hondureño.</v>
          </cell>
        </row>
      </sheetData>
      <sheetData sheetId="21" refreshError="1">
        <row r="3">
          <cell r="E3" t="str">
            <v>Correlativo de Actividad</v>
          </cell>
          <cell r="F3" t="str">
            <v>ACTIVIDADES</v>
          </cell>
        </row>
        <row r="6">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2" refreshError="1">
        <row r="3">
          <cell r="E3" t="str">
            <v>Correlativo de Actividad</v>
          </cell>
          <cell r="F3" t="str">
            <v>ACTIVIDADES</v>
          </cell>
        </row>
        <row r="6">
          <cell r="F6" t="str">
            <v xml:space="preserve">1) Socialización de los lineamientos metodológicos.                                                                                                                                                                                                                                       </v>
          </cell>
        </row>
        <row r="7">
          <cell r="F7" t="str">
            <v>2) Jornadas de trabajo (conferencias, exposiciones, talleres, y otros) interdisciplinarias orientadas a la transversalización efectiva y profunda del eje de ética.</v>
          </cell>
        </row>
        <row r="9">
          <cell r="F9" t="str">
            <v>Gestión de convenios y planes de trabajo en ejecución, que fundamentan un ejercicio de las funciones académicas con identidad.</v>
          </cell>
        </row>
        <row r="10">
          <cell r="F10" t="str">
            <v>Inversión para la gestión de los proyectos culturales.</v>
          </cell>
        </row>
        <row r="11">
          <cell r="F11" t="str">
            <v>Promoción activa y efectiva de iniciativas en red.</v>
          </cell>
        </row>
        <row r="12">
          <cell r="F12" t="str">
            <v>Inversión para el desarrollo de iniciativas de incidencia para implementar el Programa LO ESENCIAL.</v>
          </cell>
        </row>
        <row r="13">
          <cell r="F13" t="str">
            <v>Promoción e inversión en encuentros regionales.</v>
          </cell>
        </row>
        <row r="14">
          <cell r="F14" t="str">
            <v>Promoción de aprobación y firma de convenios regionales con socios estratégicos</v>
          </cell>
        </row>
        <row r="15">
          <cell r="F15" t="str">
            <v>Construcción participativa y ejecución en red de proyectos de ciudadanía cultural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Lo Esencial"/>
    </sheetNames>
    <sheetDataSet>
      <sheetData sheetId="0"/>
      <sheetData sheetId="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row r="584">
          <cell r="C584"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row r="584">
          <cell r="C584"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Correlativo de la Actividad</v>
          </cell>
          <cell r="F3" t="str">
            <v>ACTIVIDADES</v>
          </cell>
        </row>
        <row r="6">
          <cell r="E6" t="str">
            <v>1.a.1</v>
          </cell>
          <cell r="F6" t="str">
            <v>a.1 Aplicar encuesta a empleadores y egresados de la carrera de Quimica Industrial</v>
          </cell>
        </row>
        <row r="7">
          <cell r="E7" t="str">
            <v>1.a.2</v>
          </cell>
          <cell r="F7" t="str">
            <v>formar grupos focales de Académicos con los Docentes de la Carrera de Quimica Industrial para la discusión de la nueva curricula</v>
          </cell>
        </row>
        <row r="8">
          <cell r="E8" t="str">
            <v>1.a.3</v>
          </cell>
          <cell r="F8" t="str">
            <v>Triangulación de resultados de las actividades 1.a.1 y 1.a.2</v>
          </cell>
        </row>
        <row r="9">
          <cell r="E9" t="str">
            <v>1.b.1</v>
          </cell>
          <cell r="F9" t="str">
            <v>b.1 buscar  apoyo de universidades líderes, reformas en los planes y programas de estudio de la carrera de Quimica Industrial para ajustarlas al Modelo Educativo de la UNAH y a las exigencias del desarrollo tecnológico, científico y del entorno social.</v>
          </cell>
        </row>
        <row r="10">
          <cell r="E10" t="str">
            <v>1.b.2</v>
          </cell>
          <cell r="F10" t="str">
            <v>b.1 solicitar curso de capacitacion al Instituto de Profecionalización de la UNAH para los docentes sobre el nuevo Modelo Educativo</v>
          </cell>
        </row>
        <row r="11">
          <cell r="E11" t="str">
            <v>1.b.3</v>
          </cell>
          <cell r="F11" t="str">
            <v>b.2 Capacitar a los docentes en el nuevo modelo educativo</v>
          </cell>
        </row>
      </sheetData>
      <sheetData sheetId="12">
        <row r="3">
          <cell r="E3" t="str">
            <v>Correlativo de Actividad</v>
          </cell>
          <cell r="F3" t="str">
            <v>ACTIVIDADES</v>
          </cell>
        </row>
        <row r="6">
          <cell r="E6" t="str">
            <v>2.2.2</v>
          </cell>
          <cell r="F6" t="str">
            <v>a.1 Creación y fortalecimiento en las Unidades Académicas, unidades, institutos o comités de investigación científica y de vinculación Universidad-Sociedad.</v>
          </cell>
        </row>
        <row r="7">
          <cell r="F7" t="str">
            <v>b.1 Creación de un programa de formación, capacitación y actualización científica en la Universidad, a través de becas, programas, talleres, cursos y seminarios.</v>
          </cell>
        </row>
        <row r="8">
          <cell r="F8" t="str">
            <v>Inversión institucional para capacitación de docentes.</v>
          </cell>
        </row>
        <row r="9">
          <cell r="F9" t="str">
            <v>Inversión institucional para la incorporación de herramientas informáticas.</v>
          </cell>
        </row>
        <row r="10">
          <cell r="F10" t="str">
            <v>c.1 Realizar reuniones y presentaciones para sociabilizar la aplicación de las políticas de investigación de la UNAH, o de la unidad académica específica inmersa en los procesos de investigación.</v>
          </cell>
        </row>
        <row r="11">
          <cell r="F11" t="str">
            <v>d.1 Crear en la UNAH revistas científicas en la que se publican las investigaciones importantes realizadas.</v>
          </cell>
        </row>
        <row r="12">
          <cell r="F12" t="str">
            <v>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v>
          </cell>
        </row>
        <row r="13">
          <cell r="F13" t="str">
            <v>d.3 Difundir en revistas científicas del exterior aquellos trabajos científicos importantes.</v>
          </cell>
        </row>
        <row r="14">
          <cell r="F14" t="str">
            <v>d.4 realizar presentaciones para la difusión de los trabajos científicos al público en general, especialmente   a los sectores relacionados con los campos de la investigación.</v>
          </cell>
        </row>
        <row r="16">
          <cell r="F16" t="str">
            <v>f.1 Presentación ante las autoridades competentes o un Comité de Gestión Científica los proyectos a desarrollar, ya sea con fondos internos o externos, para su financiamiento.</v>
          </cell>
        </row>
      </sheetData>
      <sheetData sheetId="13">
        <row r="3">
          <cell r="E3" t="str">
            <v>Correlativo de Actividad</v>
          </cell>
          <cell r="F3" t="str">
            <v>ACTIVIDADES</v>
          </cell>
        </row>
        <row r="7">
          <cell r="E7" t="str">
            <v>3.a.1</v>
          </cell>
          <cell r="F7" t="str">
            <v>a.1 Creación y funcionamiento de un Comité de Vinculación en el departamento para que promueva y gestione el desarrollo  de proyectos con la Vinculacion UNAHVS- Sociedad para contribuir a la solución de problemas en el país.</v>
          </cell>
        </row>
        <row r="8">
          <cell r="E8" t="str">
            <v>3.a.2</v>
          </cell>
          <cell r="F8" t="str">
            <v>a.2capacitar a los docentes del departamento en gestion y ejecucion de proyectos de vinculacion UNAHVS- sociedad</v>
          </cell>
        </row>
        <row r="9">
          <cell r="E9" t="str">
            <v>3.b.1</v>
          </cell>
          <cell r="F9" t="str">
            <v>b.1  Insertar el Departamento de Química y la Carrera de Química Industrial en actividades promovida por la unidad de vinculación UNAH-VS Sociedad.</v>
          </cell>
        </row>
      </sheetData>
      <sheetData sheetId="14">
        <row r="3">
          <cell r="E3" t="str">
            <v>Correlativo de Actividad</v>
          </cell>
          <cell r="F3" t="str">
            <v>ACTIVIDADES</v>
          </cell>
        </row>
        <row r="6">
          <cell r="E6" t="str">
            <v>4.a.1</v>
          </cell>
          <cell r="F6" t="str">
            <v>a.1 Implementar cursos de capacitacion para todo el personal  Docente.</v>
          </cell>
        </row>
        <row r="8">
          <cell r="E8" t="str">
            <v>4.b.1</v>
          </cell>
          <cell r="F8" t="str">
            <v xml:space="preserve">b.1 someter a concurso las plazas vacantes en el departamento </v>
          </cell>
        </row>
        <row r="9">
          <cell r="E9" t="str">
            <v>4.b.2</v>
          </cell>
          <cell r="F9" t="str">
            <v>b.2 contratar  instructores y un encargado de la bodega</v>
          </cell>
        </row>
      </sheetData>
      <sheetData sheetId="15">
        <row r="3">
          <cell r="E3" t="str">
            <v>Correlativo de Actividad</v>
          </cell>
          <cell r="F3" t="str">
            <v>ACTIVIDADES</v>
          </cell>
        </row>
        <row r="8">
          <cell r="E8" t="str">
            <v>5.a.1</v>
          </cell>
          <cell r="F8" t="str">
            <v>a.1 Fortalecer el sistema de bibliotecas y  crear un sistema virtual para la obtención de documentos, materiales de trabajo para laboratorios y clases virtuales para  la carrera de Química Industrial.</v>
          </cell>
        </row>
        <row r="12">
          <cell r="E12" t="str">
            <v>5.a.3</v>
          </cell>
          <cell r="F12" t="str">
            <v>Gestionar alianzas con universidades Centroamericanas y un programa de intercambio cultural para los estudiantes y Docentes de las universidades</v>
          </cell>
        </row>
      </sheetData>
      <sheetData sheetId="16">
        <row r="3">
          <cell r="E3" t="str">
            <v>Correlativo de Actividad</v>
          </cell>
          <cell r="F3" t="str">
            <v>ACTIVIDADES</v>
          </cell>
        </row>
        <row r="9">
          <cell r="E9" t="str">
            <v>6.b.1</v>
          </cell>
          <cell r="F9" t="str">
            <v>a.2 Mejorar las instalación Física de el áreas donde funciona los laboratorios de Química para la satisfacción del estudiante de acuerdo al Plan de Desarrollo físico de la Universidad, reactivos y equipo para el laboratorio</v>
          </cell>
        </row>
        <row r="10">
          <cell r="E10" t="str">
            <v>6.c.1</v>
          </cell>
          <cell r="F10" t="str">
            <v xml:space="preserve">c.1 Mejorar los servicios de tecnología educativa en las aulas asignadas al departamento de Química.                                                                                                                                                                                           </v>
          </cell>
        </row>
        <row r="11">
          <cell r="F11" t="str">
            <v>a) Regularizar docentes ya contratados para tener un mínimo de docentes a tiempo completo en todas las unidades.                                                                                                    B) Adecuación ó creación de mecanismos de registro y control docente con enfoque integral.</v>
          </cell>
        </row>
        <row r="12">
          <cell r="F12" t="str">
            <v>e.1 Dotar a todas las Unidades Académicas y Administrativas de manuales de procedimientos y toda clase de normativa interna e institucional para el buen funcionamiento y cumplimiento de sus actividades.</v>
          </cell>
        </row>
        <row r="13">
          <cell r="F13" t="str">
            <v>a.1 Diseñar un plan de capacitación para todos los recursos humanos.</v>
          </cell>
        </row>
      </sheetData>
      <sheetData sheetId="17">
        <row r="3">
          <cell r="E3" t="str">
            <v>Correlativo de Actividad</v>
          </cell>
          <cell r="F3" t="str">
            <v>ACTIVIDADES</v>
          </cell>
        </row>
        <row r="7">
          <cell r="E7" t="str">
            <v>7.7.7</v>
          </cell>
        </row>
      </sheetData>
      <sheetData sheetId="18">
        <row r="3">
          <cell r="E3" t="str">
            <v>Correlativo de Actividad</v>
          </cell>
          <cell r="F3" t="str">
            <v>ACTIVIDADES</v>
          </cell>
        </row>
        <row r="7">
          <cell r="E7" t="str">
            <v>8.a.1</v>
          </cell>
          <cell r="F7" t="str">
            <v>a.1 se realizará una encuesta de satisfacción al grupo de egresados de la Carrera de Quimica Industrial</v>
          </cell>
        </row>
      </sheetData>
      <sheetData sheetId="19">
        <row r="3">
          <cell r="E3" t="str">
            <v>Correlativo de Actividad</v>
          </cell>
          <cell r="F3" t="str">
            <v>ACTIVIDADES</v>
          </cell>
        </row>
        <row r="6">
          <cell r="E6" t="str">
            <v>9.9.9</v>
          </cell>
          <cell r="F6" t="str">
            <v>a.1 Socialización e ejecución del proceso de organización y desarrollo de las redes educativas regionales con actores internos y externos a la UNAH.</v>
          </cell>
        </row>
        <row r="8">
          <cell r="F8" t="str">
            <v>a.2 Consolidación y funcionamiento de los institutos tecnológicos de Tela, Gracias  a Dios y Puerto Cortes.</v>
          </cell>
        </row>
        <row r="9">
          <cell r="F9" t="str">
            <v>b.1 Realización de estudios regionalizados de cobertura y equidad en el acceso a la UNAH y de estudios de oferta y demanda de estudios universitarios en cada región educativa.</v>
          </cell>
        </row>
        <row r="10">
          <cell r="F10"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1">
          <cell r="F11" t="str">
            <v>1) Fortalecimiento del Programa de Incentivos a la investigación.                                                                                                                                                                                                              2) Asignación y disponibilidad de recursos subyacientes para la ejecución de dos programas.</v>
          </cell>
        </row>
        <row r="12">
          <cell r="F12" t="str">
            <v>1) Implantación y fortalecimiento de la política de incentivos para la mejora continúa del funcionamiento de las redes educativas regionales.</v>
          </cell>
        </row>
        <row r="13">
          <cell r="F13" t="str">
            <v>b.4 Desarrollar los Módulos del Subsistema de Planificación, M&amp;E. b.5) Implantación en Facultades y CRU's pilotos para hacer pruebas beta con los usuarios. b.6) Depuración del Subsistema. b.7) Implantación del Subsistema en las Facultades y CRU's</v>
          </cell>
        </row>
        <row r="18">
          <cell r="F18" t="str">
            <v>1) Consolidación del programa de formación y capacitación institucional en TIC.                                                                                                                                                                               2)Mantenimiento permanente y sostenido de página web de la UNAH.                                                                                                                                                                                            3) Monitoría y evaluación del Programa de Educación Permanente.</v>
          </cell>
        </row>
        <row r="20">
          <cell r="F20" t="str">
            <v>1) Jornadas de intercambio de experiencias, y presentación de resultados, entre investigadores socio económicos, investigadores de la economía de la cultura, alumnos y comunidad universitaria en general.</v>
          </cell>
        </row>
      </sheetData>
      <sheetData sheetId="20">
        <row r="3">
          <cell r="E3" t="str">
            <v>Correlativo de Actividad</v>
          </cell>
          <cell r="F3" t="str">
            <v>ACTIVIDADES</v>
          </cell>
        </row>
        <row r="7">
          <cell r="E7" t="str">
            <v>10.10.10</v>
          </cell>
          <cell r="F7" t="str">
            <v>2.1  Dar asesoramiento tecnico y juridico                   2.2 recopilacion de datos y documentos.                              2.3 Envio de correspondencia e informacion</v>
          </cell>
        </row>
        <row r="8">
          <cell r="F8" t="str">
            <v>a.3 Según sea el caso, se deben realizar las siguientes actividades o procesos: Revisión; actualización; complementación; inclusión del eje de ética; adecuación curricular; reforma del plan de estudio; nueva oferta educativa.</v>
          </cell>
        </row>
        <row r="9">
          <cell r="F9" t="str">
            <v>b.1 Coordinación con la Direccion Departamental de Educación para la articulación del nivel medio con el nivel universitario en el Caribe Hondureño.</v>
          </cell>
        </row>
      </sheetData>
      <sheetData sheetId="21">
        <row r="3">
          <cell r="E3" t="str">
            <v>Correlativo de Actividad</v>
          </cell>
          <cell r="F3" t="str">
            <v>ACTIVIDADES</v>
          </cell>
        </row>
        <row r="6">
          <cell r="E6" t="str">
            <v>11.11.11</v>
          </cell>
          <cell r="F6" t="str">
            <v>1. Mejora continua de los mecanismos y métodos de comunicación entre la UNAH y los actores del sistema educativo nacional.</v>
          </cell>
        </row>
        <row r="7">
          <cell r="F7" t="str">
            <v>2. Fortalecer los procesos y el sistema de diálogo en forma permanente, constructivo y respetuoso.</v>
          </cell>
        </row>
        <row r="8">
          <cell r="F8" t="str">
            <v>3. Concertación permanente bajo los principios del respeto mutuo, autonomía universitaria y defensa de lo público.</v>
          </cell>
        </row>
        <row r="9">
          <cell r="F9" t="str">
            <v>4. Formulación y consolidación de estrategias que garanticen la articulación de los actores de la UNAH, alrededor de una visión compartida del Sistema Educativo Nacional.</v>
          </cell>
        </row>
        <row r="10">
          <cell r="F10" t="str">
            <v>5. Coordinación con la Secretaría de Educación para la articulación del nivel medio con el nivel universitario.</v>
          </cell>
        </row>
        <row r="11">
          <cell r="F11" t="str">
            <v>6. Cumplimiento de los alcances del Plan Estratégico de desarrollo de la ES.</v>
          </cell>
        </row>
        <row r="12">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F13" t="str">
            <v>3. Ejercer una influencia académica actualizada y de calidad en el sistema universitario nacional.</v>
          </cell>
        </row>
      </sheetData>
      <sheetData sheetId="22">
        <row r="3">
          <cell r="E3" t="str">
            <v>Correlativo de Actividad</v>
          </cell>
          <cell r="F3" t="str">
            <v>ACTIVIDADES</v>
          </cell>
        </row>
        <row r="6">
          <cell r="E6" t="str">
            <v>12.12.12</v>
          </cell>
          <cell r="F6" t="str">
            <v xml:space="preserve">1) Socialización de los lineamientos metodológicos.                                                                                                                                                                                                                                       </v>
          </cell>
        </row>
        <row r="7">
          <cell r="F7" t="str">
            <v>2) Jornadas de trabajo (conferencias, exposiciones, talleres, y otros) interdisciplinarias orientadas a la transversalización efectiva y profunda del eje de ética.</v>
          </cell>
        </row>
        <row r="9">
          <cell r="F9" t="str">
            <v>Gestión de convenios y planes de trabajo en ejecución, que fundamentan un ejercicio de las funciones académicas con identidad.</v>
          </cell>
        </row>
        <row r="10">
          <cell r="F10" t="str">
            <v>Inversión para la gestión de los proyectos culturales.</v>
          </cell>
        </row>
        <row r="11">
          <cell r="F11" t="str">
            <v>Promoción activa y efectiva de iniciativas en red.</v>
          </cell>
        </row>
        <row r="12">
          <cell r="F12" t="str">
            <v>Inversión para el desarrollo de iniciativas de incidencia para implementar el Programa LO ESENCIAL.</v>
          </cell>
        </row>
        <row r="13">
          <cell r="F13" t="str">
            <v>Promoción e inversión en encuentros regionales.</v>
          </cell>
        </row>
        <row r="14">
          <cell r="F14" t="str">
            <v>Promoción de aprobación y firma de convenios regionales con socios estratégicos</v>
          </cell>
        </row>
        <row r="15">
          <cell r="F15" t="str">
            <v>Construcción participativa y ejecución en red de proyectos de ciudadanía cultural</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3"/>
      <sheetData sheetId="4"/>
      <sheetData sheetId="5"/>
      <sheetData sheetId="6"/>
      <sheetData sheetId="7"/>
      <sheetData sheetId="8"/>
      <sheetData sheetId="9"/>
      <sheetData sheetId="10"/>
      <sheetData sheetId="11">
        <row r="1">
          <cell r="E1">
            <v>0</v>
          </cell>
        </row>
        <row r="2">
          <cell r="E2">
            <v>0</v>
          </cell>
          <cell r="F2">
            <v>0</v>
          </cell>
        </row>
        <row r="3">
          <cell r="E3" t="str">
            <v>Correlativo de la Actividad</v>
          </cell>
          <cell r="F3" t="str">
            <v>ACTIVIDADES</v>
          </cell>
        </row>
        <row r="4">
          <cell r="E4">
            <v>0</v>
          </cell>
          <cell r="F4">
            <v>0</v>
          </cell>
        </row>
        <row r="5">
          <cell r="E5">
            <v>0</v>
          </cell>
          <cell r="F5">
            <v>0</v>
          </cell>
        </row>
        <row r="6">
          <cell r="E6" t="str">
            <v>1.a.1</v>
          </cell>
          <cell r="F6" t="str">
            <v>a.1 Realización de investigaciones de mercado que permitan evaluar la pertinencia de los planes de estudio.                                                                                                              a.2 Intitucionalización de comisiones y sub comisiones de desarrollo curricular.</v>
          </cell>
        </row>
        <row r="7">
          <cell r="E7" t="str">
            <v>1.1.1</v>
          </cell>
          <cell r="F7" t="str">
            <v>b.1 Realizar un apoyo de universidades líderes, reformas en los planes y programas de estudio de todas las carreras para ajustarlas al Modelo Educativo de la UNAH y a las exigencias del desarrollo tecnológico, científico y del entorno social.</v>
          </cell>
        </row>
        <row r="8">
          <cell r="E8" t="str">
            <v>2.5.1</v>
          </cell>
          <cell r="F8" t="str">
            <v>b.2 Impartir talleres de capacitación a toda la comunidad docente  sobre los fundamentos y principios del nuevo modelo educativo.                                                       b.3 Promoción e incentivos para la innovación educativa.</v>
          </cell>
        </row>
        <row r="9">
          <cell r="E9" t="str">
            <v>1.1.1</v>
          </cell>
          <cell r="F9" t="str">
            <v>b.3 Ejecución de la ruta del desarrollo curricular en las unidades Académicas.</v>
          </cell>
        </row>
        <row r="10">
          <cell r="E10">
            <v>0</v>
          </cell>
          <cell r="F10" t="str">
            <v>Promoción de la obligatoriedad de mantenimiento del sistema de estadísiticas por parte de todas las instancias de gestión académica.</v>
          </cell>
        </row>
        <row r="11">
          <cell r="E11">
            <v>0</v>
          </cell>
          <cell r="F11" t="str">
            <v>b.5 Incorporar al menos 15 carreras al nuevo modelo educativo.</v>
          </cell>
        </row>
        <row r="12">
          <cell r="E12">
            <v>0</v>
          </cell>
          <cell r="F12" t="str">
            <v>c.1 Actualizar permanentemente los currículos de acuerdo a estudios de pertinencia y de mercado, a realizar y conforme a los planes de mejora del proceso de autoevaluación.</v>
          </cell>
        </row>
        <row r="13">
          <cell r="E13">
            <v>0</v>
          </cell>
          <cell r="F13" t="str">
            <v>Inversión para la ejecución de los planes de mejora.</v>
          </cell>
        </row>
        <row r="14">
          <cell r="E14">
            <v>0</v>
          </cell>
          <cell r="F14" t="str">
            <v xml:space="preserve">1) Apropiación, alineamiento y articulación de las unidades académicas de la UNAH con los requerimientos del SHACES. </v>
          </cell>
        </row>
        <row r="15">
          <cell r="E15">
            <v>0</v>
          </cell>
          <cell r="F15" t="str">
            <v>1) Divulgación de Normas Académicas a toda la comunidad universitaria.                                                                                                                                                                                              2) Edición y publicación.</v>
          </cell>
        </row>
        <row r="16">
          <cell r="E16">
            <v>0</v>
          </cell>
          <cell r="F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sheetData>
      <sheetData sheetId="1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2.2.2</v>
          </cell>
          <cell r="F6" t="str">
            <v>a.1 Creación y fortalecimiento en las Unidades Académicas, unidades, institutos o comités de investigación científica y de vinculación Universidad-Sociedad.</v>
          </cell>
        </row>
        <row r="7">
          <cell r="E7">
            <v>0</v>
          </cell>
          <cell r="F7" t="str">
            <v>b.1 Creación de un programa de formación, capacitación y actualización científica en la Universidad, a través de becas, programas, talleres, cursos y seminarios.</v>
          </cell>
        </row>
        <row r="8">
          <cell r="E8">
            <v>0</v>
          </cell>
          <cell r="F8" t="str">
            <v>Inversión institucional para capacitación de docentes.</v>
          </cell>
        </row>
        <row r="9">
          <cell r="E9">
            <v>0</v>
          </cell>
          <cell r="F9" t="str">
            <v>Inversión institucional para la incorporación de herramientas informáticas.</v>
          </cell>
        </row>
        <row r="10">
          <cell r="E10">
            <v>0</v>
          </cell>
          <cell r="F10" t="str">
            <v>c.1 Realizar reuniones y presentaciones para sociabilizar la aplicación de las políticas de investigación de la UNAH, o de la unidad académica específica inmersa en los procesos de investigación.</v>
          </cell>
        </row>
        <row r="11">
          <cell r="E11">
            <v>0</v>
          </cell>
          <cell r="F11" t="str">
            <v>d.1 Crear en la UNAH revistas científicas en la que se publican las investigaciones importantes realizadas.</v>
          </cell>
        </row>
        <row r="12">
          <cell r="E12">
            <v>0</v>
          </cell>
          <cell r="F12" t="str">
            <v>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v>
          </cell>
        </row>
        <row r="13">
          <cell r="E13">
            <v>0</v>
          </cell>
          <cell r="F13" t="str">
            <v>d.3 Difundir en revistas científicas del exterior aquellos trabajos científicos importantes.</v>
          </cell>
        </row>
        <row r="14">
          <cell r="E14">
            <v>0</v>
          </cell>
          <cell r="F14" t="str">
            <v>d.4 realizar presentaciones para la difusión de los trabajos científicos al público en general, especialmente   a los sectores relacionados con los campos de la investigación.</v>
          </cell>
        </row>
        <row r="15">
          <cell r="E15">
            <v>0</v>
          </cell>
          <cell r="F15">
            <v>0</v>
          </cell>
        </row>
        <row r="16">
          <cell r="E16">
            <v>0</v>
          </cell>
          <cell r="F16" t="str">
            <v>f.1 Presentación ante las autoridades competentes o un Comité de Gestión Científica los proyectos a desarrollar, ya sea con fondos internos o externos, para su financiamiento.</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3">
        <row r="1">
          <cell r="E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3.3.3</v>
          </cell>
          <cell r="F7" t="str">
            <v>a.1 Creación y funcionamiento de un Comité de Vinculación en cada unidad académica para que promueva y gestione el desarrollo  de proyectos con la Dirección de Gestión UNAH- Sociedad para contribuir a la solución de problemas en el país.</v>
          </cell>
        </row>
        <row r="8">
          <cell r="E8">
            <v>0</v>
          </cell>
          <cell r="F8">
            <v>0</v>
          </cell>
        </row>
        <row r="9">
          <cell r="E9">
            <v>0</v>
          </cell>
          <cell r="F9" t="str">
            <v>c.1 Los Departamentos Académicos y las carreras realizan actividades para socializar y aplicar las políticas de vinculación.</v>
          </cell>
        </row>
        <row r="10">
          <cell r="E10">
            <v>0</v>
          </cell>
          <cell r="F10" t="str">
            <v>Los Departamentos Académicos negocian y promueven ls sprobación de convenios en el campo de la vinculación.</v>
          </cell>
        </row>
        <row r="11">
          <cell r="E11">
            <v>0</v>
          </cell>
          <cell r="F11" t="str">
            <v>d.1 Los departamentos y las carreras realizan actividades para divulgar los proyectos de vinculación y sus resultados.                                                                                              d.2 La carrera o unidad académica realiza gestiones ante organismos nacionales o externos para la obtención de recursos para proyectos de vinculación.</v>
          </cell>
        </row>
        <row r="12">
          <cell r="E12">
            <v>0</v>
          </cell>
          <cell r="F12">
            <v>0</v>
          </cell>
        </row>
        <row r="13">
          <cell r="E13">
            <v>0</v>
          </cell>
          <cell r="F13" t="str">
            <v>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v>
          </cell>
        </row>
        <row r="14">
          <cell r="E14">
            <v>0</v>
          </cell>
          <cell r="F14">
            <v>0</v>
          </cell>
        </row>
        <row r="15">
          <cell r="E15">
            <v>0</v>
          </cell>
          <cell r="F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sheetData>
      <sheetData sheetId="14">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4.4.4</v>
          </cell>
          <cell r="F6" t="str">
            <v>Inversión para la ejecución del plan de profesionalización docente.</v>
          </cell>
        </row>
        <row r="7">
          <cell r="E7">
            <v>0</v>
          </cell>
          <cell r="F7" t="str">
            <v>1) Publicación.</v>
          </cell>
        </row>
        <row r="8">
          <cell r="E8">
            <v>0</v>
          </cell>
          <cell r="F8" t="str">
            <v>Socialización e implementación de mecanismos que aseguren el uso del perfil general docente.</v>
          </cell>
        </row>
        <row r="9">
          <cell r="E9">
            <v>0</v>
          </cell>
          <cell r="F9">
            <v>0</v>
          </cell>
        </row>
        <row r="10">
          <cell r="E10">
            <v>0</v>
          </cell>
          <cell r="F10" t="str">
            <v>b.2 Aumentar inversión institucional para la oferta de postgrados a los docentes.</v>
          </cell>
        </row>
        <row r="11">
          <cell r="E11">
            <v>0</v>
          </cell>
          <cell r="F11" t="str">
            <v>1) Socialización de la evaluación del desempeño a docentes y personal administrativo.                                                                                                                                                                  2) Implementación de la Evaluación del desempeño</v>
          </cell>
        </row>
        <row r="12">
          <cell r="E12">
            <v>0</v>
          </cell>
          <cell r="F12">
            <v>0</v>
          </cell>
        </row>
      </sheetData>
      <sheetData sheetId="15">
        <row r="2">
          <cell r="E2">
            <v>0</v>
          </cell>
          <cell r="F2">
            <v>0</v>
          </cell>
        </row>
        <row r="3">
          <cell r="E3" t="str">
            <v>Correlativo de Actividad</v>
          </cell>
          <cell r="F3" t="str">
            <v>ACTIVIDADES</v>
          </cell>
        </row>
        <row r="4">
          <cell r="E4">
            <v>0</v>
          </cell>
          <cell r="F4">
            <v>0</v>
          </cell>
        </row>
        <row r="5">
          <cell r="E5">
            <v>0</v>
          </cell>
          <cell r="F5">
            <v>0</v>
          </cell>
        </row>
        <row r="6">
          <cell r="E6" t="str">
            <v>5.5.5</v>
          </cell>
          <cell r="F6" t="str">
            <v>a.1 Asesoría técnica e Inversión para la crearción o fortalecimiento de las bases de datos para el seguimiento de los estudiantes, incluyendo información de ingreso, permanencia y egresos.</v>
          </cell>
        </row>
        <row r="7">
          <cell r="E7">
            <v>0</v>
          </cell>
          <cell r="F7" t="str">
            <v>a.3 Realizar estudios de mercado para la determinación de la oferta de trabajo y la apertura de nuevas carreras.</v>
          </cell>
        </row>
        <row r="8">
          <cell r="E8">
            <v>0</v>
          </cell>
          <cell r="F8" t="str">
            <v>a.4 Fortalecer el sistema de bibliotecas y  crear un sistema virtual para la obtención de documentos y materiales de trabajo de las diferentes carreras.</v>
          </cell>
        </row>
        <row r="9">
          <cell r="E9">
            <v>0</v>
          </cell>
          <cell r="F9" t="str">
            <v>a.4 Fortalecer el sistema de bibliotecas y  crear un sistema virtual para la obtención de documentos y materiales de trabajo de las diferentes carreras.</v>
          </cell>
        </row>
        <row r="10">
          <cell r="E10">
            <v>0</v>
          </cell>
          <cell r="F10" t="str">
            <v>a.5 Ampliar las áreas recreativas y de estudio para la satisfacción del estudiante de acuerdo al Plan de Desarrollo físico de la Universidad.</v>
          </cell>
        </row>
        <row r="11">
          <cell r="E11">
            <v>0</v>
          </cell>
          <cell r="F11" t="str">
            <v>b.1 Mejorar la eficacia y calidad de los servicios estudiantiles.</v>
          </cell>
        </row>
        <row r="12">
          <cell r="E12">
            <v>0</v>
          </cell>
          <cell r="F12" t="str">
            <v>Asesoría técnica e Inversión para gestión de sistema de indicadores.</v>
          </cell>
        </row>
        <row r="13">
          <cell r="E13">
            <v>0</v>
          </cell>
          <cell r="F13" t="str">
            <v>Asesoría técnica e inversión para integración de bases de datos y acceso a las mismas.</v>
          </cell>
        </row>
        <row r="14">
          <cell r="E14">
            <v>0</v>
          </cell>
          <cell r="F14" t="str">
            <v>c.1 fortalecer la reglamentación estudiantil existente y aplicarla eficientemente.</v>
          </cell>
        </row>
        <row r="15">
          <cell r="E15">
            <v>0</v>
          </cell>
          <cell r="F15">
            <v>0</v>
          </cell>
        </row>
      </sheetData>
      <sheetData sheetId="16">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v>0</v>
          </cell>
          <cell r="F7">
            <v>0</v>
          </cell>
        </row>
        <row r="8">
          <cell r="E8" t="str">
            <v>6.6.6</v>
          </cell>
          <cell r="F8" t="str">
            <v>1) Monitoría y evaluación del desarrollo y funcionamiento de la plataforma tecnológica.</v>
          </cell>
        </row>
        <row r="9">
          <cell r="E9">
            <v>0</v>
          </cell>
          <cell r="F9" t="str">
            <v xml:space="preserve">b.2 Remodelación de  la Oficina del Jefe de Registro UNAH-VS    </v>
          </cell>
        </row>
        <row r="10">
          <cell r="E10">
            <v>0</v>
          </cell>
          <cell r="F10" t="str">
            <v>c.1 Mejorar los servicios de tecnología educativa en las diferentes aulas.                                                                                                                                                                                              c.2 Ejecución de plan de capacitación en uso adecuado de equipo.                                                                                                                                                                                                     c.3 Indicadores de desempeño positivos</v>
          </cell>
        </row>
        <row r="11">
          <cell r="E11">
            <v>0</v>
          </cell>
          <cell r="F11" t="str">
            <v>a) Regularizar docentes ya contratados para tener un mínimo de docentes a tiempo completo en todas las unidades.                                                                                                    B) Adecuación ó creación de mecanismos de registro y control docente con enfoque integral.</v>
          </cell>
        </row>
        <row r="12">
          <cell r="E12">
            <v>0</v>
          </cell>
          <cell r="F12" t="str">
            <v>e.1 Dotar a todas las Unidades Académicas y Administrativas de manuales de procedimientos y toda clase de normativa interna e institucional para el buen funcionamiento y cumplimiento de sus actividades.</v>
          </cell>
        </row>
        <row r="13">
          <cell r="E13">
            <v>0</v>
          </cell>
          <cell r="F13" t="str">
            <v>a.1 Diseñar un plan de capacitación para todos los recursos humanos.</v>
          </cell>
        </row>
        <row r="14">
          <cell r="E14">
            <v>0</v>
          </cell>
          <cell r="F14">
            <v>0</v>
          </cell>
        </row>
        <row r="15">
          <cell r="E15">
            <v>0</v>
          </cell>
          <cell r="F15">
            <v>0</v>
          </cell>
        </row>
        <row r="40">
          <cell r="E40">
            <v>0</v>
          </cell>
        </row>
      </sheetData>
      <sheetData sheetId="17">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7.7.7</v>
          </cell>
          <cell r="F7" t="str">
            <v>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v>
          </cell>
        </row>
        <row r="8">
          <cell r="E8">
            <v>0</v>
          </cell>
          <cell r="F8" t="str">
            <v>a.2 Impulsar la internacionalización de la Universidad, tomando como primera instancia el escenario Centro Americano del CSUCA.</v>
          </cell>
        </row>
        <row r="9">
          <cell r="E9">
            <v>0</v>
          </cell>
          <cell r="F9" t="str">
            <v xml:space="preserve">a.1 Realizacion de giras de practicas a diferentes instutuciones y organizaciones del pais </v>
          </cell>
        </row>
        <row r="10">
          <cell r="E10">
            <v>0</v>
          </cell>
          <cell r="F10" t="str">
            <v xml:space="preserve">a.1 Realizacion de giras de practicas a diferentes instutuciones y organizaciones del pais </v>
          </cell>
        </row>
        <row r="11">
          <cell r="E11">
            <v>0</v>
          </cell>
          <cell r="F11" t="str">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ell>
        </row>
        <row r="12">
          <cell r="E12">
            <v>0</v>
          </cell>
          <cell r="F12" t="str">
            <v>b.1 se fortalecerán, promoverán y adoptarán políticas y practicas transparentes para la rendición de cuentas de las unidades académicas.</v>
          </cell>
        </row>
        <row r="13">
          <cell r="E13">
            <v>0</v>
          </cell>
          <cell r="F13" t="str">
            <v>b.1  Continuar con practicas transparentes para la rendición de cuentas en Admisiones CURLA.</v>
          </cell>
        </row>
        <row r="14">
          <cell r="E14">
            <v>0</v>
          </cell>
          <cell r="F14" t="str">
            <v>c.1 Las unidades académicas respectivas participan permanentemente en sus áreas de conocimiento  en evaluaciones para el mejoramiento de la educación superior en el país.</v>
          </cell>
        </row>
        <row r="15">
          <cell r="E15">
            <v>0</v>
          </cell>
          <cell r="F15" t="str">
            <v>c.1 El departamento de Industrias Forestales participara permanentemente en sus áreas del conocimiento  y en evaluaciones para el mejoramiento de la educación superior en el país.</v>
          </cell>
        </row>
        <row r="16">
          <cell r="E16">
            <v>0</v>
          </cell>
          <cell r="F16" t="str">
            <v>c.1 El departemento de silvicultura participará permanentemente en sus áreas de conocimiento  en evaluaciones para el mejoramiento de la educación superior en el país.</v>
          </cell>
        </row>
        <row r="17">
          <cell r="E17">
            <v>0</v>
          </cell>
          <cell r="F17" t="str">
            <v>c.1 El departemento de silvicultura participará permanentemente en sus áreas de conocimiento  en evaluaciones para el mejoramiento de la educación superior en el país.</v>
          </cell>
        </row>
        <row r="18">
          <cell r="E18">
            <v>0</v>
          </cell>
          <cell r="F18">
            <v>0</v>
          </cell>
        </row>
        <row r="19">
          <cell r="E19">
            <v>0</v>
          </cell>
          <cell r="F19">
            <v>0</v>
          </cell>
        </row>
        <row r="20">
          <cell r="E20">
            <v>0</v>
          </cell>
          <cell r="F20">
            <v>0</v>
          </cell>
        </row>
      </sheetData>
      <sheetData sheetId="18">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8.8.8</v>
          </cell>
          <cell r="F6" t="str">
            <v>a. 1 Analizar el perfil del egresado de las carreras de acuerdo a las demandas laborales de profesionales.</v>
          </cell>
        </row>
        <row r="7">
          <cell r="E7">
            <v>0</v>
          </cell>
          <cell r="F7" t="str">
            <v>b.1 Realizar encuestas de satisfacción de los egresados.</v>
          </cell>
        </row>
        <row r="8">
          <cell r="E8">
            <v>0</v>
          </cell>
          <cell r="F8" t="str">
            <v>c.1 Realizar encuestas del desempeño laboral de los egresados.</v>
          </cell>
        </row>
        <row r="9">
          <cell r="E9">
            <v>0</v>
          </cell>
          <cell r="F9" t="str">
            <v>d.1 IDEM</v>
          </cell>
        </row>
        <row r="10">
          <cell r="E10">
            <v>0</v>
          </cell>
          <cell r="F10" t="str">
            <v>e.1 Realizar encuestas de satisfacción comunitaria.</v>
          </cell>
        </row>
        <row r="11">
          <cell r="E11">
            <v>0</v>
          </cell>
          <cell r="F11">
            <v>0</v>
          </cell>
        </row>
      </sheetData>
      <sheetData sheetId="19">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9.9.9</v>
          </cell>
          <cell r="F6" t="str">
            <v>a.1 Socialización e ejecución del proceso de organización y desarrollo de las redes educativas regionales con actores internos y externos a la UNAH.</v>
          </cell>
        </row>
        <row r="7">
          <cell r="E7">
            <v>0</v>
          </cell>
          <cell r="F7">
            <v>0</v>
          </cell>
        </row>
        <row r="8">
          <cell r="E8">
            <v>0</v>
          </cell>
          <cell r="F8" t="str">
            <v>a.2 Consolidación y funcionamiento de los institutos tecnológicos de Tela, Gracias  a Dios y Puerto Cortes.</v>
          </cell>
        </row>
        <row r="9">
          <cell r="E9">
            <v>0</v>
          </cell>
          <cell r="F9" t="str">
            <v>b.1 Realización de estudios regionalizados de cobertura y equidad en el acceso a la UNAH y de estudios de oferta y demanda de estudios universitarios en cada región educativa.</v>
          </cell>
        </row>
        <row r="10">
          <cell r="E10">
            <v>0</v>
          </cell>
          <cell r="F10" t="str">
            <v>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v>
          </cell>
        </row>
        <row r="11">
          <cell r="E11">
            <v>0</v>
          </cell>
          <cell r="F11" t="str">
            <v>1) Fortalecimiento del Programa de Incentivos a la investigación.                                                                                                                                                                                                              2) Asignación y disponibilidad de recursos subyacientes para la ejecución de dos programas.</v>
          </cell>
        </row>
        <row r="12">
          <cell r="E12">
            <v>0</v>
          </cell>
          <cell r="F12" t="str">
            <v>1) Implantación y fortalecimiento de la política de incentivos para la mejora continúa del funcionamiento de las redes educativas regionales.</v>
          </cell>
        </row>
        <row r="13">
          <cell r="E13">
            <v>0</v>
          </cell>
          <cell r="F13" t="str">
            <v>b.4 Desarrollar los Módulos del Subsistema de Planificación, M&amp;E. b.5) Implantación en Facultades y CRU's pilotos para hacer pruebas beta con los usuarios. b.6) Depuración del Subsistema. b.7) Implantación del Subsistema en las Facultades y CRU's</v>
          </cell>
        </row>
        <row r="14">
          <cell r="E14">
            <v>0</v>
          </cell>
          <cell r="F14">
            <v>0</v>
          </cell>
        </row>
        <row r="15">
          <cell r="E15">
            <v>0</v>
          </cell>
          <cell r="F15">
            <v>0</v>
          </cell>
        </row>
        <row r="16">
          <cell r="E16">
            <v>0</v>
          </cell>
          <cell r="F16">
            <v>0</v>
          </cell>
        </row>
        <row r="17">
          <cell r="E17">
            <v>0</v>
          </cell>
          <cell r="F17">
            <v>0</v>
          </cell>
        </row>
        <row r="18">
          <cell r="E18">
            <v>0</v>
          </cell>
          <cell r="F18" t="str">
            <v>1) Consolidación del programa de formación y capacitación institucional en TIC.                                                                                                                                                                               2)Mantenimiento permanente y sostenido de página web de la UNAH.                                                                                                                                                                                            3) Monitoría y evaluación del Programa de Educación Permanente.</v>
          </cell>
        </row>
        <row r="19">
          <cell r="E19">
            <v>0</v>
          </cell>
          <cell r="F19">
            <v>0</v>
          </cell>
        </row>
        <row r="20">
          <cell r="E20">
            <v>0</v>
          </cell>
          <cell r="F20" t="str">
            <v>1) Jornadas de intercambio de experiencias, y presentación de resultados, entre investigadores socio económicos, investigadores de la economía de la cultura, alumnos y comunidad universitaria en general.</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sheetData>
      <sheetData sheetId="20">
        <row r="2">
          <cell r="E2">
            <v>0</v>
          </cell>
          <cell r="F2">
            <v>0</v>
          </cell>
        </row>
        <row r="3">
          <cell r="E3" t="str">
            <v>Correlativo de Actividad</v>
          </cell>
          <cell r="F3" t="str">
            <v>ACTIVIDADES</v>
          </cell>
        </row>
        <row r="4">
          <cell r="E4">
            <v>0</v>
          </cell>
          <cell r="F4">
            <v>0</v>
          </cell>
        </row>
        <row r="5">
          <cell r="E5">
            <v>0</v>
          </cell>
          <cell r="F5">
            <v>0</v>
          </cell>
        </row>
        <row r="6">
          <cell r="E6">
            <v>0</v>
          </cell>
          <cell r="F6">
            <v>0</v>
          </cell>
        </row>
        <row r="7">
          <cell r="E7" t="str">
            <v>10.10.10</v>
          </cell>
          <cell r="F7" t="str">
            <v>2.1  Dar asesoramiento tecnico y juridico                   2.2 recopilacion de datos y documentos.                              2.3 Envio de correspondencia e informacion</v>
          </cell>
        </row>
        <row r="8">
          <cell r="E8">
            <v>0</v>
          </cell>
          <cell r="F8" t="str">
            <v>a.3 Según sea el caso, se deben realizar las siguientes actividades o procesos: Revisión; actualización; complementación; inclusión del eje de ética; adecuación curricular; reforma del plan de estudio; nueva oferta educativa.</v>
          </cell>
        </row>
        <row r="9">
          <cell r="E9">
            <v>0</v>
          </cell>
          <cell r="F9" t="str">
            <v>b.1 Coordinación con la Direccion Departamental de Educación para la articulación del nivel medio con el nivel universitario en el Caribe Hondureño.</v>
          </cell>
        </row>
        <row r="10">
          <cell r="E10">
            <v>0</v>
          </cell>
          <cell r="F10">
            <v>0</v>
          </cell>
        </row>
      </sheetData>
      <sheetData sheetId="21">
        <row r="1">
          <cell r="E1">
            <v>0</v>
          </cell>
        </row>
        <row r="2">
          <cell r="E2">
            <v>0</v>
          </cell>
          <cell r="F2">
            <v>0</v>
          </cell>
        </row>
        <row r="3">
          <cell r="E3" t="str">
            <v>Correlativo de Actividad</v>
          </cell>
          <cell r="F3" t="str">
            <v>ACTIVIDADES</v>
          </cell>
        </row>
        <row r="4">
          <cell r="E4">
            <v>0</v>
          </cell>
          <cell r="F4">
            <v>0</v>
          </cell>
        </row>
        <row r="5">
          <cell r="E5">
            <v>0</v>
          </cell>
          <cell r="F5">
            <v>0</v>
          </cell>
        </row>
        <row r="6">
          <cell r="E6" t="str">
            <v>11.11.11</v>
          </cell>
          <cell r="F6" t="str">
            <v>1. Mejora continua de los mecanismos y métodos de comunicación entre la UNAH y los actores del sistema educativo nacional.</v>
          </cell>
        </row>
        <row r="7">
          <cell r="E7">
            <v>0</v>
          </cell>
          <cell r="F7" t="str">
            <v>2. Fortalecer los procesos y el sistema de diálogo en forma permanente, constructivo y respetuoso.</v>
          </cell>
        </row>
        <row r="8">
          <cell r="E8">
            <v>0</v>
          </cell>
          <cell r="F8" t="str">
            <v>3. Concertación permanente bajo los principios del respeto mutuo, autonomía universitaria y defensa de lo público.</v>
          </cell>
        </row>
        <row r="9">
          <cell r="E9">
            <v>0</v>
          </cell>
          <cell r="F9" t="str">
            <v>4. Formulación y consolidación de estrategias que garanticen la articulación de los actores de la UNAH, alrededor de una visión compartida del Sistema Educativo Nacional.</v>
          </cell>
        </row>
        <row r="10">
          <cell r="E10">
            <v>0</v>
          </cell>
          <cell r="F10" t="str">
            <v>5. Coordinación con la Secretaría de Educación para la articulación del nivel medio con el nivel universitario.</v>
          </cell>
        </row>
        <row r="11">
          <cell r="E11">
            <v>0</v>
          </cell>
          <cell r="F11" t="str">
            <v>6. Cumplimiento de los alcances del Plan Estratégico de desarrollo de la ES.</v>
          </cell>
        </row>
        <row r="12">
          <cell r="E12">
            <v>0</v>
          </cell>
          <cell r="F12" t="str">
            <v>1. Continuar evaluando el ordenamiento jurídico y reglamentario de la UNAH, adecuándolo al fortalecimiento institucional y a la transformación organizacional.                                2. Estricta aplicación de las políticas de la Educación Superior en todas las instituciones del nivel.</v>
          </cell>
        </row>
        <row r="13">
          <cell r="E13">
            <v>0</v>
          </cell>
          <cell r="F13" t="str">
            <v>3. Ejercer una influencia académica actualizada y de calidad en el sistema universitario nacional.</v>
          </cell>
        </row>
        <row r="14">
          <cell r="E14">
            <v>0</v>
          </cell>
          <cell r="F14">
            <v>0</v>
          </cell>
        </row>
      </sheetData>
      <sheetData sheetId="22">
        <row r="1">
          <cell r="E1">
            <v>0</v>
          </cell>
          <cell r="F1">
            <v>0</v>
          </cell>
        </row>
        <row r="2">
          <cell r="E2">
            <v>0</v>
          </cell>
          <cell r="F2">
            <v>0</v>
          </cell>
        </row>
        <row r="3">
          <cell r="E3" t="str">
            <v>Correlativo de Actividad</v>
          </cell>
          <cell r="F3" t="str">
            <v>ACTIVIDADES</v>
          </cell>
        </row>
        <row r="4">
          <cell r="E4">
            <v>0</v>
          </cell>
          <cell r="F4">
            <v>0</v>
          </cell>
        </row>
        <row r="5">
          <cell r="E5">
            <v>0</v>
          </cell>
          <cell r="F5">
            <v>0</v>
          </cell>
        </row>
        <row r="6">
          <cell r="E6" t="str">
            <v>12.12.12</v>
          </cell>
          <cell r="F6" t="str">
            <v xml:space="preserve">1) Socialización de los lineamientos metodológicos.                                                                                                                                                                                                                                       </v>
          </cell>
        </row>
        <row r="7">
          <cell r="E7">
            <v>0</v>
          </cell>
          <cell r="F7" t="str">
            <v>2) Jornadas de trabajo (conferencias, exposiciones, talleres, y otros) interdisciplinarias orientadas a la transversalización efectiva y profunda del eje de ética.</v>
          </cell>
        </row>
        <row r="8">
          <cell r="E8">
            <v>0</v>
          </cell>
          <cell r="F8">
            <v>0</v>
          </cell>
        </row>
        <row r="9">
          <cell r="E9">
            <v>0</v>
          </cell>
          <cell r="F9" t="str">
            <v>Gestión de convenios y planes de trabajo en ejecución, que fundamentan un ejercicio de las funciones académicas con identidad.</v>
          </cell>
        </row>
        <row r="10">
          <cell r="E10">
            <v>0</v>
          </cell>
          <cell r="F10" t="str">
            <v>Inversión para la gestión de los proyectos culturales.</v>
          </cell>
        </row>
        <row r="11">
          <cell r="E11">
            <v>0</v>
          </cell>
          <cell r="F11" t="str">
            <v>Promoción activa y efectiva de iniciativas en red.</v>
          </cell>
        </row>
        <row r="12">
          <cell r="E12">
            <v>0</v>
          </cell>
          <cell r="F12" t="str">
            <v>Inversión para el desarrollo de iniciativas de incidencia para implementar el Programa LO ESENCIAL.</v>
          </cell>
        </row>
        <row r="13">
          <cell r="E13">
            <v>0</v>
          </cell>
          <cell r="F13" t="str">
            <v>Promoción e inversión en encuentros regionales.</v>
          </cell>
        </row>
        <row r="14">
          <cell r="E14">
            <v>0</v>
          </cell>
          <cell r="F14" t="str">
            <v>Promoción de aprobación y firma de convenios regionales con socios estratégicos</v>
          </cell>
        </row>
        <row r="15">
          <cell r="E15">
            <v>0</v>
          </cell>
          <cell r="F15" t="str">
            <v>Construcción participativa y ejecución en red de proyectos de ciudadanía cultural</v>
          </cell>
        </row>
        <row r="16">
          <cell r="E16">
            <v>0</v>
          </cell>
          <cell r="F16">
            <v>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ables/table1.xml><?xml version="1.0" encoding="utf-8"?>
<table xmlns="http://schemas.openxmlformats.org/spreadsheetml/2006/main" id="1" name="Tabla17" displayName="Tabla17" ref="B2:C14" totalsRowShown="0" headerRowDxfId="23" dataDxfId="22">
  <autoFilter ref="B2:C14"/>
  <tableColumns count="2">
    <tableColumn id="1" name="Descripción" dataDxfId="21"/>
    <tableColumn id="2" name="Monto" dataDxfId="20"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9" dataDxfId="18">
  <autoFilter ref="B33:D51"/>
  <tableColumns count="3">
    <tableColumn id="1" name="Descripción" dataDxfId="17"/>
    <tableColumn id="2" name="Cantidad" dataDxfId="16" dataCellStyle="Millares"/>
    <tableColumn id="3" name="Montos" dataDxfId="15">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4" dataDxfId="13">
  <autoFilter ref="B62:D74"/>
  <tableColumns count="3">
    <tableColumn id="1" name="Descripción" dataDxfId="12"/>
    <tableColumn id="2" name="Cantidad" dataDxfId="11" dataCellStyle="Millares"/>
    <tableColumn id="3" name="Montos" dataDxfId="10">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9">
  <autoFilter ref="B79:D97"/>
  <tableColumns count="3">
    <tableColumn id="1" name="Descripción " dataDxfId="8"/>
    <tableColumn id="2" name="Cantidad" dataDxfId="7" dataCellStyle="Millares"/>
    <tableColumn id="3" name="Montos" dataDxfId="6">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86"/>
      <c r="U2" s="786"/>
      <c r="V2" s="786"/>
      <c r="W2" s="786"/>
      <c r="X2" s="786"/>
      <c r="Y2" s="786"/>
      <c r="Z2" s="786"/>
      <c r="AA2" s="786"/>
      <c r="AB2" s="786"/>
      <c r="AC2" s="786" t="s">
        <v>25</v>
      </c>
      <c r="AD2" s="786"/>
      <c r="AE2" s="786"/>
      <c r="AF2" s="786"/>
      <c r="AG2" s="786"/>
      <c r="AH2" s="786"/>
      <c r="AI2" s="786"/>
      <c r="AJ2" s="786"/>
    </row>
    <row r="3" spans="2:36" ht="16.5" customHeight="1" x14ac:dyDescent="0.25">
      <c r="B3" s="33" t="s">
        <v>7</v>
      </c>
      <c r="C3" s="33"/>
      <c r="D3" s="33"/>
      <c r="E3" s="33"/>
      <c r="F3" s="33"/>
      <c r="G3" s="33"/>
      <c r="H3" s="33"/>
      <c r="I3" s="33"/>
      <c r="J3" s="33"/>
      <c r="K3" s="33"/>
      <c r="L3" s="33"/>
      <c r="M3" s="33"/>
      <c r="N3" s="33"/>
      <c r="O3" s="33"/>
      <c r="P3" s="33"/>
      <c r="Q3" s="33"/>
      <c r="R3" s="33"/>
      <c r="S3" s="33"/>
      <c r="T3" s="786"/>
      <c r="U3" s="786"/>
      <c r="V3" s="786"/>
      <c r="W3" s="786"/>
      <c r="X3" s="786"/>
      <c r="Y3" s="786"/>
      <c r="Z3" s="786"/>
      <c r="AA3" s="786"/>
      <c r="AB3" s="786"/>
      <c r="AC3" s="786" t="s">
        <v>7</v>
      </c>
      <c r="AD3" s="786"/>
      <c r="AE3" s="786"/>
      <c r="AF3" s="786"/>
      <c r="AG3" s="786"/>
      <c r="AH3" s="786"/>
      <c r="AI3" s="786"/>
      <c r="AJ3" s="786"/>
    </row>
    <row r="4" spans="2:36" ht="12.75" customHeight="1" x14ac:dyDescent="0.25">
      <c r="B4" s="33" t="s">
        <v>36</v>
      </c>
      <c r="C4" s="33"/>
      <c r="D4" s="33"/>
      <c r="E4" s="33"/>
      <c r="F4" s="33"/>
      <c r="G4" s="33"/>
      <c r="H4" s="33"/>
      <c r="I4" s="33"/>
      <c r="J4" s="33"/>
      <c r="K4" s="33"/>
      <c r="L4" s="33"/>
      <c r="M4" s="33"/>
      <c r="N4" s="33"/>
      <c r="O4" s="33"/>
      <c r="P4" s="33"/>
      <c r="Q4" s="33"/>
      <c r="R4" s="33"/>
      <c r="S4" s="33"/>
      <c r="T4" s="786"/>
      <c r="U4" s="786"/>
      <c r="V4" s="786"/>
      <c r="W4" s="786"/>
      <c r="X4" s="786"/>
      <c r="Y4" s="786"/>
      <c r="Z4" s="786"/>
      <c r="AA4" s="786"/>
      <c r="AB4" s="786"/>
      <c r="AC4" s="786" t="s">
        <v>36</v>
      </c>
      <c r="AD4" s="786"/>
      <c r="AE4" s="786"/>
      <c r="AF4" s="786"/>
      <c r="AG4" s="786"/>
      <c r="AH4" s="786"/>
      <c r="AI4" s="786"/>
      <c r="AJ4" s="786"/>
    </row>
    <row r="5" spans="2:36" ht="15.75" x14ac:dyDescent="0.25">
      <c r="B5" s="2"/>
      <c r="C5" s="2"/>
      <c r="D5" s="2"/>
    </row>
    <row r="6" spans="2:36" ht="16.5" thickBot="1" x14ac:dyDescent="0.3">
      <c r="B6" s="2"/>
      <c r="C6" s="2"/>
      <c r="D6" s="2"/>
    </row>
    <row r="7" spans="2:36" ht="75.75" customHeight="1" x14ac:dyDescent="0.25">
      <c r="B7" s="781" t="s">
        <v>20</v>
      </c>
      <c r="C7" s="781" t="s">
        <v>38</v>
      </c>
      <c r="D7" s="781" t="s">
        <v>39</v>
      </c>
      <c r="E7" s="783" t="s">
        <v>40</v>
      </c>
      <c r="F7" s="781" t="s">
        <v>37</v>
      </c>
      <c r="G7" s="783" t="s">
        <v>9</v>
      </c>
      <c r="H7" s="785" t="s">
        <v>0</v>
      </c>
      <c r="I7" s="785" t="s">
        <v>8</v>
      </c>
      <c r="J7" s="785" t="s">
        <v>16</v>
      </c>
      <c r="K7" s="785"/>
      <c r="L7" s="785" t="s">
        <v>13</v>
      </c>
      <c r="M7" s="785"/>
      <c r="N7" s="785"/>
      <c r="O7" s="785"/>
      <c r="P7" s="785"/>
      <c r="Q7" s="785"/>
      <c r="R7" s="785"/>
      <c r="S7" s="785"/>
      <c r="T7" s="781" t="s">
        <v>14</v>
      </c>
      <c r="U7" s="785" t="s">
        <v>18</v>
      </c>
      <c r="V7" s="785" t="s">
        <v>26</v>
      </c>
      <c r="W7" s="785"/>
      <c r="X7" s="785" t="s">
        <v>15</v>
      </c>
      <c r="Y7" s="785" t="s">
        <v>17</v>
      </c>
      <c r="Z7" s="785"/>
      <c r="AA7" s="785" t="s">
        <v>22</v>
      </c>
      <c r="AB7" s="785" t="s">
        <v>32</v>
      </c>
      <c r="AC7" s="787" t="s">
        <v>31</v>
      </c>
      <c r="AD7" s="787"/>
      <c r="AE7" s="787"/>
      <c r="AF7" s="787"/>
      <c r="AG7" s="785" t="s">
        <v>28</v>
      </c>
      <c r="AH7" s="785" t="s">
        <v>29</v>
      </c>
      <c r="AI7" s="785" t="s">
        <v>1</v>
      </c>
      <c r="AJ7" s="785" t="s">
        <v>2</v>
      </c>
    </row>
    <row r="8" spans="2:36" ht="15.75" customHeight="1" x14ac:dyDescent="0.25">
      <c r="B8" s="782"/>
      <c r="C8" s="782"/>
      <c r="D8" s="782"/>
      <c r="E8" s="784"/>
      <c r="F8" s="782"/>
      <c r="G8" s="784"/>
      <c r="H8" s="780"/>
      <c r="I8" s="780"/>
      <c r="J8" s="780" t="s">
        <v>33</v>
      </c>
      <c r="K8" s="780" t="s">
        <v>19</v>
      </c>
      <c r="L8" s="788" t="s">
        <v>3</v>
      </c>
      <c r="M8" s="788"/>
      <c r="N8" s="788" t="s">
        <v>4</v>
      </c>
      <c r="O8" s="788"/>
      <c r="P8" s="788" t="s">
        <v>5</v>
      </c>
      <c r="Q8" s="788"/>
      <c r="R8" s="788" t="s">
        <v>6</v>
      </c>
      <c r="S8" s="788"/>
      <c r="T8" s="782"/>
      <c r="U8" s="780"/>
      <c r="V8" s="780" t="s">
        <v>23</v>
      </c>
      <c r="W8" s="780" t="s">
        <v>21</v>
      </c>
      <c r="X8" s="780"/>
      <c r="Y8" s="780" t="s">
        <v>23</v>
      </c>
      <c r="Z8" s="780" t="s">
        <v>21</v>
      </c>
      <c r="AA8" s="780"/>
      <c r="AB8" s="780"/>
      <c r="AC8" s="14" t="s">
        <v>3</v>
      </c>
      <c r="AD8" s="14" t="s">
        <v>4</v>
      </c>
      <c r="AE8" s="14" t="s">
        <v>5</v>
      </c>
      <c r="AF8" s="14" t="s">
        <v>6</v>
      </c>
      <c r="AG8" s="780"/>
      <c r="AH8" s="780"/>
      <c r="AI8" s="780"/>
      <c r="AJ8" s="780"/>
    </row>
    <row r="9" spans="2:36" ht="78.75" x14ac:dyDescent="0.25">
      <c r="B9" s="782"/>
      <c r="C9" s="782"/>
      <c r="D9" s="782"/>
      <c r="E9" s="784"/>
      <c r="F9" s="782"/>
      <c r="G9" s="784"/>
      <c r="H9" s="780"/>
      <c r="I9" s="780"/>
      <c r="J9" s="780"/>
      <c r="K9" s="780"/>
      <c r="L9" s="32" t="s">
        <v>11</v>
      </c>
      <c r="M9" s="32" t="s">
        <v>12</v>
      </c>
      <c r="N9" s="32" t="s">
        <v>11</v>
      </c>
      <c r="O9" s="32" t="s">
        <v>12</v>
      </c>
      <c r="P9" s="32" t="s">
        <v>11</v>
      </c>
      <c r="Q9" s="32" t="s">
        <v>12</v>
      </c>
      <c r="R9" s="32" t="s">
        <v>11</v>
      </c>
      <c r="S9" s="32" t="s">
        <v>12</v>
      </c>
      <c r="T9" s="782"/>
      <c r="U9" s="780"/>
      <c r="V9" s="780"/>
      <c r="W9" s="780"/>
      <c r="X9" s="780"/>
      <c r="Y9" s="780"/>
      <c r="Z9" s="780"/>
      <c r="AA9" s="780"/>
      <c r="AB9" s="780"/>
      <c r="AC9" s="14" t="s">
        <v>24</v>
      </c>
      <c r="AD9" s="14" t="s">
        <v>24</v>
      </c>
      <c r="AE9" s="14" t="s">
        <v>24</v>
      </c>
      <c r="AF9" s="14" t="s">
        <v>24</v>
      </c>
      <c r="AG9" s="780"/>
      <c r="AH9" s="780"/>
      <c r="AI9" s="780"/>
      <c r="AJ9" s="780"/>
    </row>
    <row r="10" spans="2:36" ht="136.5" customHeight="1" x14ac:dyDescent="0.25">
      <c r="B10" s="39"/>
      <c r="C10" s="39"/>
      <c r="D10" s="39"/>
      <c r="E10" s="40"/>
      <c r="F10" s="41" t="s">
        <v>92</v>
      </c>
      <c r="G10" s="40" t="s">
        <v>103</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78" t="s">
        <v>10</v>
      </c>
      <c r="K31" s="779"/>
      <c r="L31" s="776"/>
      <c r="M31" s="777"/>
      <c r="N31" s="776"/>
      <c r="O31" s="777"/>
      <c r="P31" s="776"/>
      <c r="Q31" s="777"/>
      <c r="R31" s="776"/>
      <c r="S31" s="77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5"/>
  <sheetViews>
    <sheetView showGridLines="0" topLeftCell="A52" zoomScale="86" zoomScaleNormal="86" zoomScaleSheetLayoutView="80" workbookViewId="0">
      <selection activeCell="F60" sqref="F60"/>
    </sheetView>
  </sheetViews>
  <sheetFormatPr baseColWidth="10" defaultColWidth="11.5703125" defaultRowHeight="15" x14ac:dyDescent="0.25"/>
  <cols>
    <col min="1" max="1" width="19.28515625" style="95" customWidth="1"/>
    <col min="2" max="2" width="17" style="95" customWidth="1"/>
    <col min="3" max="3" width="47" style="95" customWidth="1"/>
    <col min="4" max="4" width="26.85546875" style="95" bestFit="1" customWidth="1"/>
    <col min="5" max="5" width="36.7109375" style="95" bestFit="1" customWidth="1"/>
    <col min="6" max="6" width="21.85546875" style="95" customWidth="1"/>
    <col min="7" max="7" width="16.5703125" style="85" customWidth="1"/>
    <col min="8" max="8" width="24.140625" style="95" bestFit="1" customWidth="1"/>
    <col min="9" max="9" width="36" style="95" bestFit="1" customWidth="1"/>
    <col min="10" max="10" width="28.140625" style="95" bestFit="1" customWidth="1"/>
    <col min="11" max="11" width="19.85546875" style="95" bestFit="1" customWidth="1"/>
    <col min="12" max="12" width="12.7109375" style="95" bestFit="1" customWidth="1"/>
    <col min="13" max="16384" width="11.5703125" style="95"/>
  </cols>
  <sheetData>
    <row r="1" spans="1:576" ht="26.25" hidden="1" x14ac:dyDescent="0.25">
      <c r="A1" s="198"/>
      <c r="B1" s="201"/>
      <c r="C1" s="192" t="s">
        <v>332</v>
      </c>
      <c r="D1" s="192" t="s">
        <v>701</v>
      </c>
      <c r="E1" s="192" t="s">
        <v>703</v>
      </c>
      <c r="F1" s="192" t="s">
        <v>705</v>
      </c>
      <c r="G1" s="192" t="s">
        <v>707</v>
      </c>
      <c r="H1" s="192" t="s">
        <v>709</v>
      </c>
      <c r="I1" s="192" t="s">
        <v>711</v>
      </c>
      <c r="J1" s="192" t="s">
        <v>333</v>
      </c>
      <c r="K1" s="192" t="s">
        <v>714</v>
      </c>
      <c r="L1" s="192" t="s">
        <v>334</v>
      </c>
      <c r="M1" s="192" t="s">
        <v>716</v>
      </c>
      <c r="N1" s="192" t="s">
        <v>718</v>
      </c>
      <c r="O1" s="192" t="s">
        <v>720</v>
      </c>
      <c r="P1" s="192" t="s">
        <v>335</v>
      </c>
      <c r="Q1" s="192" t="s">
        <v>721</v>
      </c>
      <c r="R1" s="192" t="s">
        <v>724</v>
      </c>
      <c r="S1" s="192" t="s">
        <v>336</v>
      </c>
      <c r="T1" s="192" t="s">
        <v>726</v>
      </c>
      <c r="U1" s="192" t="s">
        <v>337</v>
      </c>
      <c r="V1" s="192" t="s">
        <v>727</v>
      </c>
      <c r="W1" s="192" t="s">
        <v>728</v>
      </c>
      <c r="X1" s="192" t="s">
        <v>732</v>
      </c>
      <c r="Y1" s="192" t="s">
        <v>329</v>
      </c>
      <c r="Z1" s="192" t="s">
        <v>747</v>
      </c>
      <c r="AA1" s="201"/>
      <c r="AB1" s="192" t="s">
        <v>749</v>
      </c>
      <c r="AC1" s="192" t="s">
        <v>339</v>
      </c>
      <c r="AD1" s="192" t="s">
        <v>751</v>
      </c>
      <c r="AE1" s="192" t="s">
        <v>753</v>
      </c>
      <c r="AF1" s="192" t="s">
        <v>340</v>
      </c>
      <c r="AG1" s="192" t="s">
        <v>755</v>
      </c>
      <c r="AH1" s="192" t="s">
        <v>757</v>
      </c>
      <c r="AI1" s="192" t="s">
        <v>341</v>
      </c>
      <c r="AJ1" s="192" t="s">
        <v>758</v>
      </c>
      <c r="AK1" s="192" t="s">
        <v>760</v>
      </c>
      <c r="AL1" s="192" t="s">
        <v>761</v>
      </c>
      <c r="AM1" s="192" t="s">
        <v>762</v>
      </c>
      <c r="AN1" s="192" t="s">
        <v>764</v>
      </c>
      <c r="AO1" s="192" t="s">
        <v>766</v>
      </c>
      <c r="AP1" s="192" t="s">
        <v>767</v>
      </c>
      <c r="AQ1" s="192" t="s">
        <v>342</v>
      </c>
      <c r="AR1" s="192" t="s">
        <v>769</v>
      </c>
      <c r="AS1" s="192" t="s">
        <v>771</v>
      </c>
      <c r="AT1" s="192" t="s">
        <v>773</v>
      </c>
      <c r="AU1" s="192" t="s">
        <v>775</v>
      </c>
      <c r="AV1" s="192" t="s">
        <v>777</v>
      </c>
      <c r="AW1" s="192" t="s">
        <v>779</v>
      </c>
      <c r="AX1" s="192" t="s">
        <v>781</v>
      </c>
      <c r="AY1" s="192" t="s">
        <v>783</v>
      </c>
      <c r="AZ1" s="201"/>
      <c r="BA1" s="192" t="s">
        <v>344</v>
      </c>
      <c r="BB1" s="192" t="s">
        <v>805</v>
      </c>
      <c r="BC1" s="192" t="s">
        <v>345</v>
      </c>
      <c r="BD1" s="192" t="s">
        <v>807</v>
      </c>
      <c r="BE1" s="192" t="s">
        <v>809</v>
      </c>
      <c r="BF1" s="201"/>
      <c r="BG1" s="192" t="s">
        <v>347</v>
      </c>
      <c r="BH1" s="192" t="s">
        <v>811</v>
      </c>
      <c r="BI1" s="192" t="s">
        <v>348</v>
      </c>
      <c r="BJ1" s="192" t="s">
        <v>813</v>
      </c>
      <c r="BK1" s="192" t="s">
        <v>815</v>
      </c>
      <c r="BL1" s="192" t="s">
        <v>817</v>
      </c>
      <c r="BM1" s="201"/>
      <c r="BN1" s="192" t="s">
        <v>823</v>
      </c>
      <c r="BO1" s="192" t="s">
        <v>825</v>
      </c>
      <c r="BP1" s="192" t="s">
        <v>350</v>
      </c>
      <c r="BQ1" s="192" t="s">
        <v>819</v>
      </c>
      <c r="BR1" s="192" t="s">
        <v>821</v>
      </c>
      <c r="BS1" s="192" t="s">
        <v>351</v>
      </c>
      <c r="BT1" s="192" t="s">
        <v>827</v>
      </c>
      <c r="BU1" s="192" t="s">
        <v>352</v>
      </c>
      <c r="BV1" s="192" t="s">
        <v>828</v>
      </c>
      <c r="BW1" s="189"/>
      <c r="BX1" s="201"/>
      <c r="BY1" s="192" t="s">
        <v>353</v>
      </c>
      <c r="BZ1" s="192" t="s">
        <v>733</v>
      </c>
      <c r="CA1" s="192" t="s">
        <v>735</v>
      </c>
      <c r="CB1" s="192" t="s">
        <v>737</v>
      </c>
      <c r="CC1" s="192" t="s">
        <v>354</v>
      </c>
      <c r="CD1" s="192" t="s">
        <v>739</v>
      </c>
      <c r="CE1" s="192" t="s">
        <v>741</v>
      </c>
      <c r="CF1" s="192" t="s">
        <v>743</v>
      </c>
      <c r="CG1" s="192" t="s">
        <v>745</v>
      </c>
      <c r="CH1" s="189"/>
      <c r="CI1" s="201"/>
      <c r="CJ1" s="192" t="s">
        <v>355</v>
      </c>
      <c r="CK1" s="192" t="s">
        <v>785</v>
      </c>
      <c r="CL1" s="192" t="s">
        <v>787</v>
      </c>
      <c r="CM1" s="192" t="s">
        <v>789</v>
      </c>
      <c r="CN1" s="192" t="s">
        <v>791</v>
      </c>
      <c r="CO1" s="192" t="s">
        <v>793</v>
      </c>
      <c r="CP1" s="192" t="s">
        <v>795</v>
      </c>
      <c r="CQ1" s="192" t="s">
        <v>797</v>
      </c>
      <c r="CR1" s="192" t="s">
        <v>799</v>
      </c>
      <c r="CS1" s="192" t="s">
        <v>801</v>
      </c>
      <c r="CT1" s="192" t="s">
        <v>803</v>
      </c>
      <c r="CU1" s="189"/>
      <c r="CV1" s="201"/>
      <c r="CW1" s="192" t="s">
        <v>829</v>
      </c>
      <c r="CX1" s="192" t="s">
        <v>830</v>
      </c>
      <c r="CY1" s="192" t="s">
        <v>832</v>
      </c>
      <c r="CZ1" s="192" t="s">
        <v>358</v>
      </c>
      <c r="DA1" s="192" t="s">
        <v>834</v>
      </c>
      <c r="DB1" s="192" t="s">
        <v>836</v>
      </c>
      <c r="DC1" s="192" t="s">
        <v>838</v>
      </c>
      <c r="DD1" s="192" t="s">
        <v>840</v>
      </c>
      <c r="DE1" s="192" t="s">
        <v>842</v>
      </c>
      <c r="DF1" s="192" t="s">
        <v>844</v>
      </c>
      <c r="DG1" s="201"/>
      <c r="DH1" s="192" t="s">
        <v>360</v>
      </c>
      <c r="DI1" s="192" t="s">
        <v>846</v>
      </c>
      <c r="DJ1" s="192" t="s">
        <v>361</v>
      </c>
      <c r="DK1" s="192" t="s">
        <v>848</v>
      </c>
      <c r="DL1" s="192" t="s">
        <v>850</v>
      </c>
      <c r="DM1" s="192" t="s">
        <v>852</v>
      </c>
      <c r="DN1" s="192" t="s">
        <v>854</v>
      </c>
      <c r="DO1" s="192" t="s">
        <v>856</v>
      </c>
      <c r="DP1" s="192" t="s">
        <v>858</v>
      </c>
      <c r="DQ1" s="192" t="s">
        <v>860</v>
      </c>
      <c r="DR1" s="192" t="s">
        <v>362</v>
      </c>
      <c r="DS1" s="192" t="s">
        <v>862</v>
      </c>
      <c r="DT1" s="192" t="s">
        <v>864</v>
      </c>
      <c r="DU1" s="192" t="s">
        <v>866</v>
      </c>
      <c r="DV1" s="201"/>
      <c r="DW1" s="192" t="s">
        <v>868</v>
      </c>
      <c r="DX1" s="192" t="s">
        <v>364</v>
      </c>
      <c r="DY1" s="192" t="s">
        <v>870</v>
      </c>
      <c r="DZ1" s="192" t="s">
        <v>365</v>
      </c>
      <c r="EA1" s="192" t="s">
        <v>872</v>
      </c>
      <c r="EB1" s="192" t="s">
        <v>874</v>
      </c>
      <c r="EC1" s="192" t="s">
        <v>876</v>
      </c>
      <c r="ED1" s="192" t="s">
        <v>878</v>
      </c>
      <c r="EE1" s="192" t="s">
        <v>880</v>
      </c>
      <c r="EF1" s="192" t="s">
        <v>882</v>
      </c>
      <c r="EG1" s="192" t="s">
        <v>884</v>
      </c>
      <c r="EH1" s="192" t="s">
        <v>886</v>
      </c>
      <c r="EI1" s="192" t="s">
        <v>888</v>
      </c>
      <c r="EJ1" s="192" t="s">
        <v>890</v>
      </c>
      <c r="EK1" s="192" t="s">
        <v>892</v>
      </c>
      <c r="EL1" s="201"/>
      <c r="EM1" s="192" t="s">
        <v>894</v>
      </c>
      <c r="EN1" s="192" t="s">
        <v>367</v>
      </c>
      <c r="EO1" s="192" t="s">
        <v>896</v>
      </c>
      <c r="EP1" s="192" t="s">
        <v>898</v>
      </c>
      <c r="EQ1" s="192" t="s">
        <v>368</v>
      </c>
      <c r="ER1" s="192" t="s">
        <v>900</v>
      </c>
      <c r="ES1" s="192" t="s">
        <v>902</v>
      </c>
      <c r="ET1" s="192" t="s">
        <v>369</v>
      </c>
      <c r="EU1" s="192" t="s">
        <v>904</v>
      </c>
      <c r="EV1" s="192" t="s">
        <v>906</v>
      </c>
      <c r="EW1" s="192" t="s">
        <v>908</v>
      </c>
      <c r="EX1" s="192" t="s">
        <v>370</v>
      </c>
      <c r="EY1" s="192" t="s">
        <v>910</v>
      </c>
      <c r="EZ1" s="192" t="s">
        <v>912</v>
      </c>
      <c r="FA1" s="201"/>
      <c r="FB1" s="192" t="s">
        <v>372</v>
      </c>
      <c r="FC1" s="192" t="s">
        <v>914</v>
      </c>
      <c r="FD1" s="192" t="s">
        <v>916</v>
      </c>
      <c r="FE1" s="192" t="s">
        <v>918</v>
      </c>
      <c r="FF1" s="192" t="s">
        <v>920</v>
      </c>
      <c r="FG1" s="192" t="s">
        <v>373</v>
      </c>
      <c r="FH1" s="192" t="s">
        <v>922</v>
      </c>
      <c r="FI1" s="192" t="s">
        <v>924</v>
      </c>
      <c r="FJ1" s="192" t="s">
        <v>926</v>
      </c>
      <c r="FK1" s="192" t="s">
        <v>928</v>
      </c>
      <c r="FL1" s="192" t="s">
        <v>930</v>
      </c>
      <c r="FM1" s="192" t="s">
        <v>374</v>
      </c>
      <c r="FN1" s="192" t="s">
        <v>933</v>
      </c>
      <c r="FO1" s="192" t="s">
        <v>375</v>
      </c>
      <c r="FP1" s="192" t="s">
        <v>936</v>
      </c>
      <c r="FQ1" s="192" t="s">
        <v>937</v>
      </c>
      <c r="FR1" s="192" t="s">
        <v>939</v>
      </c>
      <c r="FS1" s="192" t="s">
        <v>376</v>
      </c>
      <c r="FT1" s="192" t="s">
        <v>942</v>
      </c>
      <c r="FU1" s="192" t="s">
        <v>943</v>
      </c>
      <c r="FV1" s="192" t="s">
        <v>945</v>
      </c>
      <c r="FW1" s="192" t="s">
        <v>377</v>
      </c>
      <c r="FX1" s="192" t="s">
        <v>948</v>
      </c>
      <c r="FY1" s="192" t="s">
        <v>950</v>
      </c>
      <c r="FZ1" s="192" t="s">
        <v>952</v>
      </c>
      <c r="GA1" s="201"/>
      <c r="GB1" s="192" t="s">
        <v>379</v>
      </c>
      <c r="GC1" s="192" t="s">
        <v>380</v>
      </c>
      <c r="GD1" s="201"/>
      <c r="GE1" s="192" t="s">
        <v>382</v>
      </c>
      <c r="GF1" s="192" t="s">
        <v>975</v>
      </c>
      <c r="GG1" s="192" t="s">
        <v>977</v>
      </c>
      <c r="GH1" s="192" t="s">
        <v>979</v>
      </c>
      <c r="GI1" s="192" t="s">
        <v>981</v>
      </c>
      <c r="GJ1" s="192" t="s">
        <v>983</v>
      </c>
      <c r="GK1" s="201"/>
      <c r="GL1" s="192" t="s">
        <v>384</v>
      </c>
      <c r="GM1" s="192" t="s">
        <v>985</v>
      </c>
      <c r="GN1" s="192" t="s">
        <v>987</v>
      </c>
      <c r="GO1" s="192" t="s">
        <v>989</v>
      </c>
      <c r="GP1" s="192" t="s">
        <v>991</v>
      </c>
      <c r="GQ1" s="192" t="s">
        <v>993</v>
      </c>
      <c r="GR1" s="192" t="s">
        <v>995</v>
      </c>
      <c r="GS1" s="189"/>
      <c r="GT1" s="201"/>
      <c r="GU1" s="192" t="s">
        <v>385</v>
      </c>
      <c r="GV1" s="192" t="s">
        <v>954</v>
      </c>
      <c r="GW1" s="192" t="s">
        <v>956</v>
      </c>
      <c r="GX1" s="192" t="s">
        <v>958</v>
      </c>
      <c r="GY1" s="192" t="s">
        <v>960</v>
      </c>
      <c r="GZ1" s="192" t="s">
        <v>962</v>
      </c>
      <c r="HA1" s="192" t="s">
        <v>964</v>
      </c>
      <c r="HB1" s="201"/>
      <c r="HC1" s="192" t="s">
        <v>386</v>
      </c>
      <c r="HD1" s="192" t="s">
        <v>966</v>
      </c>
      <c r="HE1" s="192" t="s">
        <v>968</v>
      </c>
      <c r="HF1" s="192" t="s">
        <v>969</v>
      </c>
      <c r="HG1" s="192" t="s">
        <v>387</v>
      </c>
      <c r="HH1" s="192" t="s">
        <v>972</v>
      </c>
      <c r="HI1" s="192" t="s">
        <v>973</v>
      </c>
      <c r="HJ1" s="189"/>
      <c r="HK1" s="201"/>
      <c r="HL1" s="192" t="s">
        <v>390</v>
      </c>
      <c r="HM1" s="192" t="s">
        <v>997</v>
      </c>
      <c r="HN1" s="192" t="s">
        <v>999</v>
      </c>
      <c r="HO1" s="192" t="s">
        <v>1001</v>
      </c>
      <c r="HP1" s="192" t="s">
        <v>1003</v>
      </c>
      <c r="HQ1" s="192" t="s">
        <v>391</v>
      </c>
      <c r="HR1" s="192" t="s">
        <v>1006</v>
      </c>
      <c r="HS1" s="201"/>
      <c r="HT1" s="192" t="s">
        <v>1008</v>
      </c>
      <c r="HU1" s="192" t="s">
        <v>1010</v>
      </c>
      <c r="HV1" s="192" t="s">
        <v>393</v>
      </c>
      <c r="HW1" s="192" t="s">
        <v>1013</v>
      </c>
      <c r="HX1" s="192" t="s">
        <v>1015</v>
      </c>
      <c r="HY1" s="192" t="s">
        <v>1016</v>
      </c>
      <c r="HZ1" s="192" t="s">
        <v>1018</v>
      </c>
      <c r="IA1" s="201"/>
      <c r="IB1" s="192" t="s">
        <v>1020</v>
      </c>
      <c r="IC1" s="192" t="s">
        <v>1022</v>
      </c>
      <c r="ID1" s="192" t="s">
        <v>1024</v>
      </c>
      <c r="IE1" s="192" t="s">
        <v>395</v>
      </c>
      <c r="IF1" s="192" t="s">
        <v>1026</v>
      </c>
      <c r="IG1" s="192" t="s">
        <v>1028</v>
      </c>
      <c r="IH1" s="192" t="s">
        <v>396</v>
      </c>
      <c r="II1" s="192" t="s">
        <v>1030</v>
      </c>
      <c r="IJ1" s="192" t="s">
        <v>1032</v>
      </c>
      <c r="IK1" s="192" t="s">
        <v>397</v>
      </c>
      <c r="IL1" s="192" t="s">
        <v>1034</v>
      </c>
      <c r="IM1" s="192" t="s">
        <v>1036</v>
      </c>
      <c r="IN1" s="192" t="s">
        <v>1038</v>
      </c>
      <c r="IO1" s="192" t="s">
        <v>1040</v>
      </c>
      <c r="IP1" s="192" t="s">
        <v>398</v>
      </c>
      <c r="IQ1" s="192" t="s">
        <v>1042</v>
      </c>
      <c r="IR1" s="201"/>
      <c r="IS1" s="192" t="s">
        <v>1050</v>
      </c>
      <c r="IT1" s="192" t="s">
        <v>1052</v>
      </c>
      <c r="IU1" s="192" t="s">
        <v>400</v>
      </c>
      <c r="IV1" s="192" t="s">
        <v>1054</v>
      </c>
      <c r="IW1" s="192" t="s">
        <v>1056</v>
      </c>
      <c r="IX1" s="192" t="s">
        <v>1058</v>
      </c>
      <c r="IY1" s="201"/>
      <c r="IZ1" s="192" t="s">
        <v>1060</v>
      </c>
      <c r="JA1" s="192" t="s">
        <v>402</v>
      </c>
      <c r="JB1" s="192" t="s">
        <v>1063</v>
      </c>
      <c r="JC1" s="192" t="s">
        <v>1065</v>
      </c>
      <c r="JD1" s="192" t="s">
        <v>1067</v>
      </c>
      <c r="JE1" s="192" t="s">
        <v>1069</v>
      </c>
      <c r="JF1" s="192" t="s">
        <v>1071</v>
      </c>
      <c r="JG1" s="192" t="s">
        <v>1073</v>
      </c>
      <c r="JH1" s="192" t="s">
        <v>403</v>
      </c>
      <c r="JI1" s="192" t="s">
        <v>1076</v>
      </c>
      <c r="JJ1" s="192" t="s">
        <v>1078</v>
      </c>
      <c r="JK1" s="192" t="s">
        <v>1080</v>
      </c>
      <c r="JL1" s="192" t="s">
        <v>1082</v>
      </c>
      <c r="JM1" s="192" t="s">
        <v>1084</v>
      </c>
      <c r="JN1" s="192" t="s">
        <v>1086</v>
      </c>
      <c r="JO1" s="192" t="s">
        <v>1088</v>
      </c>
      <c r="JP1" s="192" t="s">
        <v>1090</v>
      </c>
      <c r="JQ1" s="192" t="s">
        <v>404</v>
      </c>
      <c r="JR1" s="192" t="s">
        <v>1093</v>
      </c>
      <c r="JS1" s="192" t="s">
        <v>1095</v>
      </c>
      <c r="JT1" s="192" t="s">
        <v>1097</v>
      </c>
      <c r="JU1" s="192" t="s">
        <v>1099</v>
      </c>
      <c r="JV1" s="192" t="s">
        <v>1100</v>
      </c>
      <c r="JW1" s="192" t="s">
        <v>1102</v>
      </c>
      <c r="JX1" s="192" t="s">
        <v>1104</v>
      </c>
      <c r="JY1" s="192" t="s">
        <v>1106</v>
      </c>
      <c r="JZ1" s="192" t="s">
        <v>1108</v>
      </c>
      <c r="KA1" s="192" t="s">
        <v>1110</v>
      </c>
      <c r="KB1" s="192" t="s">
        <v>1112</v>
      </c>
      <c r="KC1" s="192" t="s">
        <v>1114</v>
      </c>
      <c r="KD1" s="192" t="s">
        <v>1116</v>
      </c>
      <c r="KE1" s="192" t="s">
        <v>1118</v>
      </c>
      <c r="KF1" s="192" t="s">
        <v>1120</v>
      </c>
      <c r="KG1" s="192" t="s">
        <v>1122</v>
      </c>
      <c r="KH1" s="192" t="s">
        <v>1124</v>
      </c>
      <c r="KI1" s="192" t="s">
        <v>1126</v>
      </c>
      <c r="KJ1" s="192" t="s">
        <v>1128</v>
      </c>
      <c r="KK1" s="192" t="s">
        <v>1130</v>
      </c>
      <c r="KL1" s="192" t="s">
        <v>1132</v>
      </c>
      <c r="KM1" s="192" t="s">
        <v>1134</v>
      </c>
      <c r="KN1" s="192" t="s">
        <v>1136</v>
      </c>
      <c r="KO1" s="192" t="s">
        <v>1138</v>
      </c>
      <c r="KP1" s="192" t="s">
        <v>1140</v>
      </c>
      <c r="KQ1" s="192" t="s">
        <v>1142</v>
      </c>
      <c r="KR1" s="201"/>
      <c r="KS1" s="192" t="s">
        <v>1144</v>
      </c>
      <c r="KT1" s="192" t="s">
        <v>406</v>
      </c>
      <c r="KU1" s="192" t="s">
        <v>1147</v>
      </c>
      <c r="KV1" s="192" t="s">
        <v>1149</v>
      </c>
      <c r="KW1" s="192" t="s">
        <v>1151</v>
      </c>
      <c r="KX1" s="192" t="s">
        <v>1153</v>
      </c>
      <c r="KY1" s="192" t="s">
        <v>407</v>
      </c>
      <c r="KZ1" s="192" t="s">
        <v>1156</v>
      </c>
      <c r="LA1" s="192" t="s">
        <v>1158</v>
      </c>
      <c r="LB1" s="192" t="s">
        <v>1160</v>
      </c>
      <c r="LC1" s="192" t="s">
        <v>1162</v>
      </c>
      <c r="LD1" s="192" t="s">
        <v>1164</v>
      </c>
      <c r="LE1" s="192" t="s">
        <v>1166</v>
      </c>
      <c r="LF1" s="192" t="s">
        <v>1168</v>
      </c>
      <c r="LG1" s="189"/>
      <c r="LH1" s="201"/>
      <c r="LI1" s="192" t="s">
        <v>408</v>
      </c>
      <c r="LJ1" s="192" t="s">
        <v>1044</v>
      </c>
      <c r="LK1" s="192" t="s">
        <v>1046</v>
      </c>
      <c r="LL1" s="192" t="s">
        <v>1048</v>
      </c>
      <c r="LM1" s="189"/>
      <c r="LN1" s="201"/>
      <c r="LO1" s="192" t="s">
        <v>411</v>
      </c>
      <c r="LP1" s="192" t="s">
        <v>412</v>
      </c>
      <c r="LQ1" s="201"/>
      <c r="LR1" s="192" t="s">
        <v>414</v>
      </c>
      <c r="LS1" s="192" t="s">
        <v>1188</v>
      </c>
      <c r="LT1" s="192" t="s">
        <v>1190</v>
      </c>
      <c r="LU1" s="192" t="s">
        <v>1191</v>
      </c>
      <c r="LV1" s="192" t="s">
        <v>1193</v>
      </c>
      <c r="LW1" s="192" t="s">
        <v>1194</v>
      </c>
      <c r="LX1" s="192" t="s">
        <v>1196</v>
      </c>
      <c r="LY1" s="192" t="s">
        <v>1198</v>
      </c>
      <c r="LZ1" s="192" t="s">
        <v>1200</v>
      </c>
      <c r="MA1" s="192" t="s">
        <v>1202</v>
      </c>
      <c r="MB1" s="192" t="s">
        <v>415</v>
      </c>
      <c r="MC1" s="192" t="s">
        <v>1205</v>
      </c>
      <c r="MD1" s="192" t="s">
        <v>1206</v>
      </c>
      <c r="ME1" s="192" t="s">
        <v>1208</v>
      </c>
      <c r="MF1" s="192" t="s">
        <v>416</v>
      </c>
      <c r="MG1" s="192" t="s">
        <v>1211</v>
      </c>
      <c r="MH1" s="192" t="s">
        <v>1212</v>
      </c>
      <c r="MI1" s="192" t="s">
        <v>1214</v>
      </c>
      <c r="MJ1" s="192" t="s">
        <v>1216</v>
      </c>
      <c r="MK1" s="192" t="s">
        <v>417</v>
      </c>
      <c r="ML1" s="192" t="s">
        <v>1219</v>
      </c>
      <c r="MM1" s="192" t="s">
        <v>1221</v>
      </c>
      <c r="MN1" s="192" t="s">
        <v>1223</v>
      </c>
      <c r="MO1" s="192" t="s">
        <v>1225</v>
      </c>
      <c r="MP1" s="192" t="s">
        <v>418</v>
      </c>
      <c r="MQ1" s="192" t="s">
        <v>1228</v>
      </c>
      <c r="MR1" s="192" t="s">
        <v>1230</v>
      </c>
      <c r="MS1" s="192" t="s">
        <v>1232</v>
      </c>
      <c r="MT1" s="192" t="s">
        <v>1234</v>
      </c>
      <c r="MU1" s="192" t="s">
        <v>1236</v>
      </c>
      <c r="MV1" s="192" t="s">
        <v>1238</v>
      </c>
      <c r="MW1" s="192" t="s">
        <v>1240</v>
      </c>
      <c r="MX1" s="192" t="s">
        <v>1242</v>
      </c>
      <c r="MY1" s="192" t="s">
        <v>1244</v>
      </c>
      <c r="MZ1" s="192" t="s">
        <v>1246</v>
      </c>
      <c r="NA1" s="192" t="s">
        <v>1248</v>
      </c>
      <c r="NB1" s="192" t="s">
        <v>1249</v>
      </c>
      <c r="NC1" s="201"/>
      <c r="ND1" s="192" t="s">
        <v>420</v>
      </c>
      <c r="NE1" s="192" t="s">
        <v>1251</v>
      </c>
      <c r="NF1" s="192" t="s">
        <v>1253</v>
      </c>
      <c r="NG1" s="192" t="s">
        <v>1255</v>
      </c>
      <c r="NH1" s="192" t="s">
        <v>1257</v>
      </c>
      <c r="NI1" s="201"/>
      <c r="NJ1" s="192" t="s">
        <v>422</v>
      </c>
      <c r="NK1" s="192" t="s">
        <v>1258</v>
      </c>
      <c r="NL1" s="192" t="s">
        <v>423</v>
      </c>
      <c r="NM1" s="192" t="s">
        <v>1260</v>
      </c>
      <c r="NN1" s="192" t="s">
        <v>1262</v>
      </c>
      <c r="NO1" s="192" t="s">
        <v>424</v>
      </c>
      <c r="NP1" s="192" t="s">
        <v>1264</v>
      </c>
      <c r="NQ1" s="192" t="s">
        <v>1266</v>
      </c>
      <c r="NR1" s="189"/>
      <c r="NS1" s="201"/>
      <c r="NT1" s="192" t="s">
        <v>425</v>
      </c>
      <c r="NU1" s="192" t="s">
        <v>1170</v>
      </c>
      <c r="NV1" s="192" t="s">
        <v>1172</v>
      </c>
      <c r="NW1" s="192" t="s">
        <v>1174</v>
      </c>
      <c r="NX1" s="192" t="s">
        <v>1176</v>
      </c>
      <c r="NY1" s="192" t="s">
        <v>426</v>
      </c>
      <c r="NZ1" s="192" t="s">
        <v>1178</v>
      </c>
      <c r="OA1" s="192" t="s">
        <v>427</v>
      </c>
      <c r="OB1" s="192" t="s">
        <v>1180</v>
      </c>
      <c r="OC1" s="201"/>
      <c r="OD1" s="192" t="s">
        <v>1182</v>
      </c>
      <c r="OE1" s="192" t="s">
        <v>428</v>
      </c>
      <c r="OF1" s="189"/>
      <c r="OG1" s="201"/>
      <c r="OH1" s="192" t="s">
        <v>1184</v>
      </c>
      <c r="OI1" s="192" t="s">
        <v>1186</v>
      </c>
      <c r="OJ1" s="192" t="s">
        <v>429</v>
      </c>
      <c r="OK1" s="189"/>
      <c r="OL1" s="201"/>
      <c r="OM1" s="192" t="s">
        <v>432</v>
      </c>
      <c r="ON1" s="192" t="s">
        <v>1268</v>
      </c>
      <c r="OO1" s="192" t="s">
        <v>1270</v>
      </c>
      <c r="OP1" s="192" t="s">
        <v>433</v>
      </c>
      <c r="OQ1" s="192" t="s">
        <v>434</v>
      </c>
      <c r="OR1" s="192" t="s">
        <v>1368</v>
      </c>
      <c r="OS1" s="192" t="s">
        <v>1370</v>
      </c>
      <c r="OT1" s="192" t="s">
        <v>1372</v>
      </c>
      <c r="OU1" s="192" t="s">
        <v>1374</v>
      </c>
      <c r="OV1" s="192" t="s">
        <v>1376</v>
      </c>
      <c r="OW1" s="201"/>
      <c r="OX1" s="192" t="s">
        <v>436</v>
      </c>
      <c r="OY1" s="192" t="s">
        <v>1378</v>
      </c>
      <c r="OZ1" s="192" t="s">
        <v>1380</v>
      </c>
      <c r="PA1" s="192" t="s">
        <v>1382</v>
      </c>
      <c r="PB1" s="192" t="s">
        <v>1384</v>
      </c>
      <c r="PC1" s="192" t="s">
        <v>1386</v>
      </c>
      <c r="PD1" s="192" t="s">
        <v>1388</v>
      </c>
      <c r="PE1" s="201"/>
      <c r="PF1" s="192" t="s">
        <v>1390</v>
      </c>
      <c r="PG1" s="192" t="s">
        <v>438</v>
      </c>
      <c r="PH1" s="201"/>
      <c r="PI1" s="192" t="s">
        <v>440</v>
      </c>
      <c r="PJ1" s="192" t="s">
        <v>1420</v>
      </c>
      <c r="PK1" s="192" t="s">
        <v>1422</v>
      </c>
      <c r="PL1" s="201"/>
      <c r="PM1" s="192" t="s">
        <v>442</v>
      </c>
      <c r="PN1" s="192" t="s">
        <v>1424</v>
      </c>
      <c r="PO1" s="192" t="s">
        <v>1425</v>
      </c>
      <c r="PP1" s="192" t="s">
        <v>1426</v>
      </c>
      <c r="PQ1" s="192" t="s">
        <v>1427</v>
      </c>
      <c r="PR1" s="192" t="s">
        <v>1429</v>
      </c>
      <c r="PS1" s="192" t="s">
        <v>1430</v>
      </c>
      <c r="PT1" s="192" t="s">
        <v>1432</v>
      </c>
      <c r="PU1" s="192" t="s">
        <v>1433</v>
      </c>
      <c r="PV1" s="189"/>
      <c r="PW1" s="201"/>
      <c r="PX1" s="192" t="s">
        <v>443</v>
      </c>
      <c r="PY1" s="192" t="s">
        <v>1272</v>
      </c>
      <c r="PZ1" s="192" t="s">
        <v>1274</v>
      </c>
      <c r="QA1" s="192" t="s">
        <v>1276</v>
      </c>
      <c r="QB1" s="192" t="s">
        <v>1278</v>
      </c>
      <c r="QC1" s="192" t="s">
        <v>1280</v>
      </c>
      <c r="QD1" s="192" t="s">
        <v>1282</v>
      </c>
      <c r="QE1" s="192" t="s">
        <v>1284</v>
      </c>
      <c r="QF1" s="192" t="s">
        <v>1286</v>
      </c>
      <c r="QG1" s="192" t="s">
        <v>1288</v>
      </c>
      <c r="QH1" s="192" t="s">
        <v>1290</v>
      </c>
      <c r="QI1" s="192" t="s">
        <v>1292</v>
      </c>
      <c r="QJ1" s="192" t="s">
        <v>1294</v>
      </c>
      <c r="QK1" s="192" t="s">
        <v>1296</v>
      </c>
      <c r="QL1" s="192" t="s">
        <v>1298</v>
      </c>
      <c r="QM1" s="192" t="s">
        <v>1300</v>
      </c>
      <c r="QN1" s="192" t="s">
        <v>1302</v>
      </c>
      <c r="QO1" s="192" t="s">
        <v>1304</v>
      </c>
      <c r="QP1" s="192" t="s">
        <v>1306</v>
      </c>
      <c r="QQ1" s="192" t="s">
        <v>1308</v>
      </c>
      <c r="QR1" s="192" t="s">
        <v>1310</v>
      </c>
      <c r="QS1" s="192" t="s">
        <v>1312</v>
      </c>
      <c r="QT1" s="192" t="s">
        <v>1314</v>
      </c>
      <c r="QU1" s="192" t="s">
        <v>444</v>
      </c>
      <c r="QV1" s="192" t="s">
        <v>1317</v>
      </c>
      <c r="QW1" s="192" t="s">
        <v>1319</v>
      </c>
      <c r="QX1" s="192" t="s">
        <v>1320</v>
      </c>
      <c r="QY1" s="192" t="s">
        <v>1322</v>
      </c>
      <c r="QZ1" s="192" t="s">
        <v>1324</v>
      </c>
      <c r="RA1" s="192" t="s">
        <v>1326</v>
      </c>
      <c r="RB1" s="192" t="s">
        <v>1328</v>
      </c>
      <c r="RC1" s="192" t="s">
        <v>1330</v>
      </c>
      <c r="RD1" s="192" t="s">
        <v>1332</v>
      </c>
      <c r="RE1" s="192" t="s">
        <v>1334</v>
      </c>
      <c r="RF1" s="192" t="s">
        <v>1336</v>
      </c>
      <c r="RG1" s="192" t="s">
        <v>1338</v>
      </c>
      <c r="RH1" s="192" t="s">
        <v>1340</v>
      </c>
      <c r="RI1" s="192" t="s">
        <v>1342</v>
      </c>
      <c r="RJ1" s="192" t="s">
        <v>1344</v>
      </c>
      <c r="RK1" s="192" t="s">
        <v>1346</v>
      </c>
      <c r="RL1" s="192" t="s">
        <v>1348</v>
      </c>
      <c r="RM1" s="192" t="s">
        <v>1350</v>
      </c>
      <c r="RN1" s="192" t="s">
        <v>1352</v>
      </c>
      <c r="RO1" s="192" t="s">
        <v>1354</v>
      </c>
      <c r="RP1" s="192" t="s">
        <v>1356</v>
      </c>
      <c r="RQ1" s="192" t="s">
        <v>1358</v>
      </c>
      <c r="RR1" s="192" t="s">
        <v>1360</v>
      </c>
      <c r="RS1" s="192" t="s">
        <v>1362</v>
      </c>
      <c r="RT1" s="192" t="s">
        <v>1364</v>
      </c>
      <c r="RU1" s="192" t="s">
        <v>1366</v>
      </c>
      <c r="RV1" s="189"/>
      <c r="RW1" s="201"/>
      <c r="RX1" s="192" t="s">
        <v>445</v>
      </c>
      <c r="RY1" s="192" t="s">
        <v>1392</v>
      </c>
      <c r="RZ1" s="192" t="s">
        <v>1394</v>
      </c>
      <c r="SA1" s="192" t="s">
        <v>1396</v>
      </c>
      <c r="SB1" s="192" t="s">
        <v>1398</v>
      </c>
      <c r="SC1" s="192" t="s">
        <v>1400</v>
      </c>
      <c r="SD1" s="192" t="s">
        <v>1402</v>
      </c>
      <c r="SE1" s="192" t="s">
        <v>1404</v>
      </c>
      <c r="SF1" s="192" t="s">
        <v>1406</v>
      </c>
      <c r="SG1" s="192" t="s">
        <v>1408</v>
      </c>
      <c r="SH1" s="192" t="s">
        <v>1410</v>
      </c>
      <c r="SI1" s="192" t="s">
        <v>1412</v>
      </c>
      <c r="SJ1" s="192" t="s">
        <v>1414</v>
      </c>
      <c r="SK1" s="192" t="s">
        <v>1416</v>
      </c>
      <c r="SL1" s="192" t="s">
        <v>1418</v>
      </c>
      <c r="SM1" s="189"/>
      <c r="SN1" s="201"/>
      <c r="SO1" s="192" t="s">
        <v>448</v>
      </c>
      <c r="SP1" s="192" t="s">
        <v>1435</v>
      </c>
      <c r="SQ1" s="192" t="s">
        <v>1437</v>
      </c>
      <c r="SR1" s="192" t="s">
        <v>449</v>
      </c>
      <c r="SS1" s="192" t="s">
        <v>1439</v>
      </c>
      <c r="ST1" s="192" t="s">
        <v>1441</v>
      </c>
      <c r="SU1" s="192" t="s">
        <v>1443</v>
      </c>
      <c r="SV1" s="192" t="s">
        <v>1445</v>
      </c>
      <c r="SW1" s="201"/>
      <c r="SX1" s="192" t="s">
        <v>451</v>
      </c>
      <c r="SY1" s="192" t="s">
        <v>1447</v>
      </c>
      <c r="SZ1" s="192" t="s">
        <v>1449</v>
      </c>
      <c r="TA1" s="192" t="s">
        <v>1451</v>
      </c>
      <c r="TB1" s="192" t="s">
        <v>1453</v>
      </c>
      <c r="TC1" s="192" t="s">
        <v>1455</v>
      </c>
      <c r="TD1" s="192" t="s">
        <v>1457</v>
      </c>
      <c r="TE1" s="192" t="s">
        <v>1459</v>
      </c>
      <c r="TF1" s="192" t="s">
        <v>1461</v>
      </c>
      <c r="TG1" s="192" t="s">
        <v>1463</v>
      </c>
      <c r="TH1" s="192" t="s">
        <v>1465</v>
      </c>
      <c r="TI1" s="192" t="s">
        <v>1467</v>
      </c>
      <c r="TJ1" s="192" t="s">
        <v>1469</v>
      </c>
      <c r="TK1" s="192" t="s">
        <v>1471</v>
      </c>
      <c r="TL1" s="192" t="s">
        <v>1473</v>
      </c>
      <c r="TM1" s="192" t="s">
        <v>1475</v>
      </c>
      <c r="TN1" s="189"/>
      <c r="TO1" s="201"/>
      <c r="TP1" s="192" t="s">
        <v>454</v>
      </c>
      <c r="TQ1" s="192" t="s">
        <v>1477</v>
      </c>
      <c r="TR1" s="192" t="s">
        <v>1479</v>
      </c>
      <c r="TS1" s="192" t="s">
        <v>1481</v>
      </c>
      <c r="TT1" s="192" t="s">
        <v>1483</v>
      </c>
      <c r="TU1" s="192" t="s">
        <v>1485</v>
      </c>
      <c r="TV1" s="192" t="s">
        <v>455</v>
      </c>
      <c r="TW1" s="192" t="s">
        <v>1487</v>
      </c>
      <c r="TX1" s="192" t="s">
        <v>1489</v>
      </c>
      <c r="TY1" s="192" t="s">
        <v>1491</v>
      </c>
      <c r="TZ1" s="192" t="s">
        <v>1493</v>
      </c>
      <c r="UA1" s="192" t="s">
        <v>1495</v>
      </c>
      <c r="UB1" s="192" t="s">
        <v>1497</v>
      </c>
      <c r="UC1" s="201"/>
      <c r="UD1" s="192" t="s">
        <v>457</v>
      </c>
      <c r="UE1" s="189"/>
      <c r="UF1" s="201"/>
      <c r="UG1" s="192" t="s">
        <v>458</v>
      </c>
      <c r="UH1" s="192" t="s">
        <v>1499</v>
      </c>
      <c r="UI1" s="192" t="s">
        <v>1501</v>
      </c>
      <c r="UJ1" s="192" t="s">
        <v>1502</v>
      </c>
      <c r="UK1" s="192" t="s">
        <v>1504</v>
      </c>
      <c r="UL1" s="192" t="s">
        <v>1506</v>
      </c>
      <c r="UM1" s="192" t="s">
        <v>1508</v>
      </c>
      <c r="UN1" s="192" t="s">
        <v>1510</v>
      </c>
      <c r="UO1" s="192" t="s">
        <v>1512</v>
      </c>
      <c r="UP1" s="192" t="s">
        <v>1514</v>
      </c>
      <c r="UQ1" s="192" t="s">
        <v>1516</v>
      </c>
      <c r="UR1" s="192" t="s">
        <v>1518</v>
      </c>
      <c r="US1" s="192" t="s">
        <v>1520</v>
      </c>
      <c r="UT1" s="192" t="s">
        <v>1522</v>
      </c>
      <c r="UU1" s="192" t="s">
        <v>1524</v>
      </c>
      <c r="UV1" s="192" t="s">
        <v>1526</v>
      </c>
      <c r="UW1" s="192" t="s">
        <v>1528</v>
      </c>
      <c r="UX1" s="189"/>
      <c r="UY1" s="192" t="s">
        <v>1532</v>
      </c>
      <c r="UZ1" s="192" t="s">
        <v>1534</v>
      </c>
      <c r="VA1" s="192" t="s">
        <v>1536</v>
      </c>
      <c r="VB1" s="192" t="s">
        <v>1538</v>
      </c>
      <c r="VC1" s="192" t="s">
        <v>1540</v>
      </c>
      <c r="VD1" s="195"/>
    </row>
    <row r="2" spans="1:576" s="132" customFormat="1" hidden="1" x14ac:dyDescent="0.25">
      <c r="A2" s="132" t="s">
        <v>201</v>
      </c>
      <c r="B2" s="132" t="s">
        <v>187</v>
      </c>
      <c r="C2" s="132" t="s">
        <v>558</v>
      </c>
      <c r="D2" s="132" t="s">
        <v>202</v>
      </c>
      <c r="E2" s="132" t="s">
        <v>166</v>
      </c>
      <c r="F2" s="132" t="s">
        <v>559</v>
      </c>
      <c r="G2" s="170" t="s">
        <v>203</v>
      </c>
      <c r="H2" s="132" t="s">
        <v>560</v>
      </c>
      <c r="I2" s="132" t="s">
        <v>561</v>
      </c>
      <c r="J2" s="132" t="s">
        <v>204</v>
      </c>
      <c r="K2" s="132" t="s">
        <v>562</v>
      </c>
      <c r="M2" s="132" t="s">
        <v>552</v>
      </c>
      <c r="N2" s="132" t="s">
        <v>553</v>
      </c>
      <c r="O2" s="132" t="s">
        <v>685</v>
      </c>
      <c r="R2" s="132" t="s">
        <v>206</v>
      </c>
      <c r="S2" s="132" t="s">
        <v>207</v>
      </c>
      <c r="U2" s="132" t="s">
        <v>475</v>
      </c>
      <c r="V2" s="132" t="s">
        <v>493</v>
      </c>
      <c r="W2" s="132" t="s">
        <v>476</v>
      </c>
      <c r="X2" s="132" t="s">
        <v>477</v>
      </c>
      <c r="Y2" s="132" t="s">
        <v>478</v>
      </c>
      <c r="Z2" s="132" t="s">
        <v>479</v>
      </c>
      <c r="AA2" s="132" t="s">
        <v>480</v>
      </c>
      <c r="AB2" s="132" t="s">
        <v>481</v>
      </c>
      <c r="AC2" s="132" t="s">
        <v>482</v>
      </c>
      <c r="AD2" s="132" t="s">
        <v>483</v>
      </c>
      <c r="AE2" s="132" t="s">
        <v>484</v>
      </c>
      <c r="AF2" s="132" t="s">
        <v>485</v>
      </c>
      <c r="AH2" s="132" t="s">
        <v>504</v>
      </c>
      <c r="AI2" s="132" t="s">
        <v>505</v>
      </c>
      <c r="AJ2" s="132" t="s">
        <v>506</v>
      </c>
      <c r="AK2" s="132" t="s">
        <v>507</v>
      </c>
      <c r="AL2" s="132" t="s">
        <v>508</v>
      </c>
      <c r="AM2" s="132" t="s">
        <v>511</v>
      </c>
      <c r="AN2" s="132" t="s">
        <v>509</v>
      </c>
      <c r="AO2" s="132" t="s">
        <v>510</v>
      </c>
      <c r="AP2" s="132" t="s">
        <v>512</v>
      </c>
      <c r="AQ2" s="132" t="s">
        <v>513</v>
      </c>
      <c r="AR2" s="132" t="s">
        <v>514</v>
      </c>
      <c r="AS2" s="132" t="s">
        <v>515</v>
      </c>
      <c r="AT2" s="132" t="s">
        <v>516</v>
      </c>
      <c r="AU2" s="132" t="s">
        <v>517</v>
      </c>
      <c r="AV2" s="132" t="s">
        <v>518</v>
      </c>
      <c r="AW2" s="132" t="s">
        <v>519</v>
      </c>
      <c r="AX2" s="132" t="s">
        <v>520</v>
      </c>
      <c r="AY2" s="132" t="s">
        <v>521</v>
      </c>
      <c r="AZ2" s="132" t="s">
        <v>522</v>
      </c>
      <c r="BA2" s="132" t="s">
        <v>523</v>
      </c>
      <c r="BB2" s="132" t="s">
        <v>524</v>
      </c>
      <c r="BC2" s="132" t="s">
        <v>525</v>
      </c>
      <c r="BD2" s="132" t="s">
        <v>526</v>
      </c>
      <c r="BE2" s="132" t="s">
        <v>527</v>
      </c>
      <c r="BF2" s="132" t="s">
        <v>528</v>
      </c>
      <c r="BG2" s="132" t="s">
        <v>529</v>
      </c>
      <c r="BH2" s="132" t="s">
        <v>530</v>
      </c>
      <c r="BI2" s="132" t="s">
        <v>531</v>
      </c>
      <c r="BJ2" s="132" t="s">
        <v>532</v>
      </c>
      <c r="BK2" s="132" t="s">
        <v>533</v>
      </c>
      <c r="BL2" s="132" t="s">
        <v>534</v>
      </c>
      <c r="BM2" s="132" t="s">
        <v>535</v>
      </c>
      <c r="BN2" s="132" t="s">
        <v>536</v>
      </c>
      <c r="BO2" s="132" t="s">
        <v>537</v>
      </c>
      <c r="BP2" s="132" t="s">
        <v>538</v>
      </c>
      <c r="BQ2" s="132" t="s">
        <v>539</v>
      </c>
      <c r="BR2" s="132" t="s">
        <v>540</v>
      </c>
      <c r="BS2" s="132" t="s">
        <v>541</v>
      </c>
      <c r="BT2" s="132" t="s">
        <v>542</v>
      </c>
      <c r="BU2" s="132" t="s">
        <v>543</v>
      </c>
    </row>
    <row r="3" spans="1:576" hidden="1" x14ac:dyDescent="0.25">
      <c r="AH3" s="95">
        <v>2500</v>
      </c>
      <c r="AI3" s="95">
        <v>1900</v>
      </c>
      <c r="AJ3" s="95">
        <v>1650</v>
      </c>
      <c r="AK3" s="95">
        <v>1580</v>
      </c>
      <c r="AL3" s="95">
        <v>2250</v>
      </c>
      <c r="AM3" s="95">
        <v>1650</v>
      </c>
      <c r="AN3" s="95">
        <v>1400</v>
      </c>
      <c r="AO3" s="95">
        <v>1340</v>
      </c>
      <c r="AP3" s="95">
        <v>2000</v>
      </c>
      <c r="AQ3" s="95">
        <v>1400</v>
      </c>
      <c r="AR3" s="95">
        <v>1150</v>
      </c>
      <c r="AS3" s="95">
        <v>1100</v>
      </c>
      <c r="AT3" s="95">
        <v>1750</v>
      </c>
      <c r="AU3" s="95">
        <v>1150</v>
      </c>
      <c r="AV3" s="95">
        <v>900</v>
      </c>
      <c r="AW3" s="95">
        <v>860</v>
      </c>
      <c r="AX3" s="95">
        <v>1200</v>
      </c>
      <c r="AY3" s="95">
        <v>900</v>
      </c>
      <c r="AZ3" s="95">
        <v>650</v>
      </c>
      <c r="BA3" s="95">
        <v>620</v>
      </c>
      <c r="BB3" s="95">
        <v>5355</v>
      </c>
      <c r="BC3" s="95">
        <v>4935</v>
      </c>
      <c r="BD3" s="95">
        <v>6300</v>
      </c>
      <c r="BE3" s="95">
        <v>5880</v>
      </c>
      <c r="BF3" s="95">
        <v>4725</v>
      </c>
      <c r="BG3" s="95">
        <v>4305</v>
      </c>
      <c r="BH3" s="95">
        <v>5670</v>
      </c>
      <c r="BI3" s="95">
        <v>5250</v>
      </c>
      <c r="BJ3" s="95">
        <v>4095</v>
      </c>
      <c r="BK3" s="95">
        <v>3780</v>
      </c>
      <c r="BL3" s="95">
        <v>5040</v>
      </c>
      <c r="BM3" s="95">
        <v>4620</v>
      </c>
      <c r="BN3" s="95">
        <v>3465</v>
      </c>
      <c r="BO3" s="95">
        <v>3150</v>
      </c>
      <c r="BP3" s="95">
        <v>4410</v>
      </c>
      <c r="BQ3" s="95">
        <v>4095</v>
      </c>
      <c r="BR3" s="95">
        <v>3045</v>
      </c>
      <c r="BS3" s="95">
        <v>2835</v>
      </c>
      <c r="BT3" s="95">
        <v>3885</v>
      </c>
      <c r="BU3" s="95">
        <v>3570</v>
      </c>
    </row>
    <row r="4" spans="1:576" ht="15.75" thickBot="1" x14ac:dyDescent="0.3"/>
    <row r="5" spans="1:576" ht="53.25" thickBot="1" x14ac:dyDescent="0.3">
      <c r="C5" s="96" t="s">
        <v>468</v>
      </c>
      <c r="D5" s="213">
        <f>SUMIF(C:C,$C$10,D:D)</f>
        <v>763714488.42000008</v>
      </c>
    </row>
    <row r="6" spans="1:576" x14ac:dyDescent="0.25">
      <c r="C6" s="117"/>
      <c r="D6" s="117"/>
      <c r="E6" s="117"/>
      <c r="F6" s="117"/>
      <c r="G6" s="86"/>
      <c r="H6" s="117"/>
      <c r="I6" s="117"/>
    </row>
    <row r="7" spans="1:576" x14ac:dyDescent="0.25">
      <c r="C7" s="117"/>
      <c r="D7" s="117"/>
      <c r="E7" s="117"/>
      <c r="F7" s="117"/>
      <c r="G7" s="86"/>
      <c r="H7" s="117"/>
      <c r="I7" s="117"/>
    </row>
    <row r="8" spans="1:576" x14ac:dyDescent="0.25">
      <c r="C8" s="117"/>
      <c r="D8" s="117"/>
      <c r="E8" s="117"/>
      <c r="F8" s="117"/>
      <c r="G8" s="86"/>
      <c r="H8" s="117"/>
      <c r="I8" s="117"/>
    </row>
    <row r="9" spans="1:576" ht="15.75" thickBot="1" x14ac:dyDescent="0.3">
      <c r="C9" s="117"/>
      <c r="D9" s="117"/>
      <c r="E9" s="117"/>
      <c r="F9" s="117"/>
      <c r="G9" s="86"/>
      <c r="H9" s="117"/>
      <c r="I9" s="117"/>
    </row>
    <row r="10" spans="1:576" ht="32.25" thickBot="1" x14ac:dyDescent="0.3">
      <c r="A10" s="365" t="s">
        <v>471</v>
      </c>
      <c r="B10" s="218" t="s">
        <v>684</v>
      </c>
      <c r="C10" s="167" t="s">
        <v>53</v>
      </c>
      <c r="D10" s="118">
        <f>SUM(F17:F55)</f>
        <v>763714488.42000008</v>
      </c>
      <c r="F10" s="69"/>
      <c r="G10" s="469"/>
      <c r="H10" s="69"/>
      <c r="I10" s="69"/>
    </row>
    <row r="11" spans="1:576" ht="18.75" x14ac:dyDescent="0.25">
      <c r="A11" s="220" t="e">
        <f>IFERROR(VLOOKUP(B10,#REF!,2,FALSE),IFERROR(VLOOKUP(B10,#REF!,2,FALSE),IFERROR(VLOOKUP(B10,#REF!,2,FALSE),IFERROR(VLOOKUP(B10,'Docencia y Recursos Humanos '!$F:$G,2,FALSE),IFERROR(VLOOKUP(B10,Estudiantes!$E:$F,2,FALSE),IFERROR(VLOOKUP(B10,'Gestion Administrativa'!$E:$F,2,FALSE),IFERROR(VLOOKUP(B10,#REF!,2,FALSE),IFERROR(VLOOKUP(B10,#REF!,2,FALSE),IFERROR(VLOOKUP(B10,#REF!,2,FALSE),IFERROR(VLOOKUP(B10,#REF!,2,FALSE),IFERROR(VLOOKUP(B10,#REF!,2,FALSE),VLOOKUP(B10,#REF!,2,0))))))))))))</f>
        <v>#REF!</v>
      </c>
      <c r="B11" s="31"/>
      <c r="C11" s="69"/>
      <c r="D11" s="31"/>
      <c r="E11" s="103"/>
      <c r="F11" s="103"/>
      <c r="G11" s="103"/>
      <c r="H11" s="84"/>
      <c r="I11" s="84"/>
      <c r="J11" s="84"/>
      <c r="K11" s="122"/>
    </row>
    <row r="12" spans="1:576" x14ac:dyDescent="0.25">
      <c r="B12" s="103"/>
      <c r="C12" s="69"/>
      <c r="D12" s="31"/>
      <c r="E12" s="103"/>
      <c r="F12" s="433"/>
      <c r="G12" s="103"/>
      <c r="H12" s="84"/>
      <c r="I12" s="84"/>
      <c r="J12" s="84"/>
      <c r="K12" s="122"/>
    </row>
    <row r="13" spans="1:576" x14ac:dyDescent="0.25">
      <c r="B13" s="103"/>
      <c r="E13" s="103"/>
      <c r="F13" s="103"/>
      <c r="G13" s="103"/>
      <c r="H13" s="84"/>
      <c r="I13" s="84"/>
      <c r="J13" s="84"/>
      <c r="K13" s="122"/>
    </row>
    <row r="14" spans="1:576" x14ac:dyDescent="0.25">
      <c r="B14" s="103"/>
      <c r="E14" s="103"/>
      <c r="F14" s="103"/>
      <c r="G14" s="470">
        <f>SUM(F18:F23)</f>
        <v>283532.18</v>
      </c>
      <c r="H14" s="84"/>
      <c r="I14" s="84"/>
      <c r="J14" s="84"/>
      <c r="K14" s="122"/>
    </row>
    <row r="15" spans="1:576" ht="15.75" thickBot="1" x14ac:dyDescent="0.3">
      <c r="F15" s="103"/>
      <c r="G15" s="84"/>
      <c r="H15" s="84"/>
      <c r="I15" s="84"/>
    </row>
    <row r="16" spans="1:576" ht="30.75" thickBot="1" x14ac:dyDescent="0.3">
      <c r="C16" s="139" t="s">
        <v>44</v>
      </c>
      <c r="D16" s="144" t="s">
        <v>55</v>
      </c>
      <c r="E16" s="146" t="s">
        <v>57</v>
      </c>
      <c r="F16" s="145" t="s">
        <v>27</v>
      </c>
      <c r="G16" s="143" t="s">
        <v>208</v>
      </c>
      <c r="H16" s="146" t="s">
        <v>46</v>
      </c>
      <c r="I16" s="143" t="s">
        <v>209</v>
      </c>
      <c r="J16" s="143" t="s">
        <v>491</v>
      </c>
      <c r="K16" s="143" t="s">
        <v>492</v>
      </c>
      <c r="L16" s="143" t="s">
        <v>165</v>
      </c>
    </row>
    <row r="17" spans="2:12" ht="30.75" thickBot="1" x14ac:dyDescent="0.3">
      <c r="C17" s="434" t="s">
        <v>1643</v>
      </c>
      <c r="D17" s="168">
        <v>1</v>
      </c>
      <c r="E17" s="125">
        <v>30000</v>
      </c>
      <c r="F17" s="107">
        <f t="shared" ref="F17:F55" si="0">D17*E17</f>
        <v>30000</v>
      </c>
      <c r="G17" s="171" t="s">
        <v>207</v>
      </c>
      <c r="H17" s="152" t="s">
        <v>422</v>
      </c>
      <c r="I17" s="140" t="str">
        <f>VLOOKUP(H17,Presupuesto!$B$8:$C$583,2,0)</f>
        <v>CONSTRUCCIONES ADICIONES Y MEJORA DE EDIF (47100-00)</v>
      </c>
      <c r="J17" s="231" t="s">
        <v>187</v>
      </c>
      <c r="K17" s="108" t="s">
        <v>475</v>
      </c>
      <c r="L17" s="108" t="s">
        <v>685</v>
      </c>
    </row>
    <row r="18" spans="2:12" x14ac:dyDescent="0.25">
      <c r="B18" s="797" t="s">
        <v>1708</v>
      </c>
      <c r="C18" s="151" t="s">
        <v>1726</v>
      </c>
      <c r="D18" s="168">
        <v>5</v>
      </c>
      <c r="E18" s="467">
        <v>12558.56</v>
      </c>
      <c r="F18" s="107">
        <f t="shared" si="0"/>
        <v>62792.799999999996</v>
      </c>
      <c r="G18" s="171" t="s">
        <v>207</v>
      </c>
      <c r="H18" s="192" t="s">
        <v>868</v>
      </c>
      <c r="I18" s="140" t="str">
        <f>VLOOKUP(H18,Presupuesto!$B$8:$C$583,2,0)</f>
        <v>MANTENIMIENTO Y REPARACION DE EDIFIC.Y LOCALES.</v>
      </c>
      <c r="J18" s="108" t="s">
        <v>559</v>
      </c>
      <c r="K18" s="108" t="s">
        <v>480</v>
      </c>
      <c r="L18" s="108" t="s">
        <v>685</v>
      </c>
    </row>
    <row r="19" spans="2:12" x14ac:dyDescent="0.25">
      <c r="B19" s="797"/>
      <c r="C19" s="151" t="s">
        <v>1727</v>
      </c>
      <c r="D19" s="168">
        <v>6</v>
      </c>
      <c r="E19" s="465">
        <v>8023.23</v>
      </c>
      <c r="F19" s="107">
        <f t="shared" si="0"/>
        <v>48139.38</v>
      </c>
      <c r="G19" s="171" t="s">
        <v>207</v>
      </c>
      <c r="H19" s="192" t="s">
        <v>868</v>
      </c>
      <c r="I19" s="140" t="str">
        <f>VLOOKUP(H19,Presupuesto!$B$8:$C$583,2,0)</f>
        <v>MANTENIMIENTO Y REPARACION DE EDIFIC.Y LOCALES.</v>
      </c>
      <c r="J19" s="108" t="s">
        <v>559</v>
      </c>
      <c r="K19" s="108" t="s">
        <v>480</v>
      </c>
      <c r="L19" s="108" t="s">
        <v>685</v>
      </c>
    </row>
    <row r="20" spans="2:12" x14ac:dyDescent="0.25">
      <c r="B20" s="797"/>
      <c r="C20" s="151" t="s">
        <v>1728</v>
      </c>
      <c r="D20" s="168">
        <v>4</v>
      </c>
      <c r="E20" s="465">
        <v>800</v>
      </c>
      <c r="F20" s="107">
        <f t="shared" si="0"/>
        <v>3200</v>
      </c>
      <c r="G20" s="171" t="s">
        <v>207</v>
      </c>
      <c r="H20" s="192" t="s">
        <v>868</v>
      </c>
      <c r="I20" s="140" t="str">
        <f>VLOOKUP(H20,Presupuesto!$B$8:$C$583,2,0)</f>
        <v>MANTENIMIENTO Y REPARACION DE EDIFIC.Y LOCALES.</v>
      </c>
      <c r="J20" s="108" t="s">
        <v>559</v>
      </c>
      <c r="K20" s="108" t="s">
        <v>480</v>
      </c>
      <c r="L20" s="108" t="s">
        <v>685</v>
      </c>
    </row>
    <row r="21" spans="2:12" x14ac:dyDescent="0.25">
      <c r="B21" s="797"/>
      <c r="C21" s="151" t="s">
        <v>1729</v>
      </c>
      <c r="D21" s="168">
        <v>28</v>
      </c>
      <c r="E21" s="465">
        <v>3500</v>
      </c>
      <c r="F21" s="107">
        <f t="shared" si="0"/>
        <v>98000</v>
      </c>
      <c r="G21" s="171" t="s">
        <v>207</v>
      </c>
      <c r="H21" s="192" t="s">
        <v>868</v>
      </c>
      <c r="I21" s="140" t="str">
        <f>VLOOKUP(H21,Presupuesto!$B$8:$C$583,2,0)</f>
        <v>MANTENIMIENTO Y REPARACION DE EDIFIC.Y LOCALES.</v>
      </c>
      <c r="J21" s="108" t="s">
        <v>559</v>
      </c>
      <c r="K21" s="108" t="s">
        <v>480</v>
      </c>
      <c r="L21" s="108" t="s">
        <v>685</v>
      </c>
    </row>
    <row r="22" spans="2:12" x14ac:dyDescent="0.25">
      <c r="B22" s="797"/>
      <c r="C22" s="151" t="s">
        <v>1730</v>
      </c>
      <c r="D22" s="168">
        <v>24</v>
      </c>
      <c r="E22" s="465">
        <v>1600</v>
      </c>
      <c r="F22" s="107">
        <f t="shared" si="0"/>
        <v>38400</v>
      </c>
      <c r="G22" s="171" t="s">
        <v>207</v>
      </c>
      <c r="H22" s="192" t="s">
        <v>868</v>
      </c>
      <c r="I22" s="140" t="str">
        <f>VLOOKUP(H22,Presupuesto!$B$8:$C$583,2,0)</f>
        <v>MANTENIMIENTO Y REPARACION DE EDIFIC.Y LOCALES.</v>
      </c>
      <c r="J22" s="108" t="s">
        <v>559</v>
      </c>
      <c r="K22" s="108" t="s">
        <v>480</v>
      </c>
      <c r="L22" s="108" t="s">
        <v>685</v>
      </c>
    </row>
    <row r="23" spans="2:12" x14ac:dyDescent="0.25">
      <c r="B23" s="797"/>
      <c r="C23" s="151" t="s">
        <v>1731</v>
      </c>
      <c r="D23" s="168">
        <v>6</v>
      </c>
      <c r="E23" s="465">
        <v>5500</v>
      </c>
      <c r="F23" s="107">
        <f t="shared" si="0"/>
        <v>33000</v>
      </c>
      <c r="G23" s="171" t="s">
        <v>207</v>
      </c>
      <c r="H23" s="192" t="s">
        <v>868</v>
      </c>
      <c r="I23" s="140" t="str">
        <f>VLOOKUP(H23,Presupuesto!$B$8:$C$583,2,0)</f>
        <v>MANTENIMIENTO Y REPARACION DE EDIFIC.Y LOCALES.</v>
      </c>
      <c r="J23" s="108" t="s">
        <v>559</v>
      </c>
      <c r="K23" s="108" t="s">
        <v>480</v>
      </c>
      <c r="L23" s="108" t="s">
        <v>685</v>
      </c>
    </row>
    <row r="24" spans="2:12" x14ac:dyDescent="0.25">
      <c r="B24" s="95" t="s">
        <v>1803</v>
      </c>
      <c r="C24" s="151" t="s">
        <v>1799</v>
      </c>
      <c r="D24" s="168">
        <v>40</v>
      </c>
      <c r="E24" s="133">
        <v>3500</v>
      </c>
      <c r="F24" s="107">
        <f t="shared" si="0"/>
        <v>140000</v>
      </c>
      <c r="G24" s="171" t="s">
        <v>207</v>
      </c>
      <c r="H24" s="192" t="s">
        <v>868</v>
      </c>
      <c r="I24" s="140" t="str">
        <f>VLOOKUP(H24,Presupuesto!$B$8:$C$583,2,0)</f>
        <v>MANTENIMIENTO Y REPARACION DE EDIFIC.Y LOCALES.</v>
      </c>
      <c r="J24" s="108" t="s">
        <v>559</v>
      </c>
      <c r="K24" s="108" t="s">
        <v>493</v>
      </c>
      <c r="L24" s="108" t="s">
        <v>685</v>
      </c>
    </row>
    <row r="25" spans="2:12" x14ac:dyDescent="0.25">
      <c r="C25" s="151" t="s">
        <v>1800</v>
      </c>
      <c r="D25" s="168">
        <v>40</v>
      </c>
      <c r="E25" s="133">
        <v>3000</v>
      </c>
      <c r="F25" s="107">
        <f t="shared" si="0"/>
        <v>120000</v>
      </c>
      <c r="G25" s="171" t="s">
        <v>207</v>
      </c>
      <c r="H25" s="192" t="s">
        <v>868</v>
      </c>
      <c r="I25" s="140" t="str">
        <f>VLOOKUP(H25,Presupuesto!$B$8:$C$583,2,0)</f>
        <v>MANTENIMIENTO Y REPARACION DE EDIFIC.Y LOCALES.</v>
      </c>
      <c r="J25" s="108" t="s">
        <v>559</v>
      </c>
      <c r="K25" s="108" t="s">
        <v>493</v>
      </c>
      <c r="L25" s="108" t="s">
        <v>685</v>
      </c>
    </row>
    <row r="26" spans="2:12" x14ac:dyDescent="0.25">
      <c r="C26" s="151" t="s">
        <v>1800</v>
      </c>
      <c r="D26" s="168">
        <v>10</v>
      </c>
      <c r="E26" s="133">
        <v>12000</v>
      </c>
      <c r="F26" s="107">
        <f t="shared" si="0"/>
        <v>120000</v>
      </c>
      <c r="G26" s="171" t="s">
        <v>207</v>
      </c>
      <c r="H26" s="192" t="s">
        <v>868</v>
      </c>
      <c r="I26" s="140" t="str">
        <f>VLOOKUP(H26,Presupuesto!$B$8:$C$583,2,0)</f>
        <v>MANTENIMIENTO Y REPARACION DE EDIFIC.Y LOCALES.</v>
      </c>
      <c r="J26" s="108" t="s">
        <v>559</v>
      </c>
      <c r="K26" s="108" t="s">
        <v>493</v>
      </c>
      <c r="L26" s="108" t="s">
        <v>685</v>
      </c>
    </row>
    <row r="27" spans="2:12" ht="63" x14ac:dyDescent="0.25">
      <c r="C27" s="461" t="s">
        <v>188</v>
      </c>
      <c r="D27" s="168">
        <v>1</v>
      </c>
      <c r="E27" s="133">
        <v>5000000</v>
      </c>
      <c r="F27" s="107">
        <f t="shared" si="0"/>
        <v>5000000</v>
      </c>
      <c r="G27" s="171" t="s">
        <v>207</v>
      </c>
      <c r="H27" s="192" t="s">
        <v>1032</v>
      </c>
      <c r="I27" s="140" t="str">
        <f>VLOOKUP(H27,Presupuesto!$B$8:$C$583,2,0)</f>
        <v>FORTALECIMIENTO DE LAS BIBLIOTECAS (PLAN DE REFORMA)</v>
      </c>
      <c r="J27" s="108" t="s">
        <v>166</v>
      </c>
      <c r="K27" s="108" t="s">
        <v>493</v>
      </c>
      <c r="L27" s="108"/>
    </row>
    <row r="28" spans="2:12" ht="58.5" customHeight="1" x14ac:dyDescent="0.25">
      <c r="C28" s="461" t="s">
        <v>1828</v>
      </c>
      <c r="D28" s="168">
        <v>1</v>
      </c>
      <c r="E28" s="133">
        <v>1000000</v>
      </c>
      <c r="F28" s="107">
        <f t="shared" si="0"/>
        <v>1000000</v>
      </c>
      <c r="G28" s="171" t="s">
        <v>207</v>
      </c>
      <c r="H28" s="152" t="s">
        <v>868</v>
      </c>
      <c r="I28" s="140" t="str">
        <f>VLOOKUP(H28,Presupuesto!$B$8:$C$583,2,0)</f>
        <v>MANTENIMIENTO Y REPARACION DE EDIFIC.Y LOCALES.</v>
      </c>
      <c r="J28" s="108" t="s">
        <v>166</v>
      </c>
      <c r="K28" s="108" t="s">
        <v>493</v>
      </c>
      <c r="L28" s="108"/>
    </row>
    <row r="29" spans="2:12" x14ac:dyDescent="0.25">
      <c r="C29" s="151" t="s">
        <v>1892</v>
      </c>
      <c r="D29" s="168">
        <v>1</v>
      </c>
      <c r="E29" s="133">
        <v>3500000</v>
      </c>
      <c r="F29" s="107">
        <f t="shared" si="0"/>
        <v>3500000</v>
      </c>
      <c r="G29" s="171" t="s">
        <v>207</v>
      </c>
      <c r="H29" s="152" t="s">
        <v>422</v>
      </c>
      <c r="I29" s="140" t="str">
        <f>VLOOKUP(H29,Presupuesto!$B$8:$C$583,2,0)</f>
        <v>CONSTRUCCIONES ADICIONES Y MEJORA DE EDIF (47100-00)</v>
      </c>
      <c r="J29" s="108" t="s">
        <v>559</v>
      </c>
      <c r="K29" s="108" t="s">
        <v>493</v>
      </c>
      <c r="L29" s="108"/>
    </row>
    <row r="30" spans="2:12" x14ac:dyDescent="0.25">
      <c r="C30" s="151" t="s">
        <v>1904</v>
      </c>
      <c r="D30" s="168">
        <v>3</v>
      </c>
      <c r="E30" s="133">
        <v>200000</v>
      </c>
      <c r="F30" s="107">
        <f t="shared" si="0"/>
        <v>600000</v>
      </c>
      <c r="G30" s="171" t="s">
        <v>207</v>
      </c>
      <c r="H30" s="152" t="s">
        <v>422</v>
      </c>
      <c r="I30" s="140" t="str">
        <f>VLOOKUP(H30,Presupuesto!$B$8:$C$583,2,0)</f>
        <v>CONSTRUCCIONES ADICIONES Y MEJORA DE EDIF (47100-00)</v>
      </c>
      <c r="J30" s="108" t="s">
        <v>559</v>
      </c>
      <c r="K30" s="108" t="s">
        <v>493</v>
      </c>
      <c r="L30" s="108"/>
    </row>
    <row r="31" spans="2:12" x14ac:dyDescent="0.25">
      <c r="C31" s="151" t="s">
        <v>1905</v>
      </c>
      <c r="D31" s="168">
        <v>1</v>
      </c>
      <c r="E31" s="133">
        <v>18000000</v>
      </c>
      <c r="F31" s="107">
        <f t="shared" si="0"/>
        <v>18000000</v>
      </c>
      <c r="G31" s="171" t="s">
        <v>207</v>
      </c>
      <c r="H31" s="152" t="s">
        <v>422</v>
      </c>
      <c r="I31" s="140" t="str">
        <f>VLOOKUP(H31,Presupuesto!$B$8:$C$583,2,0)</f>
        <v>CONSTRUCCIONES ADICIONES Y MEJORA DE EDIF (47100-00)</v>
      </c>
      <c r="J31" s="108" t="s">
        <v>559</v>
      </c>
      <c r="K31" s="108" t="s">
        <v>493</v>
      </c>
      <c r="L31" s="108"/>
    </row>
    <row r="32" spans="2:12" x14ac:dyDescent="0.25">
      <c r="C32" s="151" t="s">
        <v>1906</v>
      </c>
      <c r="D32" s="168">
        <v>1</v>
      </c>
      <c r="E32" s="133">
        <v>60000000</v>
      </c>
      <c r="F32" s="107">
        <f t="shared" si="0"/>
        <v>60000000</v>
      </c>
      <c r="G32" s="171" t="s">
        <v>207</v>
      </c>
      <c r="H32" s="152" t="s">
        <v>422</v>
      </c>
      <c r="I32" s="140" t="str">
        <f>VLOOKUP(H32,Presupuesto!$B$8:$C$583,2,0)</f>
        <v>CONSTRUCCIONES ADICIONES Y MEJORA DE EDIF (47100-00)</v>
      </c>
      <c r="J32" s="108" t="s">
        <v>559</v>
      </c>
      <c r="K32" s="108" t="s">
        <v>493</v>
      </c>
      <c r="L32" s="108"/>
    </row>
    <row r="33" spans="3:12" x14ac:dyDescent="0.25">
      <c r="C33" s="151" t="s">
        <v>1907</v>
      </c>
      <c r="D33" s="168">
        <v>1</v>
      </c>
      <c r="E33" s="133">
        <v>15000000</v>
      </c>
      <c r="F33" s="107">
        <f t="shared" si="0"/>
        <v>15000000</v>
      </c>
      <c r="G33" s="171" t="s">
        <v>207</v>
      </c>
      <c r="H33" s="152" t="s">
        <v>422</v>
      </c>
      <c r="I33" s="140" t="str">
        <f>VLOOKUP(H33,Presupuesto!$B$8:$C$583,2,0)</f>
        <v>CONSTRUCCIONES ADICIONES Y MEJORA DE EDIF (47100-00)</v>
      </c>
      <c r="J33" s="108" t="s">
        <v>559</v>
      </c>
      <c r="K33" s="108" t="s">
        <v>493</v>
      </c>
      <c r="L33" s="108"/>
    </row>
    <row r="34" spans="3:12" x14ac:dyDescent="0.25">
      <c r="C34" s="151" t="s">
        <v>1908</v>
      </c>
      <c r="D34" s="168">
        <v>1</v>
      </c>
      <c r="E34" s="133">
        <v>2000000</v>
      </c>
      <c r="F34" s="107">
        <f t="shared" si="0"/>
        <v>2000000</v>
      </c>
      <c r="G34" s="171" t="s">
        <v>207</v>
      </c>
      <c r="H34" s="152" t="s">
        <v>422</v>
      </c>
      <c r="I34" s="140" t="str">
        <f>VLOOKUP(H34,Presupuesto!$B$8:$C$583,2,0)</f>
        <v>CONSTRUCCIONES ADICIONES Y MEJORA DE EDIF (47100-00)</v>
      </c>
      <c r="J34" s="108" t="s">
        <v>559</v>
      </c>
      <c r="K34" s="108" t="s">
        <v>493</v>
      </c>
      <c r="L34" s="108"/>
    </row>
    <row r="35" spans="3:12" x14ac:dyDescent="0.25">
      <c r="C35" s="151" t="s">
        <v>1909</v>
      </c>
      <c r="D35" s="168">
        <v>1</v>
      </c>
      <c r="E35" s="133">
        <v>16000000</v>
      </c>
      <c r="F35" s="107">
        <f t="shared" si="0"/>
        <v>16000000</v>
      </c>
      <c r="G35" s="171" t="s">
        <v>207</v>
      </c>
      <c r="H35" s="152" t="s">
        <v>422</v>
      </c>
      <c r="I35" s="140" t="str">
        <f>VLOOKUP(H35,Presupuesto!$B$8:$C$583,2,0)</f>
        <v>CONSTRUCCIONES ADICIONES Y MEJORA DE EDIF (47100-00)</v>
      </c>
      <c r="J35" s="108" t="s">
        <v>559</v>
      </c>
      <c r="K35" s="108" t="s">
        <v>493</v>
      </c>
      <c r="L35" s="108"/>
    </row>
    <row r="36" spans="3:12" x14ac:dyDescent="0.25">
      <c r="C36" s="151" t="s">
        <v>1999</v>
      </c>
      <c r="D36" s="168">
        <v>1</v>
      </c>
      <c r="E36" s="133">
        <v>8500000</v>
      </c>
      <c r="F36" s="107">
        <f t="shared" si="0"/>
        <v>8500000</v>
      </c>
      <c r="G36" s="171" t="s">
        <v>207</v>
      </c>
      <c r="H36" s="152" t="s">
        <v>422</v>
      </c>
      <c r="I36" s="140" t="str">
        <f>VLOOKUP(H36,Presupuesto!$B$8:$C$583,2,0)</f>
        <v>CONSTRUCCIONES ADICIONES Y MEJORA DE EDIF (47100-00)</v>
      </c>
      <c r="J36" s="108" t="s">
        <v>559</v>
      </c>
      <c r="K36" s="108" t="s">
        <v>493</v>
      </c>
      <c r="L36" s="108"/>
    </row>
    <row r="37" spans="3:12" x14ac:dyDescent="0.25">
      <c r="C37" s="151" t="s">
        <v>1911</v>
      </c>
      <c r="D37" s="168">
        <v>1</v>
      </c>
      <c r="E37" s="133">
        <v>9000000</v>
      </c>
      <c r="F37" s="107">
        <f t="shared" si="0"/>
        <v>9000000</v>
      </c>
      <c r="G37" s="171" t="s">
        <v>207</v>
      </c>
      <c r="H37" s="152" t="s">
        <v>422</v>
      </c>
      <c r="I37" s="140" t="str">
        <f>VLOOKUP(H37,Presupuesto!$B$8:$C$583,2,0)</f>
        <v>CONSTRUCCIONES ADICIONES Y MEJORA DE EDIF (47100-00)</v>
      </c>
      <c r="J37" s="108" t="s">
        <v>559</v>
      </c>
      <c r="K37" s="108" t="s">
        <v>493</v>
      </c>
      <c r="L37" s="108"/>
    </row>
    <row r="38" spans="3:12" x14ac:dyDescent="0.25">
      <c r="C38" s="151" t="s">
        <v>1915</v>
      </c>
      <c r="D38" s="168">
        <v>1</v>
      </c>
      <c r="E38" s="133">
        <v>1000000</v>
      </c>
      <c r="F38" s="107">
        <f t="shared" si="0"/>
        <v>1000000</v>
      </c>
      <c r="G38" s="171" t="s">
        <v>207</v>
      </c>
      <c r="H38" s="152" t="s">
        <v>422</v>
      </c>
      <c r="I38" s="140" t="str">
        <f>VLOOKUP(H38,Presupuesto!$B$8:$C$583,2,0)</f>
        <v>CONSTRUCCIONES ADICIONES Y MEJORA DE EDIF (47100-00)</v>
      </c>
      <c r="J38" s="108" t="s">
        <v>559</v>
      </c>
      <c r="K38" s="108" t="s">
        <v>493</v>
      </c>
      <c r="L38" s="108"/>
    </row>
    <row r="39" spans="3:12" x14ac:dyDescent="0.25">
      <c r="C39" s="153" t="s">
        <v>1920</v>
      </c>
      <c r="D39" s="168">
        <v>1</v>
      </c>
      <c r="E39" s="128">
        <v>325000</v>
      </c>
      <c r="F39" s="107">
        <f t="shared" si="0"/>
        <v>325000</v>
      </c>
      <c r="G39" s="171" t="s">
        <v>207</v>
      </c>
      <c r="H39" s="152" t="s">
        <v>422</v>
      </c>
      <c r="I39" s="140" t="str">
        <f>VLOOKUP(H39,Presupuesto!$B$8:$C$583,2,0)</f>
        <v>CONSTRUCCIONES ADICIONES Y MEJORA DE EDIF (47100-00)</v>
      </c>
      <c r="J39" s="108" t="s">
        <v>559</v>
      </c>
      <c r="K39" s="108" t="s">
        <v>493</v>
      </c>
      <c r="L39" s="108"/>
    </row>
    <row r="40" spans="3:12" x14ac:dyDescent="0.25">
      <c r="C40" s="153" t="s">
        <v>1925</v>
      </c>
      <c r="D40" s="168">
        <v>1</v>
      </c>
      <c r="E40" s="128">
        <v>3000000</v>
      </c>
      <c r="F40" s="107">
        <f t="shared" si="0"/>
        <v>3000000</v>
      </c>
      <c r="G40" s="171" t="s">
        <v>207</v>
      </c>
      <c r="H40" s="152" t="s">
        <v>422</v>
      </c>
      <c r="I40" s="140" t="str">
        <f>VLOOKUP(H40,Presupuesto!$B$8:$C$583,2,0)</f>
        <v>CONSTRUCCIONES ADICIONES Y MEJORA DE EDIF (47100-00)</v>
      </c>
      <c r="J40" s="108" t="s">
        <v>559</v>
      </c>
      <c r="K40" s="108" t="s">
        <v>475</v>
      </c>
      <c r="L40" s="108"/>
    </row>
    <row r="41" spans="3:12" x14ac:dyDescent="0.25">
      <c r="C41" s="551" t="s">
        <v>1926</v>
      </c>
      <c r="D41" s="168">
        <v>1</v>
      </c>
      <c r="E41" s="551">
        <v>518101.38</v>
      </c>
      <c r="F41" s="140">
        <f t="shared" si="0"/>
        <v>518101.38</v>
      </c>
      <c r="G41" s="171" t="s">
        <v>207</v>
      </c>
      <c r="H41" s="152" t="s">
        <v>422</v>
      </c>
      <c r="I41" s="140" t="str">
        <f>VLOOKUP(H41,Presupuesto!$B$8:$C$583,2,0)</f>
        <v>CONSTRUCCIONES ADICIONES Y MEJORA DE EDIF (47100-00)</v>
      </c>
      <c r="J41" s="108" t="s">
        <v>559</v>
      </c>
      <c r="K41" s="108" t="s">
        <v>493</v>
      </c>
      <c r="L41" s="108"/>
    </row>
    <row r="42" spans="3:12" x14ac:dyDescent="0.25">
      <c r="C42" s="551" t="s">
        <v>1927</v>
      </c>
      <c r="D42" s="168">
        <v>1</v>
      </c>
      <c r="E42" s="551">
        <v>47373</v>
      </c>
      <c r="F42" s="140">
        <f t="shared" si="0"/>
        <v>47373</v>
      </c>
      <c r="G42" s="171" t="s">
        <v>207</v>
      </c>
      <c r="H42" s="152" t="s">
        <v>422</v>
      </c>
      <c r="I42" s="140" t="str">
        <f>VLOOKUP(H42,Presupuesto!$B$8:$C$583,2,0)</f>
        <v>CONSTRUCCIONES ADICIONES Y MEJORA DE EDIF (47100-00)</v>
      </c>
      <c r="J42" s="108" t="s">
        <v>559</v>
      </c>
      <c r="K42" s="108" t="s">
        <v>493</v>
      </c>
      <c r="L42" s="108"/>
    </row>
    <row r="43" spans="3:12" x14ac:dyDescent="0.25">
      <c r="C43" s="551" t="s">
        <v>1928</v>
      </c>
      <c r="D43" s="168">
        <v>1</v>
      </c>
      <c r="E43" s="551">
        <v>36000</v>
      </c>
      <c r="F43" s="140">
        <f t="shared" si="0"/>
        <v>36000</v>
      </c>
      <c r="G43" s="171" t="s">
        <v>207</v>
      </c>
      <c r="H43" s="152" t="s">
        <v>422</v>
      </c>
      <c r="I43" s="140" t="str">
        <f>VLOOKUP(H43,Presupuesto!$B$8:$C$583,2,0)</f>
        <v>CONSTRUCCIONES ADICIONES Y MEJORA DE EDIF (47100-00)</v>
      </c>
      <c r="J43" s="108" t="s">
        <v>559</v>
      </c>
      <c r="K43" s="108" t="s">
        <v>493</v>
      </c>
      <c r="L43" s="108"/>
    </row>
    <row r="44" spans="3:12" x14ac:dyDescent="0.25">
      <c r="C44" s="551" t="s">
        <v>1929</v>
      </c>
      <c r="D44" s="168">
        <v>1</v>
      </c>
      <c r="E44" s="551">
        <v>47970.559999999998</v>
      </c>
      <c r="F44" s="140">
        <f t="shared" si="0"/>
        <v>47970.559999999998</v>
      </c>
      <c r="G44" s="171" t="s">
        <v>207</v>
      </c>
      <c r="H44" s="152" t="s">
        <v>422</v>
      </c>
      <c r="I44" s="140" t="str">
        <f>VLOOKUP(H44,Presupuesto!$B$8:$C$583,2,0)</f>
        <v>CONSTRUCCIONES ADICIONES Y MEJORA DE EDIF (47100-00)</v>
      </c>
      <c r="J44" s="108" t="s">
        <v>559</v>
      </c>
      <c r="K44" s="108" t="s">
        <v>493</v>
      </c>
      <c r="L44" s="108"/>
    </row>
    <row r="45" spans="3:12" x14ac:dyDescent="0.25">
      <c r="C45" s="551" t="s">
        <v>1930</v>
      </c>
      <c r="D45" s="168">
        <v>1</v>
      </c>
      <c r="E45" s="551">
        <v>39953.22</v>
      </c>
      <c r="F45" s="140">
        <f t="shared" si="0"/>
        <v>39953.22</v>
      </c>
      <c r="G45" s="171" t="s">
        <v>207</v>
      </c>
      <c r="H45" s="152" t="s">
        <v>422</v>
      </c>
      <c r="I45" s="140" t="str">
        <f>VLOOKUP(H45,Presupuesto!$B$8:$C$583,2,0)</f>
        <v>CONSTRUCCIONES ADICIONES Y MEJORA DE EDIF (47100-00)</v>
      </c>
      <c r="J45" s="108" t="s">
        <v>559</v>
      </c>
      <c r="K45" s="108" t="s">
        <v>493</v>
      </c>
      <c r="L45" s="108"/>
    </row>
    <row r="46" spans="3:12" x14ac:dyDescent="0.25">
      <c r="C46" s="551" t="s">
        <v>1931</v>
      </c>
      <c r="D46" s="168">
        <v>1</v>
      </c>
      <c r="E46" s="551">
        <v>203542.5</v>
      </c>
      <c r="F46" s="140">
        <f t="shared" si="0"/>
        <v>203542.5</v>
      </c>
      <c r="G46" s="171" t="s">
        <v>207</v>
      </c>
      <c r="H46" s="152" t="s">
        <v>422</v>
      </c>
      <c r="I46" s="140" t="str">
        <f>VLOOKUP(H46,Presupuesto!$B$8:$C$583,2,0)</f>
        <v>CONSTRUCCIONES ADICIONES Y MEJORA DE EDIF (47100-00)</v>
      </c>
      <c r="J46" s="108" t="s">
        <v>559</v>
      </c>
      <c r="K46" s="108" t="s">
        <v>493</v>
      </c>
      <c r="L46" s="108"/>
    </row>
    <row r="47" spans="3:12" x14ac:dyDescent="0.25">
      <c r="C47" s="551" t="s">
        <v>1932</v>
      </c>
      <c r="D47" s="168">
        <v>1</v>
      </c>
      <c r="E47" s="551">
        <v>114873.72</v>
      </c>
      <c r="F47" s="140">
        <f t="shared" si="0"/>
        <v>114873.72</v>
      </c>
      <c r="G47" s="171" t="s">
        <v>207</v>
      </c>
      <c r="H47" s="152" t="s">
        <v>422</v>
      </c>
      <c r="I47" s="140" t="str">
        <f>VLOOKUP(H47,Presupuesto!$B$8:$C$583,2,0)</f>
        <v>CONSTRUCCIONES ADICIONES Y MEJORA DE EDIF (47100-00)</v>
      </c>
      <c r="J47" s="108" t="s">
        <v>559</v>
      </c>
      <c r="K47" s="108" t="s">
        <v>493</v>
      </c>
      <c r="L47" s="108"/>
    </row>
    <row r="48" spans="3:12" x14ac:dyDescent="0.25">
      <c r="C48" s="551" t="s">
        <v>1933</v>
      </c>
      <c r="D48" s="168">
        <v>1</v>
      </c>
      <c r="E48" s="551">
        <v>101652.78</v>
      </c>
      <c r="F48" s="140">
        <f t="shared" si="0"/>
        <v>101652.78</v>
      </c>
      <c r="G48" s="171" t="s">
        <v>207</v>
      </c>
      <c r="H48" s="152" t="s">
        <v>422</v>
      </c>
      <c r="I48" s="140" t="str">
        <f>VLOOKUP(H48,Presupuesto!$B$8:$C$583,2,0)</f>
        <v>CONSTRUCCIONES ADICIONES Y MEJORA DE EDIF (47100-00)</v>
      </c>
      <c r="J48" s="108" t="s">
        <v>559</v>
      </c>
      <c r="K48" s="108" t="s">
        <v>493</v>
      </c>
      <c r="L48" s="108"/>
    </row>
    <row r="49" spans="3:12" x14ac:dyDescent="0.25">
      <c r="C49" s="551" t="s">
        <v>1934</v>
      </c>
      <c r="D49" s="168">
        <v>1</v>
      </c>
      <c r="E49" s="551">
        <v>122197.08</v>
      </c>
      <c r="F49" s="140">
        <f t="shared" si="0"/>
        <v>122197.08</v>
      </c>
      <c r="G49" s="171" t="s">
        <v>207</v>
      </c>
      <c r="H49" s="152" t="s">
        <v>422</v>
      </c>
      <c r="I49" s="140" t="str">
        <f>VLOOKUP(H49,Presupuesto!$B$8:$C$583,2,0)</f>
        <v>CONSTRUCCIONES ADICIONES Y MEJORA DE EDIF (47100-00)</v>
      </c>
      <c r="J49" s="108" t="s">
        <v>559</v>
      </c>
      <c r="K49" s="108" t="s">
        <v>493</v>
      </c>
      <c r="L49" s="108"/>
    </row>
    <row r="50" spans="3:12" x14ac:dyDescent="0.25">
      <c r="C50" s="155" t="s">
        <v>2001</v>
      </c>
      <c r="D50" s="168">
        <v>1</v>
      </c>
      <c r="E50" s="547">
        <v>1500000</v>
      </c>
      <c r="F50" s="140">
        <f t="shared" si="0"/>
        <v>1500000</v>
      </c>
      <c r="G50" s="171" t="s">
        <v>207</v>
      </c>
      <c r="H50" s="152" t="s">
        <v>422</v>
      </c>
      <c r="I50" s="140" t="str">
        <f>VLOOKUP(H50,Presupuesto!$B$8:$C$583,2,0)</f>
        <v>CONSTRUCCIONES ADICIONES Y MEJORA DE EDIF (47100-00)</v>
      </c>
      <c r="J50" s="108" t="s">
        <v>561</v>
      </c>
      <c r="K50" s="108" t="s">
        <v>493</v>
      </c>
      <c r="L50" s="108"/>
    </row>
    <row r="51" spans="3:12" x14ac:dyDescent="0.25">
      <c r="C51" s="572" t="s">
        <v>2002</v>
      </c>
      <c r="D51" s="549">
        <v>1</v>
      </c>
      <c r="E51" s="547">
        <v>414292</v>
      </c>
      <c r="F51" s="140">
        <f t="shared" si="0"/>
        <v>414292</v>
      </c>
      <c r="G51" s="171" t="s">
        <v>207</v>
      </c>
      <c r="H51" s="152" t="s">
        <v>422</v>
      </c>
      <c r="I51" s="140" t="str">
        <f>VLOOKUP(H51,Presupuesto!$B$8:$C$583,2,0)</f>
        <v>CONSTRUCCIONES ADICIONES Y MEJORA DE EDIF (47100-00)</v>
      </c>
      <c r="J51" s="108" t="s">
        <v>559</v>
      </c>
      <c r="K51" s="108" t="s">
        <v>493</v>
      </c>
      <c r="L51" s="488"/>
    </row>
    <row r="52" spans="3:12" ht="63" x14ac:dyDescent="0.25">
      <c r="C52" s="575" t="s">
        <v>1878</v>
      </c>
      <c r="D52" s="549">
        <v>1</v>
      </c>
      <c r="E52" s="547">
        <v>615000000</v>
      </c>
      <c r="F52" s="140">
        <f t="shared" si="0"/>
        <v>615000000</v>
      </c>
      <c r="G52" s="171" t="s">
        <v>207</v>
      </c>
      <c r="H52" s="152" t="s">
        <v>1461</v>
      </c>
      <c r="I52" s="140" t="str">
        <f>VLOOKUP(H52,Presupuesto!$B$8:$C$583,2,0)</f>
        <v>PRESTAMOS A LARGO PLAZO</v>
      </c>
      <c r="J52" s="108" t="s">
        <v>559</v>
      </c>
      <c r="K52" s="108" t="s">
        <v>493</v>
      </c>
      <c r="L52" s="488"/>
    </row>
    <row r="53" spans="3:12" ht="15.75" thickBot="1" x14ac:dyDescent="0.3">
      <c r="C53" s="157" t="s">
        <v>1997</v>
      </c>
      <c r="D53" s="235">
        <v>1</v>
      </c>
      <c r="E53" s="113">
        <v>30000</v>
      </c>
      <c r="F53" s="115">
        <f t="shared" si="0"/>
        <v>30000</v>
      </c>
      <c r="G53" s="171" t="s">
        <v>207</v>
      </c>
      <c r="H53" s="152" t="s">
        <v>422</v>
      </c>
      <c r="I53" s="142" t="str">
        <f>VLOOKUP(H53,Presupuesto!$B$8:$C$583,2,0)</f>
        <v>CONSTRUCCIONES ADICIONES Y MEJORA DE EDIF (47100-00)</v>
      </c>
      <c r="J53" s="116" t="s">
        <v>187</v>
      </c>
      <c r="K53" s="134" t="s">
        <v>475</v>
      </c>
      <c r="L53" s="116"/>
    </row>
    <row r="54" spans="3:12" ht="45.75" thickBot="1" x14ac:dyDescent="0.3">
      <c r="C54" s="603" t="s">
        <v>2022</v>
      </c>
      <c r="D54" s="168">
        <v>1</v>
      </c>
      <c r="E54" s="125">
        <v>1800000</v>
      </c>
      <c r="F54" s="107">
        <f t="shared" si="0"/>
        <v>1800000</v>
      </c>
      <c r="G54" s="171" t="s">
        <v>207</v>
      </c>
      <c r="H54" s="152" t="s">
        <v>422</v>
      </c>
      <c r="I54" s="140" t="str">
        <f>VLOOKUP(H54,[5]Presupuesto!$B$8:$C$583,2,0)</f>
        <v>CONSTRUCCIONES ADICIONES Y MEJORA DE EDIF (47100-00)</v>
      </c>
      <c r="J54" s="231" t="s">
        <v>559</v>
      </c>
      <c r="K54" s="108" t="s">
        <v>475</v>
      </c>
      <c r="L54" s="116"/>
    </row>
    <row r="55" spans="3:12" ht="30.75" thickBot="1" x14ac:dyDescent="0.3">
      <c r="C55" s="603" t="s">
        <v>2063</v>
      </c>
      <c r="D55" s="168">
        <v>1</v>
      </c>
      <c r="E55" s="133">
        <v>120000</v>
      </c>
      <c r="F55" s="107">
        <f t="shared" si="0"/>
        <v>120000</v>
      </c>
      <c r="G55" s="171" t="s">
        <v>207</v>
      </c>
      <c r="H55" s="623" t="s">
        <v>422</v>
      </c>
      <c r="I55" s="699" t="str">
        <f>VLOOKUP(H55,[7]Presupuesto!$B$8:$C$583,2,0)</f>
        <v>CONSTRUCCIONES ADICIONES Y MEJORA DE EDIF (47100-00)</v>
      </c>
      <c r="J55" s="108" t="s">
        <v>166</v>
      </c>
      <c r="K55" s="108" t="s">
        <v>477</v>
      </c>
      <c r="L55" s="116"/>
    </row>
  </sheetData>
  <mergeCells count="1">
    <mergeCell ref="B18:B23"/>
  </mergeCells>
  <dataValidations count="5">
    <dataValidation type="list" allowBlank="1" showInputMessage="1" showErrorMessage="1" errorTitle="¡Ingreso Inválido!" error="Seleccione una opción de la lista." promptTitle="Tipo de Presupuesto" prompt="Seleccione una opción de la lista." sqref="G17:G55">
      <formula1>$R$2:$S$2</formula1>
    </dataValidation>
    <dataValidation type="list" allowBlank="1" showInputMessage="1" showErrorMessage="1" errorTitle="¡Ingreso Inválido!" error="Seleccione una opción de la lista" promptTitle="Mes Requerido" prompt="Seleccione el mes en el que requiere el recurso." sqref="K17:K55">
      <formula1>$U$2:$AF$2</formula1>
    </dataValidation>
    <dataValidation type="list" allowBlank="1" showInputMessage="1" showErrorMessage="1" errorTitle="¡Ingreso Inválido!" error="Seleccione una opción de la lista." promptTitle="Dimensión Estratégica" prompt="Seleccione una opción de la lista." sqref="J17:J55">
      <formula1>$A$2:$K$2</formula1>
    </dataValidation>
    <dataValidation type="list" allowBlank="1" showInputMessage="1" showErrorMessage="1" errorTitle="¡Ingreso Inválido!" error="Verifique el valor ingresado." promptTitle="Ingrese el Objeto de Gasto" prompt="Ingrese el Objeto de Gasto" sqref="H17:H55">
      <formula1>$A$1:$VD$1</formula1>
    </dataValidation>
    <dataValidation type="list" allowBlank="1" showInputMessage="1" showErrorMessage="1" errorTitle="¡Ingreso Inválido!" error="Seleccione una opción de la lista." promptTitle="Proyecto" prompt="Seleccione una opción." sqref="L17:L55">
      <formula1>$M$2:$O$2</formula1>
    </dataValidation>
  </dataValidations>
  <pageMargins left="0.7" right="0.7" top="0.75" bottom="0.75" header="0.3" footer="0.3"/>
  <pageSetup paperSize="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A28" sqref="A28"/>
    </sheetView>
  </sheetViews>
  <sheetFormatPr baseColWidth="10" defaultColWidth="11.5703125" defaultRowHeight="15" x14ac:dyDescent="0.25"/>
  <cols>
    <col min="1" max="1" width="20.140625" style="95" customWidth="1"/>
    <col min="2" max="2" width="17" style="95" customWidth="1"/>
    <col min="3" max="3" width="53.42578125" style="95" customWidth="1"/>
    <col min="4" max="4" width="20.7109375" style="95" bestFit="1" customWidth="1"/>
    <col min="5" max="5" width="28.28515625" style="95" customWidth="1"/>
    <col min="6" max="6" width="21.85546875" style="95" customWidth="1"/>
    <col min="7" max="7" width="16.5703125" style="85" customWidth="1"/>
    <col min="8" max="8" width="14.28515625" style="95" customWidth="1"/>
    <col min="9" max="9" width="40.28515625" style="95" customWidth="1"/>
    <col min="10" max="10" width="28.140625" style="95" bestFit="1" customWidth="1"/>
    <col min="11" max="11" width="19.85546875" style="95" bestFit="1" customWidth="1"/>
    <col min="12" max="12" width="34.85546875" style="95" bestFit="1" customWidth="1"/>
    <col min="13" max="16384" width="11.5703125" style="95"/>
  </cols>
  <sheetData>
    <row r="1" spans="1:576" ht="26.25" hidden="1" x14ac:dyDescent="0.25">
      <c r="A1" s="198"/>
      <c r="B1" s="201"/>
      <c r="C1" s="192" t="s">
        <v>332</v>
      </c>
      <c r="D1" s="192" t="s">
        <v>701</v>
      </c>
      <c r="E1" s="192" t="s">
        <v>703</v>
      </c>
      <c r="F1" s="192" t="s">
        <v>705</v>
      </c>
      <c r="G1" s="192" t="s">
        <v>707</v>
      </c>
      <c r="H1" s="192" t="s">
        <v>709</v>
      </c>
      <c r="I1" s="192" t="s">
        <v>711</v>
      </c>
      <c r="J1" s="192" t="s">
        <v>333</v>
      </c>
      <c r="K1" s="192" t="s">
        <v>714</v>
      </c>
      <c r="L1" s="192" t="s">
        <v>334</v>
      </c>
      <c r="M1" s="192" t="s">
        <v>716</v>
      </c>
      <c r="N1" s="192" t="s">
        <v>718</v>
      </c>
      <c r="O1" s="192" t="s">
        <v>720</v>
      </c>
      <c r="P1" s="192" t="s">
        <v>335</v>
      </c>
      <c r="Q1" s="192" t="s">
        <v>721</v>
      </c>
      <c r="R1" s="192" t="s">
        <v>724</v>
      </c>
      <c r="S1" s="192" t="s">
        <v>336</v>
      </c>
      <c r="T1" s="192" t="s">
        <v>726</v>
      </c>
      <c r="U1" s="192" t="s">
        <v>337</v>
      </c>
      <c r="V1" s="192" t="s">
        <v>727</v>
      </c>
      <c r="W1" s="192" t="s">
        <v>728</v>
      </c>
      <c r="X1" s="192" t="s">
        <v>732</v>
      </c>
      <c r="Y1" s="192" t="s">
        <v>329</v>
      </c>
      <c r="Z1" s="192" t="s">
        <v>747</v>
      </c>
      <c r="AA1" s="201"/>
      <c r="AB1" s="192" t="s">
        <v>749</v>
      </c>
      <c r="AC1" s="192" t="s">
        <v>339</v>
      </c>
      <c r="AD1" s="192" t="s">
        <v>751</v>
      </c>
      <c r="AE1" s="192" t="s">
        <v>753</v>
      </c>
      <c r="AF1" s="192" t="s">
        <v>340</v>
      </c>
      <c r="AG1" s="192" t="s">
        <v>755</v>
      </c>
      <c r="AH1" s="192" t="s">
        <v>757</v>
      </c>
      <c r="AI1" s="192" t="s">
        <v>341</v>
      </c>
      <c r="AJ1" s="192" t="s">
        <v>758</v>
      </c>
      <c r="AK1" s="192" t="s">
        <v>760</v>
      </c>
      <c r="AL1" s="192" t="s">
        <v>761</v>
      </c>
      <c r="AM1" s="192" t="s">
        <v>762</v>
      </c>
      <c r="AN1" s="192" t="s">
        <v>764</v>
      </c>
      <c r="AO1" s="192" t="s">
        <v>766</v>
      </c>
      <c r="AP1" s="192" t="s">
        <v>767</v>
      </c>
      <c r="AQ1" s="192" t="s">
        <v>342</v>
      </c>
      <c r="AR1" s="192" t="s">
        <v>769</v>
      </c>
      <c r="AS1" s="192" t="s">
        <v>771</v>
      </c>
      <c r="AT1" s="192" t="s">
        <v>773</v>
      </c>
      <c r="AU1" s="192" t="s">
        <v>775</v>
      </c>
      <c r="AV1" s="192" t="s">
        <v>777</v>
      </c>
      <c r="AW1" s="192" t="s">
        <v>779</v>
      </c>
      <c r="AX1" s="192" t="s">
        <v>781</v>
      </c>
      <c r="AY1" s="192" t="s">
        <v>783</v>
      </c>
      <c r="AZ1" s="201"/>
      <c r="BA1" s="192" t="s">
        <v>344</v>
      </c>
      <c r="BB1" s="192" t="s">
        <v>805</v>
      </c>
      <c r="BC1" s="192" t="s">
        <v>345</v>
      </c>
      <c r="BD1" s="192" t="s">
        <v>807</v>
      </c>
      <c r="BE1" s="192" t="s">
        <v>809</v>
      </c>
      <c r="BF1" s="201"/>
      <c r="BG1" s="192" t="s">
        <v>347</v>
      </c>
      <c r="BH1" s="192" t="s">
        <v>811</v>
      </c>
      <c r="BI1" s="192" t="s">
        <v>348</v>
      </c>
      <c r="BJ1" s="192" t="s">
        <v>813</v>
      </c>
      <c r="BK1" s="192" t="s">
        <v>815</v>
      </c>
      <c r="BL1" s="192" t="s">
        <v>817</v>
      </c>
      <c r="BM1" s="201"/>
      <c r="BN1" s="192" t="s">
        <v>823</v>
      </c>
      <c r="BO1" s="192" t="s">
        <v>825</v>
      </c>
      <c r="BP1" s="192" t="s">
        <v>350</v>
      </c>
      <c r="BQ1" s="192" t="s">
        <v>819</v>
      </c>
      <c r="BR1" s="192" t="s">
        <v>821</v>
      </c>
      <c r="BS1" s="192" t="s">
        <v>351</v>
      </c>
      <c r="BT1" s="192" t="s">
        <v>827</v>
      </c>
      <c r="BU1" s="192" t="s">
        <v>352</v>
      </c>
      <c r="BV1" s="192" t="s">
        <v>828</v>
      </c>
      <c r="BW1" s="189"/>
      <c r="BX1" s="201"/>
      <c r="BY1" s="192" t="s">
        <v>353</v>
      </c>
      <c r="BZ1" s="192" t="s">
        <v>733</v>
      </c>
      <c r="CA1" s="192" t="s">
        <v>735</v>
      </c>
      <c r="CB1" s="192" t="s">
        <v>737</v>
      </c>
      <c r="CC1" s="192" t="s">
        <v>354</v>
      </c>
      <c r="CD1" s="192" t="s">
        <v>739</v>
      </c>
      <c r="CE1" s="192" t="s">
        <v>741</v>
      </c>
      <c r="CF1" s="192" t="s">
        <v>743</v>
      </c>
      <c r="CG1" s="192" t="s">
        <v>745</v>
      </c>
      <c r="CH1" s="189"/>
      <c r="CI1" s="201"/>
      <c r="CJ1" s="192" t="s">
        <v>355</v>
      </c>
      <c r="CK1" s="192" t="s">
        <v>785</v>
      </c>
      <c r="CL1" s="192" t="s">
        <v>787</v>
      </c>
      <c r="CM1" s="192" t="s">
        <v>789</v>
      </c>
      <c r="CN1" s="192" t="s">
        <v>791</v>
      </c>
      <c r="CO1" s="192" t="s">
        <v>793</v>
      </c>
      <c r="CP1" s="192" t="s">
        <v>795</v>
      </c>
      <c r="CQ1" s="192" t="s">
        <v>797</v>
      </c>
      <c r="CR1" s="192" t="s">
        <v>799</v>
      </c>
      <c r="CS1" s="192" t="s">
        <v>801</v>
      </c>
      <c r="CT1" s="192" t="s">
        <v>803</v>
      </c>
      <c r="CU1" s="189"/>
      <c r="CV1" s="201"/>
      <c r="CW1" s="192" t="s">
        <v>829</v>
      </c>
      <c r="CX1" s="192" t="s">
        <v>830</v>
      </c>
      <c r="CY1" s="192" t="s">
        <v>832</v>
      </c>
      <c r="CZ1" s="192" t="s">
        <v>358</v>
      </c>
      <c r="DA1" s="192" t="s">
        <v>834</v>
      </c>
      <c r="DB1" s="192" t="s">
        <v>836</v>
      </c>
      <c r="DC1" s="192" t="s">
        <v>838</v>
      </c>
      <c r="DD1" s="192" t="s">
        <v>840</v>
      </c>
      <c r="DE1" s="192" t="s">
        <v>842</v>
      </c>
      <c r="DF1" s="192" t="s">
        <v>844</v>
      </c>
      <c r="DG1" s="201"/>
      <c r="DH1" s="192" t="s">
        <v>360</v>
      </c>
      <c r="DI1" s="192" t="s">
        <v>846</v>
      </c>
      <c r="DJ1" s="192" t="s">
        <v>361</v>
      </c>
      <c r="DK1" s="192" t="s">
        <v>848</v>
      </c>
      <c r="DL1" s="192" t="s">
        <v>850</v>
      </c>
      <c r="DM1" s="192" t="s">
        <v>852</v>
      </c>
      <c r="DN1" s="192" t="s">
        <v>854</v>
      </c>
      <c r="DO1" s="192" t="s">
        <v>856</v>
      </c>
      <c r="DP1" s="192" t="s">
        <v>858</v>
      </c>
      <c r="DQ1" s="192" t="s">
        <v>860</v>
      </c>
      <c r="DR1" s="192" t="s">
        <v>362</v>
      </c>
      <c r="DS1" s="192" t="s">
        <v>862</v>
      </c>
      <c r="DT1" s="192" t="s">
        <v>864</v>
      </c>
      <c r="DU1" s="192" t="s">
        <v>866</v>
      </c>
      <c r="DV1" s="201"/>
      <c r="DW1" s="192" t="s">
        <v>868</v>
      </c>
      <c r="DX1" s="192" t="s">
        <v>364</v>
      </c>
      <c r="DY1" s="192" t="s">
        <v>870</v>
      </c>
      <c r="DZ1" s="192" t="s">
        <v>365</v>
      </c>
      <c r="EA1" s="192" t="s">
        <v>872</v>
      </c>
      <c r="EB1" s="192" t="s">
        <v>874</v>
      </c>
      <c r="EC1" s="192" t="s">
        <v>876</v>
      </c>
      <c r="ED1" s="192" t="s">
        <v>878</v>
      </c>
      <c r="EE1" s="192" t="s">
        <v>880</v>
      </c>
      <c r="EF1" s="192" t="s">
        <v>882</v>
      </c>
      <c r="EG1" s="192" t="s">
        <v>884</v>
      </c>
      <c r="EH1" s="192" t="s">
        <v>886</v>
      </c>
      <c r="EI1" s="192" t="s">
        <v>888</v>
      </c>
      <c r="EJ1" s="192" t="s">
        <v>890</v>
      </c>
      <c r="EK1" s="192" t="s">
        <v>892</v>
      </c>
      <c r="EL1" s="201"/>
      <c r="EM1" s="192" t="s">
        <v>894</v>
      </c>
      <c r="EN1" s="192" t="s">
        <v>367</v>
      </c>
      <c r="EO1" s="192" t="s">
        <v>896</v>
      </c>
      <c r="EP1" s="192" t="s">
        <v>898</v>
      </c>
      <c r="EQ1" s="192" t="s">
        <v>368</v>
      </c>
      <c r="ER1" s="192" t="s">
        <v>900</v>
      </c>
      <c r="ES1" s="192" t="s">
        <v>902</v>
      </c>
      <c r="ET1" s="192" t="s">
        <v>369</v>
      </c>
      <c r="EU1" s="192" t="s">
        <v>904</v>
      </c>
      <c r="EV1" s="192" t="s">
        <v>906</v>
      </c>
      <c r="EW1" s="192" t="s">
        <v>908</v>
      </c>
      <c r="EX1" s="192" t="s">
        <v>370</v>
      </c>
      <c r="EY1" s="192" t="s">
        <v>910</v>
      </c>
      <c r="EZ1" s="192" t="s">
        <v>912</v>
      </c>
      <c r="FA1" s="201"/>
      <c r="FB1" s="192" t="s">
        <v>372</v>
      </c>
      <c r="FC1" s="192" t="s">
        <v>914</v>
      </c>
      <c r="FD1" s="192" t="s">
        <v>916</v>
      </c>
      <c r="FE1" s="192" t="s">
        <v>918</v>
      </c>
      <c r="FF1" s="192" t="s">
        <v>920</v>
      </c>
      <c r="FG1" s="192" t="s">
        <v>373</v>
      </c>
      <c r="FH1" s="192" t="s">
        <v>922</v>
      </c>
      <c r="FI1" s="192" t="s">
        <v>924</v>
      </c>
      <c r="FJ1" s="192" t="s">
        <v>926</v>
      </c>
      <c r="FK1" s="192" t="s">
        <v>928</v>
      </c>
      <c r="FL1" s="192" t="s">
        <v>930</v>
      </c>
      <c r="FM1" s="192" t="s">
        <v>374</v>
      </c>
      <c r="FN1" s="192" t="s">
        <v>933</v>
      </c>
      <c r="FO1" s="192" t="s">
        <v>375</v>
      </c>
      <c r="FP1" s="192" t="s">
        <v>936</v>
      </c>
      <c r="FQ1" s="192" t="s">
        <v>937</v>
      </c>
      <c r="FR1" s="192" t="s">
        <v>939</v>
      </c>
      <c r="FS1" s="192" t="s">
        <v>376</v>
      </c>
      <c r="FT1" s="192" t="s">
        <v>942</v>
      </c>
      <c r="FU1" s="192" t="s">
        <v>943</v>
      </c>
      <c r="FV1" s="192" t="s">
        <v>945</v>
      </c>
      <c r="FW1" s="192" t="s">
        <v>377</v>
      </c>
      <c r="FX1" s="192" t="s">
        <v>948</v>
      </c>
      <c r="FY1" s="192" t="s">
        <v>950</v>
      </c>
      <c r="FZ1" s="192" t="s">
        <v>952</v>
      </c>
      <c r="GA1" s="201"/>
      <c r="GB1" s="192" t="s">
        <v>379</v>
      </c>
      <c r="GC1" s="192" t="s">
        <v>380</v>
      </c>
      <c r="GD1" s="201"/>
      <c r="GE1" s="192" t="s">
        <v>382</v>
      </c>
      <c r="GF1" s="192" t="s">
        <v>975</v>
      </c>
      <c r="GG1" s="192" t="s">
        <v>977</v>
      </c>
      <c r="GH1" s="192" t="s">
        <v>979</v>
      </c>
      <c r="GI1" s="192" t="s">
        <v>981</v>
      </c>
      <c r="GJ1" s="192" t="s">
        <v>983</v>
      </c>
      <c r="GK1" s="201"/>
      <c r="GL1" s="192" t="s">
        <v>384</v>
      </c>
      <c r="GM1" s="192" t="s">
        <v>985</v>
      </c>
      <c r="GN1" s="192" t="s">
        <v>987</v>
      </c>
      <c r="GO1" s="192" t="s">
        <v>989</v>
      </c>
      <c r="GP1" s="192" t="s">
        <v>991</v>
      </c>
      <c r="GQ1" s="192" t="s">
        <v>993</v>
      </c>
      <c r="GR1" s="192" t="s">
        <v>995</v>
      </c>
      <c r="GS1" s="189"/>
      <c r="GT1" s="201"/>
      <c r="GU1" s="192" t="s">
        <v>385</v>
      </c>
      <c r="GV1" s="192" t="s">
        <v>954</v>
      </c>
      <c r="GW1" s="192" t="s">
        <v>956</v>
      </c>
      <c r="GX1" s="192" t="s">
        <v>958</v>
      </c>
      <c r="GY1" s="192" t="s">
        <v>960</v>
      </c>
      <c r="GZ1" s="192" t="s">
        <v>962</v>
      </c>
      <c r="HA1" s="192" t="s">
        <v>964</v>
      </c>
      <c r="HB1" s="201"/>
      <c r="HC1" s="192" t="s">
        <v>386</v>
      </c>
      <c r="HD1" s="192" t="s">
        <v>966</v>
      </c>
      <c r="HE1" s="192" t="s">
        <v>968</v>
      </c>
      <c r="HF1" s="192" t="s">
        <v>969</v>
      </c>
      <c r="HG1" s="192" t="s">
        <v>387</v>
      </c>
      <c r="HH1" s="192" t="s">
        <v>972</v>
      </c>
      <c r="HI1" s="192" t="s">
        <v>973</v>
      </c>
      <c r="HJ1" s="189"/>
      <c r="HK1" s="201"/>
      <c r="HL1" s="192" t="s">
        <v>390</v>
      </c>
      <c r="HM1" s="192" t="s">
        <v>997</v>
      </c>
      <c r="HN1" s="192" t="s">
        <v>999</v>
      </c>
      <c r="HO1" s="192" t="s">
        <v>1001</v>
      </c>
      <c r="HP1" s="192" t="s">
        <v>1003</v>
      </c>
      <c r="HQ1" s="192" t="s">
        <v>391</v>
      </c>
      <c r="HR1" s="192" t="s">
        <v>1006</v>
      </c>
      <c r="HS1" s="201"/>
      <c r="HT1" s="192" t="s">
        <v>1008</v>
      </c>
      <c r="HU1" s="192" t="s">
        <v>1010</v>
      </c>
      <c r="HV1" s="192" t="s">
        <v>393</v>
      </c>
      <c r="HW1" s="192" t="s">
        <v>1013</v>
      </c>
      <c r="HX1" s="192" t="s">
        <v>1015</v>
      </c>
      <c r="HY1" s="192" t="s">
        <v>1016</v>
      </c>
      <c r="HZ1" s="192" t="s">
        <v>1018</v>
      </c>
      <c r="IA1" s="201"/>
      <c r="IB1" s="192" t="s">
        <v>1020</v>
      </c>
      <c r="IC1" s="192" t="s">
        <v>1022</v>
      </c>
      <c r="ID1" s="192" t="s">
        <v>1024</v>
      </c>
      <c r="IE1" s="192" t="s">
        <v>395</v>
      </c>
      <c r="IF1" s="192" t="s">
        <v>1026</v>
      </c>
      <c r="IG1" s="192" t="s">
        <v>1028</v>
      </c>
      <c r="IH1" s="192" t="s">
        <v>396</v>
      </c>
      <c r="II1" s="192" t="s">
        <v>1030</v>
      </c>
      <c r="IJ1" s="192" t="s">
        <v>1032</v>
      </c>
      <c r="IK1" s="192" t="s">
        <v>397</v>
      </c>
      <c r="IL1" s="192" t="s">
        <v>1034</v>
      </c>
      <c r="IM1" s="192" t="s">
        <v>1036</v>
      </c>
      <c r="IN1" s="192" t="s">
        <v>1038</v>
      </c>
      <c r="IO1" s="192" t="s">
        <v>1040</v>
      </c>
      <c r="IP1" s="192" t="s">
        <v>398</v>
      </c>
      <c r="IQ1" s="192" t="s">
        <v>1042</v>
      </c>
      <c r="IR1" s="201"/>
      <c r="IS1" s="192" t="s">
        <v>1050</v>
      </c>
      <c r="IT1" s="192" t="s">
        <v>1052</v>
      </c>
      <c r="IU1" s="192" t="s">
        <v>400</v>
      </c>
      <c r="IV1" s="192" t="s">
        <v>1054</v>
      </c>
      <c r="IW1" s="192" t="s">
        <v>1056</v>
      </c>
      <c r="IX1" s="192" t="s">
        <v>1058</v>
      </c>
      <c r="IY1" s="201"/>
      <c r="IZ1" s="192" t="s">
        <v>1060</v>
      </c>
      <c r="JA1" s="192" t="s">
        <v>402</v>
      </c>
      <c r="JB1" s="192" t="s">
        <v>1063</v>
      </c>
      <c r="JC1" s="192" t="s">
        <v>1065</v>
      </c>
      <c r="JD1" s="192" t="s">
        <v>1067</v>
      </c>
      <c r="JE1" s="192" t="s">
        <v>1069</v>
      </c>
      <c r="JF1" s="192" t="s">
        <v>1071</v>
      </c>
      <c r="JG1" s="192" t="s">
        <v>1073</v>
      </c>
      <c r="JH1" s="192" t="s">
        <v>403</v>
      </c>
      <c r="JI1" s="192" t="s">
        <v>1076</v>
      </c>
      <c r="JJ1" s="192" t="s">
        <v>1078</v>
      </c>
      <c r="JK1" s="192" t="s">
        <v>1080</v>
      </c>
      <c r="JL1" s="192" t="s">
        <v>1082</v>
      </c>
      <c r="JM1" s="192" t="s">
        <v>1084</v>
      </c>
      <c r="JN1" s="192" t="s">
        <v>1086</v>
      </c>
      <c r="JO1" s="192" t="s">
        <v>1088</v>
      </c>
      <c r="JP1" s="192" t="s">
        <v>1090</v>
      </c>
      <c r="JQ1" s="192" t="s">
        <v>404</v>
      </c>
      <c r="JR1" s="192" t="s">
        <v>1093</v>
      </c>
      <c r="JS1" s="192" t="s">
        <v>1095</v>
      </c>
      <c r="JT1" s="192" t="s">
        <v>1097</v>
      </c>
      <c r="JU1" s="192" t="s">
        <v>1099</v>
      </c>
      <c r="JV1" s="192" t="s">
        <v>1100</v>
      </c>
      <c r="JW1" s="192" t="s">
        <v>1102</v>
      </c>
      <c r="JX1" s="192" t="s">
        <v>1104</v>
      </c>
      <c r="JY1" s="192" t="s">
        <v>1106</v>
      </c>
      <c r="JZ1" s="192" t="s">
        <v>1108</v>
      </c>
      <c r="KA1" s="192" t="s">
        <v>1110</v>
      </c>
      <c r="KB1" s="192" t="s">
        <v>1112</v>
      </c>
      <c r="KC1" s="192" t="s">
        <v>1114</v>
      </c>
      <c r="KD1" s="192" t="s">
        <v>1116</v>
      </c>
      <c r="KE1" s="192" t="s">
        <v>1118</v>
      </c>
      <c r="KF1" s="192" t="s">
        <v>1120</v>
      </c>
      <c r="KG1" s="192" t="s">
        <v>1122</v>
      </c>
      <c r="KH1" s="192" t="s">
        <v>1124</v>
      </c>
      <c r="KI1" s="192" t="s">
        <v>1126</v>
      </c>
      <c r="KJ1" s="192" t="s">
        <v>1128</v>
      </c>
      <c r="KK1" s="192" t="s">
        <v>1130</v>
      </c>
      <c r="KL1" s="192" t="s">
        <v>1132</v>
      </c>
      <c r="KM1" s="192" t="s">
        <v>1134</v>
      </c>
      <c r="KN1" s="192" t="s">
        <v>1136</v>
      </c>
      <c r="KO1" s="192" t="s">
        <v>1138</v>
      </c>
      <c r="KP1" s="192" t="s">
        <v>1140</v>
      </c>
      <c r="KQ1" s="192" t="s">
        <v>1142</v>
      </c>
      <c r="KR1" s="201"/>
      <c r="KS1" s="192" t="s">
        <v>1144</v>
      </c>
      <c r="KT1" s="192" t="s">
        <v>406</v>
      </c>
      <c r="KU1" s="192" t="s">
        <v>1147</v>
      </c>
      <c r="KV1" s="192" t="s">
        <v>1149</v>
      </c>
      <c r="KW1" s="192" t="s">
        <v>1151</v>
      </c>
      <c r="KX1" s="192" t="s">
        <v>1153</v>
      </c>
      <c r="KY1" s="192" t="s">
        <v>407</v>
      </c>
      <c r="KZ1" s="192" t="s">
        <v>1156</v>
      </c>
      <c r="LA1" s="192" t="s">
        <v>1158</v>
      </c>
      <c r="LB1" s="192" t="s">
        <v>1160</v>
      </c>
      <c r="LC1" s="192" t="s">
        <v>1162</v>
      </c>
      <c r="LD1" s="192" t="s">
        <v>1164</v>
      </c>
      <c r="LE1" s="192" t="s">
        <v>1166</v>
      </c>
      <c r="LF1" s="192" t="s">
        <v>1168</v>
      </c>
      <c r="LG1" s="189"/>
      <c r="LH1" s="201"/>
      <c r="LI1" s="192" t="s">
        <v>408</v>
      </c>
      <c r="LJ1" s="192" t="s">
        <v>1044</v>
      </c>
      <c r="LK1" s="192" t="s">
        <v>1046</v>
      </c>
      <c r="LL1" s="192" t="s">
        <v>1048</v>
      </c>
      <c r="LM1" s="189"/>
      <c r="LN1" s="201"/>
      <c r="LO1" s="192" t="s">
        <v>411</v>
      </c>
      <c r="LP1" s="192" t="s">
        <v>412</v>
      </c>
      <c r="LQ1" s="201"/>
      <c r="LR1" s="192" t="s">
        <v>414</v>
      </c>
      <c r="LS1" s="192" t="s">
        <v>1188</v>
      </c>
      <c r="LT1" s="192" t="s">
        <v>1190</v>
      </c>
      <c r="LU1" s="192" t="s">
        <v>1191</v>
      </c>
      <c r="LV1" s="192" t="s">
        <v>1193</v>
      </c>
      <c r="LW1" s="192" t="s">
        <v>1194</v>
      </c>
      <c r="LX1" s="192" t="s">
        <v>1196</v>
      </c>
      <c r="LY1" s="192" t="s">
        <v>1198</v>
      </c>
      <c r="LZ1" s="192" t="s">
        <v>1200</v>
      </c>
      <c r="MA1" s="192" t="s">
        <v>1202</v>
      </c>
      <c r="MB1" s="192" t="s">
        <v>415</v>
      </c>
      <c r="MC1" s="192" t="s">
        <v>1205</v>
      </c>
      <c r="MD1" s="192" t="s">
        <v>1206</v>
      </c>
      <c r="ME1" s="192" t="s">
        <v>1208</v>
      </c>
      <c r="MF1" s="192" t="s">
        <v>416</v>
      </c>
      <c r="MG1" s="192" t="s">
        <v>1211</v>
      </c>
      <c r="MH1" s="192" t="s">
        <v>1212</v>
      </c>
      <c r="MI1" s="192" t="s">
        <v>1214</v>
      </c>
      <c r="MJ1" s="192" t="s">
        <v>1216</v>
      </c>
      <c r="MK1" s="192" t="s">
        <v>417</v>
      </c>
      <c r="ML1" s="192" t="s">
        <v>1219</v>
      </c>
      <c r="MM1" s="192" t="s">
        <v>1221</v>
      </c>
      <c r="MN1" s="192" t="s">
        <v>1223</v>
      </c>
      <c r="MO1" s="192" t="s">
        <v>1225</v>
      </c>
      <c r="MP1" s="192" t="s">
        <v>418</v>
      </c>
      <c r="MQ1" s="192" t="s">
        <v>1228</v>
      </c>
      <c r="MR1" s="192" t="s">
        <v>1230</v>
      </c>
      <c r="MS1" s="192" t="s">
        <v>1232</v>
      </c>
      <c r="MT1" s="192" t="s">
        <v>1234</v>
      </c>
      <c r="MU1" s="192" t="s">
        <v>1236</v>
      </c>
      <c r="MV1" s="192" t="s">
        <v>1238</v>
      </c>
      <c r="MW1" s="192" t="s">
        <v>1240</v>
      </c>
      <c r="MX1" s="192" t="s">
        <v>1242</v>
      </c>
      <c r="MY1" s="192" t="s">
        <v>1244</v>
      </c>
      <c r="MZ1" s="192" t="s">
        <v>1246</v>
      </c>
      <c r="NA1" s="192" t="s">
        <v>1248</v>
      </c>
      <c r="NB1" s="192" t="s">
        <v>1249</v>
      </c>
      <c r="NC1" s="201"/>
      <c r="ND1" s="192" t="s">
        <v>420</v>
      </c>
      <c r="NE1" s="192" t="s">
        <v>1251</v>
      </c>
      <c r="NF1" s="192" t="s">
        <v>1253</v>
      </c>
      <c r="NG1" s="192" t="s">
        <v>1255</v>
      </c>
      <c r="NH1" s="192" t="s">
        <v>1257</v>
      </c>
      <c r="NI1" s="201"/>
      <c r="NJ1" s="192" t="s">
        <v>422</v>
      </c>
      <c r="NK1" s="192" t="s">
        <v>1258</v>
      </c>
      <c r="NL1" s="192" t="s">
        <v>423</v>
      </c>
      <c r="NM1" s="192" t="s">
        <v>1260</v>
      </c>
      <c r="NN1" s="192" t="s">
        <v>1262</v>
      </c>
      <c r="NO1" s="192" t="s">
        <v>424</v>
      </c>
      <c r="NP1" s="192" t="s">
        <v>1264</v>
      </c>
      <c r="NQ1" s="192" t="s">
        <v>1266</v>
      </c>
      <c r="NR1" s="189"/>
      <c r="NS1" s="201"/>
      <c r="NT1" s="192" t="s">
        <v>425</v>
      </c>
      <c r="NU1" s="192" t="s">
        <v>1170</v>
      </c>
      <c r="NV1" s="192" t="s">
        <v>1172</v>
      </c>
      <c r="NW1" s="192" t="s">
        <v>1174</v>
      </c>
      <c r="NX1" s="192" t="s">
        <v>1176</v>
      </c>
      <c r="NY1" s="192" t="s">
        <v>426</v>
      </c>
      <c r="NZ1" s="192" t="s">
        <v>1178</v>
      </c>
      <c r="OA1" s="192" t="s">
        <v>427</v>
      </c>
      <c r="OB1" s="192" t="s">
        <v>1180</v>
      </c>
      <c r="OC1" s="201"/>
      <c r="OD1" s="192" t="s">
        <v>1182</v>
      </c>
      <c r="OE1" s="192" t="s">
        <v>428</v>
      </c>
      <c r="OF1" s="189"/>
      <c r="OG1" s="201"/>
      <c r="OH1" s="192" t="s">
        <v>1184</v>
      </c>
      <c r="OI1" s="192" t="s">
        <v>1186</v>
      </c>
      <c r="OJ1" s="192" t="s">
        <v>429</v>
      </c>
      <c r="OK1" s="189"/>
      <c r="OL1" s="201"/>
      <c r="OM1" s="192" t="s">
        <v>432</v>
      </c>
      <c r="ON1" s="192" t="s">
        <v>1268</v>
      </c>
      <c r="OO1" s="192" t="s">
        <v>1270</v>
      </c>
      <c r="OP1" s="192" t="s">
        <v>433</v>
      </c>
      <c r="OQ1" s="192" t="s">
        <v>434</v>
      </c>
      <c r="OR1" s="192" t="s">
        <v>1368</v>
      </c>
      <c r="OS1" s="192" t="s">
        <v>1370</v>
      </c>
      <c r="OT1" s="192" t="s">
        <v>1372</v>
      </c>
      <c r="OU1" s="192" t="s">
        <v>1374</v>
      </c>
      <c r="OV1" s="192" t="s">
        <v>1376</v>
      </c>
      <c r="OW1" s="201"/>
      <c r="OX1" s="192" t="s">
        <v>436</v>
      </c>
      <c r="OY1" s="192" t="s">
        <v>1378</v>
      </c>
      <c r="OZ1" s="192" t="s">
        <v>1380</v>
      </c>
      <c r="PA1" s="192" t="s">
        <v>1382</v>
      </c>
      <c r="PB1" s="192" t="s">
        <v>1384</v>
      </c>
      <c r="PC1" s="192" t="s">
        <v>1386</v>
      </c>
      <c r="PD1" s="192" t="s">
        <v>1388</v>
      </c>
      <c r="PE1" s="201"/>
      <c r="PF1" s="192" t="s">
        <v>1390</v>
      </c>
      <c r="PG1" s="192" t="s">
        <v>438</v>
      </c>
      <c r="PH1" s="201"/>
      <c r="PI1" s="192" t="s">
        <v>440</v>
      </c>
      <c r="PJ1" s="192" t="s">
        <v>1420</v>
      </c>
      <c r="PK1" s="192" t="s">
        <v>1422</v>
      </c>
      <c r="PL1" s="201"/>
      <c r="PM1" s="192" t="s">
        <v>442</v>
      </c>
      <c r="PN1" s="192" t="s">
        <v>1424</v>
      </c>
      <c r="PO1" s="192" t="s">
        <v>1425</v>
      </c>
      <c r="PP1" s="192" t="s">
        <v>1426</v>
      </c>
      <c r="PQ1" s="192" t="s">
        <v>1427</v>
      </c>
      <c r="PR1" s="192" t="s">
        <v>1429</v>
      </c>
      <c r="PS1" s="192" t="s">
        <v>1430</v>
      </c>
      <c r="PT1" s="192" t="s">
        <v>1432</v>
      </c>
      <c r="PU1" s="192" t="s">
        <v>1433</v>
      </c>
      <c r="PV1" s="189"/>
      <c r="PW1" s="201"/>
      <c r="PX1" s="192" t="s">
        <v>443</v>
      </c>
      <c r="PY1" s="192" t="s">
        <v>1272</v>
      </c>
      <c r="PZ1" s="192" t="s">
        <v>1274</v>
      </c>
      <c r="QA1" s="192" t="s">
        <v>1276</v>
      </c>
      <c r="QB1" s="192" t="s">
        <v>1278</v>
      </c>
      <c r="QC1" s="192" t="s">
        <v>1280</v>
      </c>
      <c r="QD1" s="192" t="s">
        <v>1282</v>
      </c>
      <c r="QE1" s="192" t="s">
        <v>1284</v>
      </c>
      <c r="QF1" s="192" t="s">
        <v>1286</v>
      </c>
      <c r="QG1" s="192" t="s">
        <v>1288</v>
      </c>
      <c r="QH1" s="192" t="s">
        <v>1290</v>
      </c>
      <c r="QI1" s="192" t="s">
        <v>1292</v>
      </c>
      <c r="QJ1" s="192" t="s">
        <v>1294</v>
      </c>
      <c r="QK1" s="192" t="s">
        <v>1296</v>
      </c>
      <c r="QL1" s="192" t="s">
        <v>1298</v>
      </c>
      <c r="QM1" s="192" t="s">
        <v>1300</v>
      </c>
      <c r="QN1" s="192" t="s">
        <v>1302</v>
      </c>
      <c r="QO1" s="192" t="s">
        <v>1304</v>
      </c>
      <c r="QP1" s="192" t="s">
        <v>1306</v>
      </c>
      <c r="QQ1" s="192" t="s">
        <v>1308</v>
      </c>
      <c r="QR1" s="192" t="s">
        <v>1310</v>
      </c>
      <c r="QS1" s="192" t="s">
        <v>1312</v>
      </c>
      <c r="QT1" s="192" t="s">
        <v>1314</v>
      </c>
      <c r="QU1" s="192" t="s">
        <v>444</v>
      </c>
      <c r="QV1" s="192" t="s">
        <v>1317</v>
      </c>
      <c r="QW1" s="192" t="s">
        <v>1319</v>
      </c>
      <c r="QX1" s="192" t="s">
        <v>1320</v>
      </c>
      <c r="QY1" s="192" t="s">
        <v>1322</v>
      </c>
      <c r="QZ1" s="192" t="s">
        <v>1324</v>
      </c>
      <c r="RA1" s="192" t="s">
        <v>1326</v>
      </c>
      <c r="RB1" s="192" t="s">
        <v>1328</v>
      </c>
      <c r="RC1" s="192" t="s">
        <v>1330</v>
      </c>
      <c r="RD1" s="192" t="s">
        <v>1332</v>
      </c>
      <c r="RE1" s="192" t="s">
        <v>1334</v>
      </c>
      <c r="RF1" s="192" t="s">
        <v>1336</v>
      </c>
      <c r="RG1" s="192" t="s">
        <v>1338</v>
      </c>
      <c r="RH1" s="192" t="s">
        <v>1340</v>
      </c>
      <c r="RI1" s="192" t="s">
        <v>1342</v>
      </c>
      <c r="RJ1" s="192" t="s">
        <v>1344</v>
      </c>
      <c r="RK1" s="192" t="s">
        <v>1346</v>
      </c>
      <c r="RL1" s="192" t="s">
        <v>1348</v>
      </c>
      <c r="RM1" s="192" t="s">
        <v>1350</v>
      </c>
      <c r="RN1" s="192" t="s">
        <v>1352</v>
      </c>
      <c r="RO1" s="192" t="s">
        <v>1354</v>
      </c>
      <c r="RP1" s="192" t="s">
        <v>1356</v>
      </c>
      <c r="RQ1" s="192" t="s">
        <v>1358</v>
      </c>
      <c r="RR1" s="192" t="s">
        <v>1360</v>
      </c>
      <c r="RS1" s="192" t="s">
        <v>1362</v>
      </c>
      <c r="RT1" s="192" t="s">
        <v>1364</v>
      </c>
      <c r="RU1" s="192" t="s">
        <v>1366</v>
      </c>
      <c r="RV1" s="189"/>
      <c r="RW1" s="201"/>
      <c r="RX1" s="192" t="s">
        <v>445</v>
      </c>
      <c r="RY1" s="192" t="s">
        <v>1392</v>
      </c>
      <c r="RZ1" s="192" t="s">
        <v>1394</v>
      </c>
      <c r="SA1" s="192" t="s">
        <v>1396</v>
      </c>
      <c r="SB1" s="192" t="s">
        <v>1398</v>
      </c>
      <c r="SC1" s="192" t="s">
        <v>1400</v>
      </c>
      <c r="SD1" s="192" t="s">
        <v>1402</v>
      </c>
      <c r="SE1" s="192" t="s">
        <v>1404</v>
      </c>
      <c r="SF1" s="192" t="s">
        <v>1406</v>
      </c>
      <c r="SG1" s="192" t="s">
        <v>1408</v>
      </c>
      <c r="SH1" s="192" t="s">
        <v>1410</v>
      </c>
      <c r="SI1" s="192" t="s">
        <v>1412</v>
      </c>
      <c r="SJ1" s="192" t="s">
        <v>1414</v>
      </c>
      <c r="SK1" s="192" t="s">
        <v>1416</v>
      </c>
      <c r="SL1" s="192" t="s">
        <v>1418</v>
      </c>
      <c r="SM1" s="189"/>
      <c r="SN1" s="201"/>
      <c r="SO1" s="192" t="s">
        <v>448</v>
      </c>
      <c r="SP1" s="192" t="s">
        <v>1435</v>
      </c>
      <c r="SQ1" s="192" t="s">
        <v>1437</v>
      </c>
      <c r="SR1" s="192" t="s">
        <v>449</v>
      </c>
      <c r="SS1" s="192" t="s">
        <v>1439</v>
      </c>
      <c r="ST1" s="192" t="s">
        <v>1441</v>
      </c>
      <c r="SU1" s="192" t="s">
        <v>1443</v>
      </c>
      <c r="SV1" s="192" t="s">
        <v>1445</v>
      </c>
      <c r="SW1" s="201"/>
      <c r="SX1" s="192" t="s">
        <v>451</v>
      </c>
      <c r="SY1" s="192" t="s">
        <v>1447</v>
      </c>
      <c r="SZ1" s="192" t="s">
        <v>1449</v>
      </c>
      <c r="TA1" s="192" t="s">
        <v>1451</v>
      </c>
      <c r="TB1" s="192" t="s">
        <v>1453</v>
      </c>
      <c r="TC1" s="192" t="s">
        <v>1455</v>
      </c>
      <c r="TD1" s="192" t="s">
        <v>1457</v>
      </c>
      <c r="TE1" s="192" t="s">
        <v>1459</v>
      </c>
      <c r="TF1" s="192" t="s">
        <v>1461</v>
      </c>
      <c r="TG1" s="192" t="s">
        <v>1463</v>
      </c>
      <c r="TH1" s="192" t="s">
        <v>1465</v>
      </c>
      <c r="TI1" s="192" t="s">
        <v>1467</v>
      </c>
      <c r="TJ1" s="192" t="s">
        <v>1469</v>
      </c>
      <c r="TK1" s="192" t="s">
        <v>1471</v>
      </c>
      <c r="TL1" s="192" t="s">
        <v>1473</v>
      </c>
      <c r="TM1" s="192" t="s">
        <v>1475</v>
      </c>
      <c r="TN1" s="189"/>
      <c r="TO1" s="201"/>
      <c r="TP1" s="192" t="s">
        <v>454</v>
      </c>
      <c r="TQ1" s="192" t="s">
        <v>1477</v>
      </c>
      <c r="TR1" s="192" t="s">
        <v>1479</v>
      </c>
      <c r="TS1" s="192" t="s">
        <v>1481</v>
      </c>
      <c r="TT1" s="192" t="s">
        <v>1483</v>
      </c>
      <c r="TU1" s="192" t="s">
        <v>1485</v>
      </c>
      <c r="TV1" s="192" t="s">
        <v>455</v>
      </c>
      <c r="TW1" s="192" t="s">
        <v>1487</v>
      </c>
      <c r="TX1" s="192" t="s">
        <v>1489</v>
      </c>
      <c r="TY1" s="192" t="s">
        <v>1491</v>
      </c>
      <c r="TZ1" s="192" t="s">
        <v>1493</v>
      </c>
      <c r="UA1" s="192" t="s">
        <v>1495</v>
      </c>
      <c r="UB1" s="192" t="s">
        <v>1497</v>
      </c>
      <c r="UC1" s="201"/>
      <c r="UD1" s="192" t="s">
        <v>457</v>
      </c>
      <c r="UE1" s="189"/>
      <c r="UF1" s="201"/>
      <c r="UG1" s="192" t="s">
        <v>458</v>
      </c>
      <c r="UH1" s="192" t="s">
        <v>1499</v>
      </c>
      <c r="UI1" s="192" t="s">
        <v>1501</v>
      </c>
      <c r="UJ1" s="192" t="s">
        <v>1502</v>
      </c>
      <c r="UK1" s="192" t="s">
        <v>1504</v>
      </c>
      <c r="UL1" s="192" t="s">
        <v>1506</v>
      </c>
      <c r="UM1" s="192" t="s">
        <v>1508</v>
      </c>
      <c r="UN1" s="192" t="s">
        <v>1510</v>
      </c>
      <c r="UO1" s="192" t="s">
        <v>1512</v>
      </c>
      <c r="UP1" s="192" t="s">
        <v>1514</v>
      </c>
      <c r="UQ1" s="192" t="s">
        <v>1516</v>
      </c>
      <c r="UR1" s="192" t="s">
        <v>1518</v>
      </c>
      <c r="US1" s="192" t="s">
        <v>1520</v>
      </c>
      <c r="UT1" s="192" t="s">
        <v>1522</v>
      </c>
      <c r="UU1" s="192" t="s">
        <v>1524</v>
      </c>
      <c r="UV1" s="192" t="s">
        <v>1526</v>
      </c>
      <c r="UW1" s="192" t="s">
        <v>1528</v>
      </c>
      <c r="UX1" s="189"/>
      <c r="UY1" s="192" t="s">
        <v>1532</v>
      </c>
      <c r="UZ1" s="192" t="s">
        <v>1534</v>
      </c>
      <c r="VA1" s="192" t="s">
        <v>1536</v>
      </c>
      <c r="VB1" s="192" t="s">
        <v>1538</v>
      </c>
      <c r="VC1" s="192" t="s">
        <v>1540</v>
      </c>
      <c r="VD1" s="195"/>
    </row>
    <row r="2" spans="1:576" s="132" customFormat="1" hidden="1" x14ac:dyDescent="0.25">
      <c r="A2" s="132" t="s">
        <v>201</v>
      </c>
      <c r="B2" s="132" t="s">
        <v>187</v>
      </c>
      <c r="C2" s="132" t="s">
        <v>558</v>
      </c>
      <c r="D2" s="132" t="s">
        <v>202</v>
      </c>
      <c r="E2" s="132" t="s">
        <v>166</v>
      </c>
      <c r="F2" s="132" t="s">
        <v>559</v>
      </c>
      <c r="G2" s="170" t="s">
        <v>203</v>
      </c>
      <c r="H2" s="132" t="s">
        <v>560</v>
      </c>
      <c r="I2" s="132" t="s">
        <v>561</v>
      </c>
      <c r="J2" s="132" t="s">
        <v>204</v>
      </c>
      <c r="K2" s="132" t="s">
        <v>562</v>
      </c>
      <c r="R2" s="132" t="s">
        <v>206</v>
      </c>
      <c r="S2" s="132" t="s">
        <v>207</v>
      </c>
      <c r="U2" s="132" t="s">
        <v>475</v>
      </c>
      <c r="V2" s="132" t="s">
        <v>493</v>
      </c>
      <c r="W2" s="132" t="s">
        <v>476</v>
      </c>
      <c r="X2" s="132" t="s">
        <v>477</v>
      </c>
      <c r="Y2" s="132" t="s">
        <v>478</v>
      </c>
      <c r="Z2" s="132" t="s">
        <v>479</v>
      </c>
      <c r="AA2" s="132" t="s">
        <v>480</v>
      </c>
      <c r="AB2" s="132" t="s">
        <v>481</v>
      </c>
      <c r="AC2" s="132" t="s">
        <v>482</v>
      </c>
      <c r="AD2" s="132" t="s">
        <v>483</v>
      </c>
      <c r="AE2" s="132" t="s">
        <v>484</v>
      </c>
      <c r="AF2" s="132" t="s">
        <v>485</v>
      </c>
      <c r="AH2" s="132" t="s">
        <v>504</v>
      </c>
      <c r="AI2" s="132" t="s">
        <v>505</v>
      </c>
      <c r="AJ2" s="132" t="s">
        <v>506</v>
      </c>
      <c r="AK2" s="132" t="s">
        <v>507</v>
      </c>
      <c r="AL2" s="132" t="s">
        <v>508</v>
      </c>
      <c r="AM2" s="132" t="s">
        <v>511</v>
      </c>
      <c r="AN2" s="132" t="s">
        <v>509</v>
      </c>
      <c r="AO2" s="132" t="s">
        <v>510</v>
      </c>
      <c r="AP2" s="132" t="s">
        <v>512</v>
      </c>
      <c r="AQ2" s="132" t="s">
        <v>513</v>
      </c>
      <c r="AR2" s="132" t="s">
        <v>514</v>
      </c>
      <c r="AS2" s="132" t="s">
        <v>515</v>
      </c>
      <c r="AT2" s="132" t="s">
        <v>516</v>
      </c>
      <c r="AU2" s="132" t="s">
        <v>517</v>
      </c>
      <c r="AV2" s="132" t="s">
        <v>518</v>
      </c>
      <c r="AW2" s="132" t="s">
        <v>519</v>
      </c>
      <c r="AX2" s="132" t="s">
        <v>520</v>
      </c>
      <c r="AY2" s="132" t="s">
        <v>521</v>
      </c>
      <c r="AZ2" s="132" t="s">
        <v>522</v>
      </c>
      <c r="BA2" s="132" t="s">
        <v>523</v>
      </c>
      <c r="BB2" s="132" t="s">
        <v>524</v>
      </c>
      <c r="BC2" s="132" t="s">
        <v>525</v>
      </c>
      <c r="BD2" s="132" t="s">
        <v>526</v>
      </c>
      <c r="BE2" s="132" t="s">
        <v>527</v>
      </c>
      <c r="BF2" s="132" t="s">
        <v>528</v>
      </c>
      <c r="BG2" s="132" t="s">
        <v>529</v>
      </c>
      <c r="BH2" s="132" t="s">
        <v>530</v>
      </c>
      <c r="BI2" s="132" t="s">
        <v>531</v>
      </c>
      <c r="BJ2" s="132" t="s">
        <v>532</v>
      </c>
      <c r="BK2" s="132" t="s">
        <v>533</v>
      </c>
      <c r="BL2" s="132" t="s">
        <v>534</v>
      </c>
      <c r="BM2" s="132" t="s">
        <v>535</v>
      </c>
      <c r="BN2" s="132" t="s">
        <v>536</v>
      </c>
      <c r="BO2" s="132" t="s">
        <v>537</v>
      </c>
      <c r="BP2" s="132" t="s">
        <v>538</v>
      </c>
      <c r="BQ2" s="132" t="s">
        <v>539</v>
      </c>
      <c r="BR2" s="132" t="s">
        <v>540</v>
      </c>
      <c r="BS2" s="132" t="s">
        <v>541</v>
      </c>
      <c r="BT2" s="132" t="s">
        <v>542</v>
      </c>
      <c r="BU2" s="132" t="s">
        <v>543</v>
      </c>
    </row>
    <row r="3" spans="1:576" hidden="1" x14ac:dyDescent="0.25">
      <c r="AH3" s="95">
        <v>2500</v>
      </c>
      <c r="AI3" s="95">
        <v>1900</v>
      </c>
      <c r="AJ3" s="95">
        <v>1650</v>
      </c>
      <c r="AK3" s="95">
        <v>1580</v>
      </c>
      <c r="AL3" s="95">
        <v>2250</v>
      </c>
      <c r="AM3" s="95">
        <v>1650</v>
      </c>
      <c r="AN3" s="95">
        <v>1400</v>
      </c>
      <c r="AO3" s="95">
        <v>1340</v>
      </c>
      <c r="AP3" s="95">
        <v>2000</v>
      </c>
      <c r="AQ3" s="95">
        <v>1400</v>
      </c>
      <c r="AR3" s="95">
        <v>1150</v>
      </c>
      <c r="AS3" s="95">
        <v>1100</v>
      </c>
      <c r="AT3" s="95">
        <v>1750</v>
      </c>
      <c r="AU3" s="95">
        <v>1150</v>
      </c>
      <c r="AV3" s="95">
        <v>900</v>
      </c>
      <c r="AW3" s="95">
        <v>860</v>
      </c>
      <c r="AX3" s="95">
        <v>1200</v>
      </c>
      <c r="AY3" s="95">
        <v>900</v>
      </c>
      <c r="AZ3" s="95">
        <v>650</v>
      </c>
      <c r="BA3" s="95">
        <v>620</v>
      </c>
      <c r="BB3" s="95">
        <v>5355</v>
      </c>
      <c r="BC3" s="95">
        <v>4935</v>
      </c>
      <c r="BD3" s="95">
        <v>6300</v>
      </c>
      <c r="BE3" s="95">
        <v>5880</v>
      </c>
      <c r="BF3" s="95">
        <v>4725</v>
      </c>
      <c r="BG3" s="95">
        <v>4305</v>
      </c>
      <c r="BH3" s="95">
        <v>5670</v>
      </c>
      <c r="BI3" s="95">
        <v>5250</v>
      </c>
      <c r="BJ3" s="95">
        <v>4095</v>
      </c>
      <c r="BK3" s="95">
        <v>3780</v>
      </c>
      <c r="BL3" s="95">
        <v>5040</v>
      </c>
      <c r="BM3" s="95">
        <v>4620</v>
      </c>
      <c r="BN3" s="95">
        <v>3465</v>
      </c>
      <c r="BO3" s="95">
        <v>3150</v>
      </c>
      <c r="BP3" s="95">
        <v>4410</v>
      </c>
      <c r="BQ3" s="95">
        <v>4095</v>
      </c>
      <c r="BR3" s="95">
        <v>3045</v>
      </c>
      <c r="BS3" s="95">
        <v>2835</v>
      </c>
      <c r="BT3" s="95">
        <v>3885</v>
      </c>
      <c r="BU3" s="95">
        <v>3570</v>
      </c>
    </row>
    <row r="4" spans="1:576" ht="15.75" thickBot="1" x14ac:dyDescent="0.3"/>
    <row r="5" spans="1:576" ht="53.25" thickBot="1" x14ac:dyDescent="0.3">
      <c r="C5" s="96" t="s">
        <v>503</v>
      </c>
      <c r="D5" s="213">
        <f>SUMIF(C:C,$C$10,D:D)</f>
        <v>0</v>
      </c>
    </row>
    <row r="6" spans="1:576" x14ac:dyDescent="0.25">
      <c r="C6" s="117"/>
      <c r="D6" s="117"/>
      <c r="E6" s="117"/>
      <c r="F6" s="117"/>
      <c r="G6" s="86"/>
      <c r="H6" s="117"/>
      <c r="I6" s="117"/>
    </row>
    <row r="7" spans="1:576" x14ac:dyDescent="0.25">
      <c r="C7" s="117"/>
      <c r="D7" s="117"/>
      <c r="E7" s="117"/>
      <c r="F7" s="117"/>
      <c r="G7" s="86"/>
      <c r="H7" s="117"/>
      <c r="I7" s="117"/>
    </row>
    <row r="8" spans="1:576" x14ac:dyDescent="0.25">
      <c r="C8" s="117"/>
      <c r="D8" s="117"/>
      <c r="E8" s="117"/>
      <c r="F8" s="117"/>
      <c r="G8" s="86"/>
      <c r="H8" s="117"/>
      <c r="I8" s="117"/>
    </row>
    <row r="9" spans="1:576" ht="15.75" thickBot="1" x14ac:dyDescent="0.3">
      <c r="C9" s="117"/>
      <c r="D9" s="117"/>
      <c r="E9" s="117"/>
      <c r="F9" s="117"/>
      <c r="G9" s="86"/>
      <c r="H9" s="117"/>
      <c r="I9" s="117"/>
      <c r="K9" s="187"/>
    </row>
    <row r="10" spans="1:576" ht="32.25" thickBot="1" x14ac:dyDescent="0.3">
      <c r="A10" s="365" t="s">
        <v>471</v>
      </c>
      <c r="B10" s="218" t="s">
        <v>472</v>
      </c>
      <c r="C10" s="167" t="s">
        <v>53</v>
      </c>
      <c r="D10" s="118">
        <f>SUM(F17:F51)</f>
        <v>0</v>
      </c>
      <c r="G10" s="87"/>
      <c r="H10" s="69"/>
      <c r="I10" s="69"/>
    </row>
    <row r="11" spans="1:576" ht="18.75" x14ac:dyDescent="0.25">
      <c r="A11" s="220" t="e">
        <f>IFERROR(VLOOKUP(B10,#REF!,2,FALSE),IFERROR(VLOOKUP(B10,#REF!,2,FALSE),IFERROR(VLOOKUP(B10,#REF!,2,FALSE),IFERROR(VLOOKUP(B10,'Docencia y Recursos Humanos '!$F:$G,2,FALSE),IFERROR(VLOOKUP(B10,Estudiantes!$E:$F,2,FALSE),IFERROR(VLOOKUP(B10,'Gestion Administrativa'!$E:$F,2,FALSE),IFERROR(VLOOKUP(B10,#REF!,2,FALSE),IFERROR(VLOOKUP(B10,#REF!,2,FALSE),IFERROR(VLOOKUP(B10,#REF!,2,FALSE),IFERROR(VLOOKUP(B10,#REF!,2,FALSE),IFERROR(VLOOKUP(B10,#REF!,2,FALSE),VLOOKUP(B10,#REF!,2,0))))))))))))</f>
        <v>#REF!</v>
      </c>
      <c r="B11" s="31"/>
      <c r="G11" s="87"/>
      <c r="H11" s="69"/>
      <c r="I11" s="69"/>
    </row>
    <row r="12" spans="1:576" x14ac:dyDescent="0.25">
      <c r="F12" s="69"/>
      <c r="G12" s="87"/>
      <c r="H12" s="69"/>
      <c r="I12" s="69"/>
    </row>
    <row r="13" spans="1:576" x14ac:dyDescent="0.25">
      <c r="F13" s="69"/>
      <c r="G13" s="87"/>
      <c r="H13" s="69"/>
      <c r="I13" s="69"/>
    </row>
    <row r="14" spans="1:576" x14ac:dyDescent="0.25">
      <c r="F14" s="69"/>
      <c r="G14" s="87"/>
      <c r="H14" s="69"/>
      <c r="I14" s="69"/>
    </row>
    <row r="15" spans="1:576" ht="42.75" thickBot="1" x14ac:dyDescent="0.3">
      <c r="F15" s="103"/>
      <c r="G15" s="84"/>
      <c r="H15" s="84"/>
      <c r="I15" s="84"/>
      <c r="L15" s="239"/>
      <c r="M15" s="240"/>
      <c r="N15" s="239"/>
      <c r="O15" s="239"/>
      <c r="P15" s="242" t="s">
        <v>556</v>
      </c>
      <c r="Q15" s="242" t="s">
        <v>557</v>
      </c>
    </row>
    <row r="16" spans="1:576" ht="30.75" thickBot="1" x14ac:dyDescent="0.3">
      <c r="C16" s="139" t="s">
        <v>44</v>
      </c>
      <c r="D16" s="139" t="s">
        <v>55</v>
      </c>
      <c r="E16" s="146" t="s">
        <v>57</v>
      </c>
      <c r="F16" s="145" t="s">
        <v>27</v>
      </c>
      <c r="G16" s="143" t="s">
        <v>208</v>
      </c>
      <c r="H16" s="146" t="s">
        <v>46</v>
      </c>
      <c r="I16" s="143" t="s">
        <v>209</v>
      </c>
      <c r="J16" s="143" t="s">
        <v>491</v>
      </c>
      <c r="K16" s="143" t="s">
        <v>492</v>
      </c>
      <c r="L16" s="236" t="s">
        <v>21</v>
      </c>
      <c r="M16" s="236" t="s">
        <v>55</v>
      </c>
      <c r="N16" s="237" t="s">
        <v>554</v>
      </c>
      <c r="O16" s="238" t="s">
        <v>555</v>
      </c>
      <c r="P16" s="241">
        <v>0.7</v>
      </c>
      <c r="Q16" s="241">
        <v>0.3</v>
      </c>
    </row>
    <row r="17" spans="3:17" x14ac:dyDescent="0.25">
      <c r="C17" s="233" t="s">
        <v>523</v>
      </c>
      <c r="D17" s="234"/>
      <c r="E17" s="232">
        <f>HLOOKUP(C17,$AH$2:$BU$3,2,0)</f>
        <v>620</v>
      </c>
      <c r="F17" s="107">
        <f t="shared" ref="F17:F51" si="0">D17*E17</f>
        <v>0</v>
      </c>
      <c r="G17" s="171" t="s">
        <v>207</v>
      </c>
      <c r="H17" s="152"/>
      <c r="I17" s="140" t="e">
        <f>VLOOKUP(H17,Presupuesto!$B$8:$C$583,2,0)</f>
        <v>#N/A</v>
      </c>
      <c r="J17" s="231" t="s">
        <v>201</v>
      </c>
      <c r="K17" s="108" t="s">
        <v>475</v>
      </c>
      <c r="L17" s="151" t="s">
        <v>156</v>
      </c>
      <c r="M17" s="168"/>
      <c r="N17" s="133">
        <v>200</v>
      </c>
      <c r="O17" s="107">
        <f t="shared" ref="O17:O51" si="1">M17*N17</f>
        <v>0</v>
      </c>
      <c r="P17" s="107">
        <f>$O17*P$16</f>
        <v>0</v>
      </c>
      <c r="Q17" s="107">
        <f t="shared" ref="Q17:Q51" si="2">$O17*Q$16</f>
        <v>0</v>
      </c>
    </row>
    <row r="18" spans="3:17" x14ac:dyDescent="0.25">
      <c r="C18" s="151" t="s">
        <v>156</v>
      </c>
      <c r="D18" s="168"/>
      <c r="E18" s="133"/>
      <c r="F18" s="107">
        <f t="shared" si="0"/>
        <v>0</v>
      </c>
      <c r="G18" s="171"/>
      <c r="H18" s="152">
        <v>42500</v>
      </c>
      <c r="I18" s="140" t="e">
        <f>VLOOKUP(H18,Presupuesto!$B$8:$C$583,2,0)</f>
        <v>#N/A</v>
      </c>
      <c r="J18" s="108" t="str">
        <f>$J$17</f>
        <v>Desarrollo Curricular</v>
      </c>
      <c r="K18" s="108" t="s">
        <v>493</v>
      </c>
      <c r="L18" s="151" t="s">
        <v>156</v>
      </c>
      <c r="M18" s="168"/>
      <c r="N18" s="133">
        <v>100</v>
      </c>
      <c r="O18" s="107">
        <f t="shared" si="1"/>
        <v>0</v>
      </c>
      <c r="P18" s="107">
        <f t="shared" ref="P18:P37" si="3">$O18*P$16</f>
        <v>0</v>
      </c>
      <c r="Q18" s="107">
        <f t="shared" si="2"/>
        <v>0</v>
      </c>
    </row>
    <row r="19" spans="3:17" x14ac:dyDescent="0.25">
      <c r="C19" s="151" t="s">
        <v>157</v>
      </c>
      <c r="D19" s="168"/>
      <c r="E19" s="133"/>
      <c r="F19" s="107">
        <f t="shared" si="0"/>
        <v>0</v>
      </c>
      <c r="G19" s="171"/>
      <c r="H19" s="152">
        <v>42500</v>
      </c>
      <c r="I19" s="140" t="e">
        <f>VLOOKUP(H19,Presupuesto!$B$8:$C$583,2,0)</f>
        <v>#N/A</v>
      </c>
      <c r="J19" s="108" t="str">
        <f t="shared" ref="J19:J50" si="4">$J$17</f>
        <v>Desarrollo Curricular</v>
      </c>
      <c r="K19" s="108" t="s">
        <v>493</v>
      </c>
      <c r="L19" s="151" t="s">
        <v>157</v>
      </c>
      <c r="M19" s="168"/>
      <c r="N19" s="133"/>
      <c r="O19" s="107">
        <f t="shared" si="1"/>
        <v>0</v>
      </c>
      <c r="P19" s="107">
        <f t="shared" si="3"/>
        <v>0</v>
      </c>
      <c r="Q19" s="107">
        <f t="shared" si="2"/>
        <v>0</v>
      </c>
    </row>
    <row r="20" spans="3:17" x14ac:dyDescent="0.25">
      <c r="C20" s="151" t="s">
        <v>158</v>
      </c>
      <c r="D20" s="168"/>
      <c r="E20" s="133"/>
      <c r="F20" s="107">
        <f t="shared" si="0"/>
        <v>0</v>
      </c>
      <c r="G20" s="171"/>
      <c r="H20" s="152">
        <v>42500</v>
      </c>
      <c r="I20" s="140" t="e">
        <f>VLOOKUP(H20,Presupuesto!$B$8:$C$583,2,0)</f>
        <v>#N/A</v>
      </c>
      <c r="J20" s="108" t="str">
        <f t="shared" si="4"/>
        <v>Desarrollo Curricular</v>
      </c>
      <c r="K20" s="108" t="s">
        <v>493</v>
      </c>
      <c r="L20" s="151" t="s">
        <v>158</v>
      </c>
      <c r="M20" s="168"/>
      <c r="N20" s="133"/>
      <c r="O20" s="107">
        <f t="shared" si="1"/>
        <v>0</v>
      </c>
      <c r="P20" s="107">
        <f t="shared" si="3"/>
        <v>0</v>
      </c>
      <c r="Q20" s="107">
        <f t="shared" si="2"/>
        <v>0</v>
      </c>
    </row>
    <row r="21" spans="3:17" x14ac:dyDescent="0.25">
      <c r="C21" s="151" t="s">
        <v>159</v>
      </c>
      <c r="D21" s="168"/>
      <c r="E21" s="133"/>
      <c r="F21" s="107">
        <f t="shared" si="0"/>
        <v>0</v>
      </c>
      <c r="G21" s="171"/>
      <c r="H21" s="152">
        <v>42500</v>
      </c>
      <c r="I21" s="140" t="e">
        <f>VLOOKUP(H21,Presupuesto!$B$8:$C$583,2,0)</f>
        <v>#N/A</v>
      </c>
      <c r="J21" s="108" t="str">
        <f t="shared" si="4"/>
        <v>Desarrollo Curricular</v>
      </c>
      <c r="K21" s="108" t="s">
        <v>493</v>
      </c>
      <c r="L21" s="151" t="s">
        <v>159</v>
      </c>
      <c r="M21" s="168"/>
      <c r="N21" s="133"/>
      <c r="O21" s="107">
        <f t="shared" si="1"/>
        <v>0</v>
      </c>
      <c r="P21" s="107">
        <f t="shared" si="3"/>
        <v>0</v>
      </c>
      <c r="Q21" s="107">
        <f t="shared" si="2"/>
        <v>0</v>
      </c>
    </row>
    <row r="22" spans="3:17" x14ac:dyDescent="0.25">
      <c r="C22" s="151" t="s">
        <v>160</v>
      </c>
      <c r="D22" s="168"/>
      <c r="E22" s="133"/>
      <c r="F22" s="107">
        <f t="shared" si="0"/>
        <v>0</v>
      </c>
      <c r="G22" s="171"/>
      <c r="H22" s="152">
        <v>42500</v>
      </c>
      <c r="I22" s="140" t="e">
        <f>VLOOKUP(H22,Presupuesto!$B$8:$C$583,2,0)</f>
        <v>#N/A</v>
      </c>
      <c r="J22" s="108" t="str">
        <f t="shared" si="4"/>
        <v>Desarrollo Curricular</v>
      </c>
      <c r="K22" s="108" t="s">
        <v>482</v>
      </c>
      <c r="L22" s="151" t="s">
        <v>160</v>
      </c>
      <c r="M22" s="168"/>
      <c r="N22" s="133"/>
      <c r="O22" s="107">
        <f t="shared" si="1"/>
        <v>0</v>
      </c>
      <c r="P22" s="107">
        <f t="shared" si="3"/>
        <v>0</v>
      </c>
      <c r="Q22" s="107">
        <f t="shared" si="2"/>
        <v>0</v>
      </c>
    </row>
    <row r="23" spans="3:17" x14ac:dyDescent="0.25">
      <c r="C23" s="151" t="s">
        <v>161</v>
      </c>
      <c r="D23" s="168"/>
      <c r="E23" s="133"/>
      <c r="F23" s="107">
        <f t="shared" si="0"/>
        <v>0</v>
      </c>
      <c r="G23" s="171"/>
      <c r="H23" s="152">
        <v>42500</v>
      </c>
      <c r="I23" s="140" t="e">
        <f>VLOOKUP(H23,Presupuesto!$B$8:$C$583,2,0)</f>
        <v>#N/A</v>
      </c>
      <c r="J23" s="108" t="str">
        <f t="shared" si="4"/>
        <v>Desarrollo Curricular</v>
      </c>
      <c r="K23" s="108" t="s">
        <v>493</v>
      </c>
      <c r="L23" s="151" t="s">
        <v>161</v>
      </c>
      <c r="M23" s="168"/>
      <c r="N23" s="133"/>
      <c r="O23" s="107">
        <f t="shared" si="1"/>
        <v>0</v>
      </c>
      <c r="P23" s="107">
        <f t="shared" si="3"/>
        <v>0</v>
      </c>
      <c r="Q23" s="107">
        <f t="shared" si="2"/>
        <v>0</v>
      </c>
    </row>
    <row r="24" spans="3:17" x14ac:dyDescent="0.25">
      <c r="C24" s="151" t="s">
        <v>162</v>
      </c>
      <c r="D24" s="168"/>
      <c r="E24" s="133"/>
      <c r="F24" s="107">
        <f t="shared" si="0"/>
        <v>0</v>
      </c>
      <c r="G24" s="171"/>
      <c r="H24" s="152">
        <v>35600</v>
      </c>
      <c r="I24" s="140" t="e">
        <f>VLOOKUP(H24,Presupuesto!$B$8:$C$583,2,0)</f>
        <v>#N/A</v>
      </c>
      <c r="J24" s="108" t="str">
        <f t="shared" si="4"/>
        <v>Desarrollo Curricular</v>
      </c>
      <c r="K24" s="108" t="s">
        <v>493</v>
      </c>
      <c r="L24" s="151" t="s">
        <v>162</v>
      </c>
      <c r="M24" s="168"/>
      <c r="N24" s="133"/>
      <c r="O24" s="107">
        <f t="shared" si="1"/>
        <v>0</v>
      </c>
      <c r="P24" s="107">
        <f t="shared" si="3"/>
        <v>0</v>
      </c>
      <c r="Q24" s="107">
        <f t="shared" si="2"/>
        <v>0</v>
      </c>
    </row>
    <row r="25" spans="3:17" x14ac:dyDescent="0.25">
      <c r="C25" s="151"/>
      <c r="D25" s="168"/>
      <c r="E25" s="133"/>
      <c r="F25" s="107">
        <f t="shared" si="0"/>
        <v>0</v>
      </c>
      <c r="G25" s="171"/>
      <c r="H25" s="152"/>
      <c r="I25" s="140" t="e">
        <f>VLOOKUP(H25,Presupuesto!$B$8:$C$583,2,0)</f>
        <v>#N/A</v>
      </c>
      <c r="J25" s="108" t="str">
        <f t="shared" si="4"/>
        <v>Desarrollo Curricular</v>
      </c>
      <c r="K25" s="108" t="s">
        <v>493</v>
      </c>
      <c r="L25" s="151"/>
      <c r="M25" s="168"/>
      <c r="N25" s="133"/>
      <c r="O25" s="107">
        <f t="shared" si="1"/>
        <v>0</v>
      </c>
      <c r="P25" s="107">
        <f t="shared" si="3"/>
        <v>0</v>
      </c>
      <c r="Q25" s="107">
        <f t="shared" si="2"/>
        <v>0</v>
      </c>
    </row>
    <row r="26" spans="3:17" x14ac:dyDescent="0.25">
      <c r="C26" s="151"/>
      <c r="D26" s="168"/>
      <c r="E26" s="133"/>
      <c r="F26" s="107">
        <f t="shared" si="0"/>
        <v>0</v>
      </c>
      <c r="G26" s="171"/>
      <c r="H26" s="152"/>
      <c r="I26" s="140" t="e">
        <f>VLOOKUP(H26,Presupuesto!$B$8:$C$583,2,0)</f>
        <v>#N/A</v>
      </c>
      <c r="J26" s="108" t="str">
        <f t="shared" si="4"/>
        <v>Desarrollo Curricular</v>
      </c>
      <c r="K26" s="108" t="s">
        <v>493</v>
      </c>
      <c r="L26" s="151"/>
      <c r="M26" s="168"/>
      <c r="N26" s="133"/>
      <c r="O26" s="107">
        <f t="shared" si="1"/>
        <v>0</v>
      </c>
      <c r="P26" s="107">
        <f t="shared" si="3"/>
        <v>0</v>
      </c>
      <c r="Q26" s="107">
        <f t="shared" si="2"/>
        <v>0</v>
      </c>
    </row>
    <row r="27" spans="3:17" x14ac:dyDescent="0.25">
      <c r="C27" s="151"/>
      <c r="D27" s="168"/>
      <c r="E27" s="133"/>
      <c r="F27" s="107">
        <f t="shared" si="0"/>
        <v>0</v>
      </c>
      <c r="G27" s="171"/>
      <c r="H27" s="152"/>
      <c r="I27" s="140" t="e">
        <f>VLOOKUP(H27,Presupuesto!$B$8:$C$583,2,0)</f>
        <v>#N/A</v>
      </c>
      <c r="J27" s="108" t="str">
        <f t="shared" si="4"/>
        <v>Desarrollo Curricular</v>
      </c>
      <c r="K27" s="108" t="s">
        <v>493</v>
      </c>
      <c r="L27" s="151"/>
      <c r="M27" s="168"/>
      <c r="N27" s="133"/>
      <c r="O27" s="107">
        <f t="shared" si="1"/>
        <v>0</v>
      </c>
      <c r="P27" s="107">
        <f t="shared" si="3"/>
        <v>0</v>
      </c>
      <c r="Q27" s="107">
        <f t="shared" si="2"/>
        <v>0</v>
      </c>
    </row>
    <row r="28" spans="3:17" x14ac:dyDescent="0.25">
      <c r="C28" s="151"/>
      <c r="D28" s="168"/>
      <c r="E28" s="133"/>
      <c r="F28" s="107">
        <f t="shared" si="0"/>
        <v>0</v>
      </c>
      <c r="G28" s="171"/>
      <c r="H28" s="152"/>
      <c r="I28" s="140" t="e">
        <f>VLOOKUP(H28,Presupuesto!$B$8:$C$583,2,0)</f>
        <v>#N/A</v>
      </c>
      <c r="J28" s="108" t="str">
        <f t="shared" si="4"/>
        <v>Desarrollo Curricular</v>
      </c>
      <c r="K28" s="108" t="s">
        <v>493</v>
      </c>
      <c r="L28" s="151"/>
      <c r="M28" s="168"/>
      <c r="N28" s="133"/>
      <c r="O28" s="107">
        <f t="shared" si="1"/>
        <v>0</v>
      </c>
      <c r="P28" s="107">
        <f t="shared" si="3"/>
        <v>0</v>
      </c>
      <c r="Q28" s="107">
        <f t="shared" si="2"/>
        <v>0</v>
      </c>
    </row>
    <row r="29" spans="3:17" x14ac:dyDescent="0.25">
      <c r="C29" s="151"/>
      <c r="D29" s="168"/>
      <c r="E29" s="133"/>
      <c r="F29" s="107">
        <f t="shared" si="0"/>
        <v>0</v>
      </c>
      <c r="G29" s="171"/>
      <c r="H29" s="152"/>
      <c r="I29" s="140" t="e">
        <f>VLOOKUP(H29,Presupuesto!$B$8:$C$583,2,0)</f>
        <v>#N/A</v>
      </c>
      <c r="J29" s="108" t="str">
        <f t="shared" si="4"/>
        <v>Desarrollo Curricular</v>
      </c>
      <c r="K29" s="108" t="s">
        <v>493</v>
      </c>
      <c r="L29" s="151"/>
      <c r="M29" s="168"/>
      <c r="N29" s="133"/>
      <c r="O29" s="107">
        <f t="shared" si="1"/>
        <v>0</v>
      </c>
      <c r="P29" s="107">
        <f t="shared" si="3"/>
        <v>0</v>
      </c>
      <c r="Q29" s="107">
        <f t="shared" si="2"/>
        <v>0</v>
      </c>
    </row>
    <row r="30" spans="3:17" x14ac:dyDescent="0.25">
      <c r="C30" s="151"/>
      <c r="D30" s="168"/>
      <c r="E30" s="133"/>
      <c r="F30" s="107">
        <f t="shared" si="0"/>
        <v>0</v>
      </c>
      <c r="G30" s="171"/>
      <c r="H30" s="152"/>
      <c r="I30" s="140" t="e">
        <f>VLOOKUP(H30,Presupuesto!$B$8:$C$583,2,0)</f>
        <v>#N/A</v>
      </c>
      <c r="J30" s="108" t="str">
        <f t="shared" si="4"/>
        <v>Desarrollo Curricular</v>
      </c>
      <c r="K30" s="108" t="s">
        <v>493</v>
      </c>
      <c r="L30" s="151"/>
      <c r="M30" s="168"/>
      <c r="N30" s="133"/>
      <c r="O30" s="107">
        <f t="shared" si="1"/>
        <v>0</v>
      </c>
      <c r="P30" s="107">
        <f t="shared" si="3"/>
        <v>0</v>
      </c>
      <c r="Q30" s="107">
        <f t="shared" si="2"/>
        <v>0</v>
      </c>
    </row>
    <row r="31" spans="3:17" x14ac:dyDescent="0.25">
      <c r="C31" s="151"/>
      <c r="D31" s="168"/>
      <c r="E31" s="133"/>
      <c r="F31" s="107">
        <f t="shared" si="0"/>
        <v>0</v>
      </c>
      <c r="G31" s="171"/>
      <c r="H31" s="152"/>
      <c r="I31" s="140" t="e">
        <f>VLOOKUP(H31,Presupuesto!$B$8:$C$583,2,0)</f>
        <v>#N/A</v>
      </c>
      <c r="J31" s="108" t="str">
        <f t="shared" si="4"/>
        <v>Desarrollo Curricular</v>
      </c>
      <c r="K31" s="108" t="s">
        <v>493</v>
      </c>
      <c r="L31" s="151"/>
      <c r="M31" s="168"/>
      <c r="N31" s="133"/>
      <c r="O31" s="107">
        <f t="shared" si="1"/>
        <v>0</v>
      </c>
      <c r="P31" s="107">
        <f t="shared" si="3"/>
        <v>0</v>
      </c>
      <c r="Q31" s="107">
        <f t="shared" si="2"/>
        <v>0</v>
      </c>
    </row>
    <row r="32" spans="3:17" x14ac:dyDescent="0.25">
      <c r="C32" s="151"/>
      <c r="D32" s="168"/>
      <c r="E32" s="133"/>
      <c r="F32" s="107">
        <f t="shared" si="0"/>
        <v>0</v>
      </c>
      <c r="G32" s="171"/>
      <c r="H32" s="152"/>
      <c r="I32" s="140" t="e">
        <f>VLOOKUP(H32,Presupuesto!$B$8:$C$583,2,0)</f>
        <v>#N/A</v>
      </c>
      <c r="J32" s="108" t="str">
        <f t="shared" si="4"/>
        <v>Desarrollo Curricular</v>
      </c>
      <c r="K32" s="108" t="s">
        <v>493</v>
      </c>
      <c r="L32" s="151"/>
      <c r="M32" s="168"/>
      <c r="N32" s="133"/>
      <c r="O32" s="107">
        <f t="shared" si="1"/>
        <v>0</v>
      </c>
      <c r="P32" s="107">
        <f t="shared" si="3"/>
        <v>0</v>
      </c>
      <c r="Q32" s="107">
        <f t="shared" si="2"/>
        <v>0</v>
      </c>
    </row>
    <row r="33" spans="3:17" x14ac:dyDescent="0.25">
      <c r="C33" s="151"/>
      <c r="D33" s="168"/>
      <c r="E33" s="133"/>
      <c r="F33" s="107">
        <f t="shared" si="0"/>
        <v>0</v>
      </c>
      <c r="G33" s="171"/>
      <c r="H33" s="152"/>
      <c r="I33" s="140" t="e">
        <f>VLOOKUP(H33,Presupuesto!$B$8:$C$583,2,0)</f>
        <v>#N/A</v>
      </c>
      <c r="J33" s="108" t="str">
        <f t="shared" si="4"/>
        <v>Desarrollo Curricular</v>
      </c>
      <c r="K33" s="108" t="s">
        <v>493</v>
      </c>
      <c r="L33" s="151"/>
      <c r="M33" s="168"/>
      <c r="N33" s="133"/>
      <c r="O33" s="107">
        <f t="shared" si="1"/>
        <v>0</v>
      </c>
      <c r="P33" s="107">
        <f t="shared" si="3"/>
        <v>0</v>
      </c>
      <c r="Q33" s="107">
        <f t="shared" si="2"/>
        <v>0</v>
      </c>
    </row>
    <row r="34" spans="3:17" x14ac:dyDescent="0.25">
      <c r="C34" s="151"/>
      <c r="D34" s="168"/>
      <c r="E34" s="133"/>
      <c r="F34" s="107">
        <f t="shared" si="0"/>
        <v>0</v>
      </c>
      <c r="G34" s="171"/>
      <c r="H34" s="152"/>
      <c r="I34" s="140" t="e">
        <f>VLOOKUP(H34,Presupuesto!$B$8:$C$583,2,0)</f>
        <v>#N/A</v>
      </c>
      <c r="J34" s="108" t="str">
        <f t="shared" si="4"/>
        <v>Desarrollo Curricular</v>
      </c>
      <c r="K34" s="108" t="s">
        <v>493</v>
      </c>
      <c r="L34" s="151"/>
      <c r="M34" s="168"/>
      <c r="N34" s="133"/>
      <c r="O34" s="107">
        <f t="shared" si="1"/>
        <v>0</v>
      </c>
      <c r="P34" s="107">
        <f t="shared" si="3"/>
        <v>0</v>
      </c>
      <c r="Q34" s="107">
        <f t="shared" si="2"/>
        <v>0</v>
      </c>
    </row>
    <row r="35" spans="3:17" x14ac:dyDescent="0.25">
      <c r="C35" s="151"/>
      <c r="D35" s="168"/>
      <c r="E35" s="133"/>
      <c r="F35" s="107">
        <f t="shared" si="0"/>
        <v>0</v>
      </c>
      <c r="G35" s="171"/>
      <c r="H35" s="152"/>
      <c r="I35" s="140" t="e">
        <f>VLOOKUP(H35,Presupuesto!$B$8:$C$583,2,0)</f>
        <v>#N/A</v>
      </c>
      <c r="J35" s="108" t="str">
        <f t="shared" si="4"/>
        <v>Desarrollo Curricular</v>
      </c>
      <c r="K35" s="108" t="s">
        <v>493</v>
      </c>
      <c r="L35" s="151"/>
      <c r="M35" s="168"/>
      <c r="N35" s="133"/>
      <c r="O35" s="107">
        <f t="shared" si="1"/>
        <v>0</v>
      </c>
      <c r="P35" s="107">
        <f t="shared" si="3"/>
        <v>0</v>
      </c>
      <c r="Q35" s="107">
        <f t="shared" si="2"/>
        <v>0</v>
      </c>
    </row>
    <row r="36" spans="3:17" x14ac:dyDescent="0.25">
      <c r="C36" s="151"/>
      <c r="D36" s="168"/>
      <c r="E36" s="133"/>
      <c r="F36" s="107">
        <f t="shared" si="0"/>
        <v>0</v>
      </c>
      <c r="G36" s="171"/>
      <c r="H36" s="152"/>
      <c r="I36" s="140" t="e">
        <f>VLOOKUP(H36,Presupuesto!$B$8:$C$583,2,0)</f>
        <v>#N/A</v>
      </c>
      <c r="J36" s="108" t="str">
        <f t="shared" si="4"/>
        <v>Desarrollo Curricular</v>
      </c>
      <c r="K36" s="108" t="s">
        <v>493</v>
      </c>
      <c r="L36" s="151"/>
      <c r="M36" s="168"/>
      <c r="N36" s="133"/>
      <c r="O36" s="107">
        <f t="shared" si="1"/>
        <v>0</v>
      </c>
      <c r="P36" s="107">
        <f t="shared" si="3"/>
        <v>0</v>
      </c>
      <c r="Q36" s="107">
        <f t="shared" si="2"/>
        <v>0</v>
      </c>
    </row>
    <row r="37" spans="3:17" x14ac:dyDescent="0.25">
      <c r="C37" s="151"/>
      <c r="D37" s="168"/>
      <c r="E37" s="133"/>
      <c r="F37" s="107">
        <f t="shared" si="0"/>
        <v>0</v>
      </c>
      <c r="G37" s="171"/>
      <c r="H37" s="152"/>
      <c r="I37" s="140" t="e">
        <f>VLOOKUP(H37,Presupuesto!$B$8:$C$583,2,0)</f>
        <v>#N/A</v>
      </c>
      <c r="J37" s="108" t="str">
        <f t="shared" si="4"/>
        <v>Desarrollo Curricular</v>
      </c>
      <c r="K37" s="108" t="s">
        <v>493</v>
      </c>
      <c r="L37" s="151"/>
      <c r="M37" s="168"/>
      <c r="N37" s="133"/>
      <c r="O37" s="107">
        <f t="shared" si="1"/>
        <v>0</v>
      </c>
      <c r="P37" s="107">
        <f t="shared" si="3"/>
        <v>0</v>
      </c>
      <c r="Q37" s="107">
        <f t="shared" si="2"/>
        <v>0</v>
      </c>
    </row>
    <row r="38" spans="3:17" x14ac:dyDescent="0.25">
      <c r="C38" s="151"/>
      <c r="D38" s="168"/>
      <c r="E38" s="133"/>
      <c r="F38" s="107">
        <f t="shared" si="0"/>
        <v>0</v>
      </c>
      <c r="G38" s="171"/>
      <c r="H38" s="152"/>
      <c r="I38" s="140" t="e">
        <f>VLOOKUP(H38,Presupuesto!$B$8:$C$583,2,0)</f>
        <v>#N/A</v>
      </c>
      <c r="J38" s="108" t="str">
        <f t="shared" si="4"/>
        <v>Desarrollo Curricular</v>
      </c>
      <c r="K38" s="108" t="s">
        <v>493</v>
      </c>
      <c r="L38" s="151"/>
      <c r="M38" s="168"/>
      <c r="N38" s="133"/>
      <c r="O38" s="107">
        <f t="shared" si="1"/>
        <v>0</v>
      </c>
      <c r="P38" s="107">
        <f t="shared" ref="P38:P51" si="5">$O38*P$16</f>
        <v>0</v>
      </c>
      <c r="Q38" s="107">
        <f t="shared" si="2"/>
        <v>0</v>
      </c>
    </row>
    <row r="39" spans="3:17" x14ac:dyDescent="0.25">
      <c r="C39" s="153"/>
      <c r="D39" s="161"/>
      <c r="E39" s="128"/>
      <c r="F39" s="107">
        <f t="shared" si="0"/>
        <v>0</v>
      </c>
      <c r="G39" s="171"/>
      <c r="H39" s="154"/>
      <c r="I39" s="140" t="e">
        <f>VLOOKUP(H39,Presupuesto!$B$8:$C$583,2,0)</f>
        <v>#N/A</v>
      </c>
      <c r="J39" s="108" t="str">
        <f t="shared" si="4"/>
        <v>Desarrollo Curricular</v>
      </c>
      <c r="K39" s="108" t="s">
        <v>493</v>
      </c>
      <c r="L39" s="153"/>
      <c r="M39" s="161"/>
      <c r="N39" s="128"/>
      <c r="O39" s="107">
        <f t="shared" si="1"/>
        <v>0</v>
      </c>
      <c r="P39" s="107">
        <f t="shared" si="5"/>
        <v>0</v>
      </c>
      <c r="Q39" s="107">
        <f t="shared" si="2"/>
        <v>0</v>
      </c>
    </row>
    <row r="40" spans="3:17" x14ac:dyDescent="0.25">
      <c r="C40" s="153"/>
      <c r="D40" s="161"/>
      <c r="E40" s="128"/>
      <c r="F40" s="107">
        <f t="shared" si="0"/>
        <v>0</v>
      </c>
      <c r="G40" s="171"/>
      <c r="H40" s="154"/>
      <c r="I40" s="140" t="e">
        <f>VLOOKUP(H40,Presupuesto!$B$8:$C$583,2,0)</f>
        <v>#N/A</v>
      </c>
      <c r="J40" s="108" t="str">
        <f t="shared" si="4"/>
        <v>Desarrollo Curricular</v>
      </c>
      <c r="K40" s="108" t="s">
        <v>493</v>
      </c>
      <c r="L40" s="153"/>
      <c r="M40" s="161"/>
      <c r="N40" s="128"/>
      <c r="O40" s="107">
        <f t="shared" si="1"/>
        <v>0</v>
      </c>
      <c r="P40" s="107">
        <f t="shared" si="5"/>
        <v>0</v>
      </c>
      <c r="Q40" s="107">
        <f t="shared" si="2"/>
        <v>0</v>
      </c>
    </row>
    <row r="41" spans="3:17" x14ac:dyDescent="0.25">
      <c r="C41" s="153"/>
      <c r="D41" s="161"/>
      <c r="E41" s="128"/>
      <c r="F41" s="107">
        <f t="shared" si="0"/>
        <v>0</v>
      </c>
      <c r="G41" s="171"/>
      <c r="H41" s="154"/>
      <c r="I41" s="140" t="e">
        <f>VLOOKUP(H41,Presupuesto!$B$8:$C$583,2,0)</f>
        <v>#N/A</v>
      </c>
      <c r="J41" s="108" t="str">
        <f t="shared" si="4"/>
        <v>Desarrollo Curricular</v>
      </c>
      <c r="K41" s="108" t="s">
        <v>493</v>
      </c>
      <c r="L41" s="153"/>
      <c r="M41" s="161"/>
      <c r="N41" s="128"/>
      <c r="O41" s="107">
        <f t="shared" si="1"/>
        <v>0</v>
      </c>
      <c r="P41" s="107">
        <f t="shared" si="5"/>
        <v>0</v>
      </c>
      <c r="Q41" s="107">
        <f t="shared" si="2"/>
        <v>0</v>
      </c>
    </row>
    <row r="42" spans="3:17" x14ac:dyDescent="0.25">
      <c r="C42" s="153"/>
      <c r="D42" s="161"/>
      <c r="E42" s="128"/>
      <c r="F42" s="107">
        <f t="shared" si="0"/>
        <v>0</v>
      </c>
      <c r="G42" s="171"/>
      <c r="H42" s="154"/>
      <c r="I42" s="140" t="e">
        <f>VLOOKUP(H42,Presupuesto!$B$8:$C$583,2,0)</f>
        <v>#N/A</v>
      </c>
      <c r="J42" s="108" t="str">
        <f t="shared" si="4"/>
        <v>Desarrollo Curricular</v>
      </c>
      <c r="K42" s="108" t="s">
        <v>493</v>
      </c>
      <c r="L42" s="153"/>
      <c r="M42" s="161"/>
      <c r="N42" s="128"/>
      <c r="O42" s="107">
        <f t="shared" si="1"/>
        <v>0</v>
      </c>
      <c r="P42" s="107">
        <f t="shared" si="5"/>
        <v>0</v>
      </c>
      <c r="Q42" s="107">
        <f t="shared" si="2"/>
        <v>0</v>
      </c>
    </row>
    <row r="43" spans="3:17" x14ac:dyDescent="0.25">
      <c r="C43" s="153"/>
      <c r="D43" s="161"/>
      <c r="E43" s="128"/>
      <c r="F43" s="107">
        <f t="shared" si="0"/>
        <v>0</v>
      </c>
      <c r="G43" s="171"/>
      <c r="H43" s="154"/>
      <c r="I43" s="140" t="e">
        <f>VLOOKUP(H43,Presupuesto!$B$8:$C$583,2,0)</f>
        <v>#N/A</v>
      </c>
      <c r="J43" s="108" t="str">
        <f t="shared" si="4"/>
        <v>Desarrollo Curricular</v>
      </c>
      <c r="K43" s="108" t="s">
        <v>493</v>
      </c>
      <c r="L43" s="153"/>
      <c r="M43" s="161"/>
      <c r="N43" s="128"/>
      <c r="O43" s="107">
        <f t="shared" si="1"/>
        <v>0</v>
      </c>
      <c r="P43" s="107">
        <f t="shared" si="5"/>
        <v>0</v>
      </c>
      <c r="Q43" s="107">
        <f t="shared" si="2"/>
        <v>0</v>
      </c>
    </row>
    <row r="44" spans="3:17" x14ac:dyDescent="0.25">
      <c r="C44" s="153"/>
      <c r="D44" s="161"/>
      <c r="E44" s="128"/>
      <c r="F44" s="107">
        <f t="shared" si="0"/>
        <v>0</v>
      </c>
      <c r="G44" s="171"/>
      <c r="H44" s="154"/>
      <c r="I44" s="140" t="e">
        <f>VLOOKUP(H44,Presupuesto!$B$8:$C$583,2,0)</f>
        <v>#N/A</v>
      </c>
      <c r="J44" s="108" t="str">
        <f t="shared" si="4"/>
        <v>Desarrollo Curricular</v>
      </c>
      <c r="K44" s="108" t="s">
        <v>493</v>
      </c>
      <c r="L44" s="153"/>
      <c r="M44" s="161"/>
      <c r="N44" s="128"/>
      <c r="O44" s="107">
        <f t="shared" si="1"/>
        <v>0</v>
      </c>
      <c r="P44" s="107">
        <f t="shared" si="5"/>
        <v>0</v>
      </c>
      <c r="Q44" s="107">
        <f t="shared" si="2"/>
        <v>0</v>
      </c>
    </row>
    <row r="45" spans="3:17" x14ac:dyDescent="0.25">
      <c r="C45" s="153"/>
      <c r="D45" s="161"/>
      <c r="E45" s="128"/>
      <c r="F45" s="107">
        <f t="shared" si="0"/>
        <v>0</v>
      </c>
      <c r="G45" s="171"/>
      <c r="H45" s="154"/>
      <c r="I45" s="140" t="e">
        <f>VLOOKUP(H45,Presupuesto!$B$8:$C$583,2,0)</f>
        <v>#N/A</v>
      </c>
      <c r="J45" s="108" t="str">
        <f t="shared" si="4"/>
        <v>Desarrollo Curricular</v>
      </c>
      <c r="K45" s="108" t="s">
        <v>493</v>
      </c>
      <c r="L45" s="153"/>
      <c r="M45" s="161"/>
      <c r="N45" s="128"/>
      <c r="O45" s="107">
        <f t="shared" si="1"/>
        <v>0</v>
      </c>
      <c r="P45" s="107">
        <f t="shared" si="5"/>
        <v>0</v>
      </c>
      <c r="Q45" s="107">
        <f t="shared" si="2"/>
        <v>0</v>
      </c>
    </row>
    <row r="46" spans="3:17" x14ac:dyDescent="0.25">
      <c r="C46" s="153"/>
      <c r="D46" s="161"/>
      <c r="E46" s="128"/>
      <c r="F46" s="107">
        <f t="shared" si="0"/>
        <v>0</v>
      </c>
      <c r="G46" s="171"/>
      <c r="H46" s="154"/>
      <c r="I46" s="140" t="e">
        <f>VLOOKUP(H46,Presupuesto!$B$8:$C$583,2,0)</f>
        <v>#N/A</v>
      </c>
      <c r="J46" s="108" t="str">
        <f t="shared" si="4"/>
        <v>Desarrollo Curricular</v>
      </c>
      <c r="K46" s="108" t="s">
        <v>493</v>
      </c>
      <c r="L46" s="153"/>
      <c r="M46" s="161"/>
      <c r="N46" s="128"/>
      <c r="O46" s="107">
        <f t="shared" si="1"/>
        <v>0</v>
      </c>
      <c r="P46" s="107">
        <f t="shared" si="5"/>
        <v>0</v>
      </c>
      <c r="Q46" s="107">
        <f t="shared" si="2"/>
        <v>0</v>
      </c>
    </row>
    <row r="47" spans="3:17" x14ac:dyDescent="0.25">
      <c r="C47" s="155"/>
      <c r="D47" s="161"/>
      <c r="E47" s="128"/>
      <c r="F47" s="107">
        <f t="shared" si="0"/>
        <v>0</v>
      </c>
      <c r="G47" s="171"/>
      <c r="H47" s="156"/>
      <c r="I47" s="140" t="e">
        <f>VLOOKUP(H47,Presupuesto!$B$8:$C$583,2,0)</f>
        <v>#N/A</v>
      </c>
      <c r="J47" s="108" t="str">
        <f t="shared" si="4"/>
        <v>Desarrollo Curricular</v>
      </c>
      <c r="K47" s="108" t="s">
        <v>484</v>
      </c>
      <c r="L47" s="155"/>
      <c r="M47" s="161"/>
      <c r="N47" s="128"/>
      <c r="O47" s="107">
        <f t="shared" si="1"/>
        <v>0</v>
      </c>
      <c r="P47" s="107">
        <f t="shared" si="5"/>
        <v>0</v>
      </c>
      <c r="Q47" s="107">
        <f t="shared" si="2"/>
        <v>0</v>
      </c>
    </row>
    <row r="48" spans="3:17" x14ac:dyDescent="0.25">
      <c r="C48" s="155"/>
      <c r="D48" s="161"/>
      <c r="E48" s="128"/>
      <c r="F48" s="107">
        <f t="shared" si="0"/>
        <v>0</v>
      </c>
      <c r="G48" s="171"/>
      <c r="H48" s="156"/>
      <c r="I48" s="140" t="e">
        <f>VLOOKUP(H48,Presupuesto!$B$8:$C$583,2,0)</f>
        <v>#N/A</v>
      </c>
      <c r="J48" s="108" t="str">
        <f t="shared" si="4"/>
        <v>Desarrollo Curricular</v>
      </c>
      <c r="K48" s="108" t="s">
        <v>493</v>
      </c>
      <c r="L48" s="155"/>
      <c r="M48" s="161"/>
      <c r="N48" s="128"/>
      <c r="O48" s="107">
        <f t="shared" si="1"/>
        <v>0</v>
      </c>
      <c r="P48" s="107">
        <f t="shared" si="5"/>
        <v>0</v>
      </c>
      <c r="Q48" s="107">
        <f t="shared" si="2"/>
        <v>0</v>
      </c>
    </row>
    <row r="49" spans="3:17" x14ac:dyDescent="0.25">
      <c r="C49" s="155"/>
      <c r="D49" s="161"/>
      <c r="E49" s="128"/>
      <c r="F49" s="107">
        <f t="shared" si="0"/>
        <v>0</v>
      </c>
      <c r="G49" s="171"/>
      <c r="H49" s="156"/>
      <c r="I49" s="140" t="e">
        <f>VLOOKUP(H49,Presupuesto!$B$8:$C$583,2,0)</f>
        <v>#N/A</v>
      </c>
      <c r="J49" s="108" t="str">
        <f t="shared" si="4"/>
        <v>Desarrollo Curricular</v>
      </c>
      <c r="K49" s="108" t="s">
        <v>493</v>
      </c>
      <c r="L49" s="155"/>
      <c r="M49" s="161"/>
      <c r="N49" s="128"/>
      <c r="O49" s="107">
        <f t="shared" si="1"/>
        <v>0</v>
      </c>
      <c r="P49" s="107">
        <f t="shared" si="5"/>
        <v>0</v>
      </c>
      <c r="Q49" s="107">
        <f t="shared" si="2"/>
        <v>0</v>
      </c>
    </row>
    <row r="50" spans="3:17" x14ac:dyDescent="0.25">
      <c r="C50" s="155"/>
      <c r="D50" s="161"/>
      <c r="E50" s="128"/>
      <c r="F50" s="107">
        <f t="shared" si="0"/>
        <v>0</v>
      </c>
      <c r="G50" s="171"/>
      <c r="H50" s="156"/>
      <c r="I50" s="140" t="e">
        <f>VLOOKUP(H50,Presupuesto!$B$8:$C$583,2,0)</f>
        <v>#N/A</v>
      </c>
      <c r="J50" s="108" t="str">
        <f t="shared" si="4"/>
        <v>Desarrollo Curricular</v>
      </c>
      <c r="K50" s="108" t="s">
        <v>493</v>
      </c>
      <c r="L50" s="155"/>
      <c r="M50" s="161"/>
      <c r="N50" s="128"/>
      <c r="O50" s="107">
        <f t="shared" si="1"/>
        <v>0</v>
      </c>
      <c r="P50" s="107">
        <f t="shared" si="5"/>
        <v>0</v>
      </c>
      <c r="Q50" s="107">
        <f t="shared" si="2"/>
        <v>0</v>
      </c>
    </row>
    <row r="51" spans="3:17" ht="15.75" thickBot="1" x14ac:dyDescent="0.3">
      <c r="C51" s="157"/>
      <c r="D51" s="169"/>
      <c r="E51" s="113"/>
      <c r="F51" s="115">
        <f t="shared" si="0"/>
        <v>0</v>
      </c>
      <c r="G51" s="172"/>
      <c r="H51" s="158"/>
      <c r="I51" s="142" t="e">
        <f>VLOOKUP(H51,Presupuesto!$B$8:$C$583,2,0)</f>
        <v>#N/A</v>
      </c>
      <c r="J51" s="116" t="str">
        <f>$J$20</f>
        <v>Desarrollo Curricular</v>
      </c>
      <c r="K51" s="134" t="s">
        <v>475</v>
      </c>
      <c r="L51" s="157"/>
      <c r="M51" s="169"/>
      <c r="N51" s="113"/>
      <c r="O51" s="115">
        <f t="shared" si="1"/>
        <v>0</v>
      </c>
      <c r="P51" s="115">
        <f t="shared" si="5"/>
        <v>0</v>
      </c>
      <c r="Q51" s="115">
        <f t="shared" si="2"/>
        <v>0</v>
      </c>
    </row>
    <row r="52" spans="3:17" x14ac:dyDescent="0.25">
      <c r="G52" s="95"/>
    </row>
    <row r="53" spans="3:17" x14ac:dyDescent="0.25">
      <c r="G53" s="95"/>
    </row>
    <row r="54" spans="3:17" x14ac:dyDescent="0.25">
      <c r="G54" s="95"/>
    </row>
    <row r="55" spans="3:17" x14ac:dyDescent="0.25">
      <c r="G55" s="95"/>
    </row>
    <row r="56" spans="3:17" x14ac:dyDescent="0.25">
      <c r="G56" s="95"/>
    </row>
    <row r="57" spans="3:17" x14ac:dyDescent="0.25">
      <c r="G57" s="95"/>
    </row>
    <row r="58" spans="3:17" x14ac:dyDescent="0.25">
      <c r="G58" s="95"/>
    </row>
    <row r="59" spans="3:17" x14ac:dyDescent="0.25">
      <c r="G59" s="95"/>
    </row>
    <row r="60" spans="3:17" x14ac:dyDescent="0.25">
      <c r="G60" s="95"/>
    </row>
    <row r="61" spans="3:17" x14ac:dyDescent="0.25">
      <c r="G61" s="95"/>
    </row>
    <row r="62" spans="3:17" x14ac:dyDescent="0.25">
      <c r="G62" s="95"/>
    </row>
    <row r="63" spans="3:17" x14ac:dyDescent="0.25">
      <c r="G63" s="95"/>
    </row>
    <row r="64" spans="3:17" x14ac:dyDescent="0.25">
      <c r="G64" s="95"/>
    </row>
    <row r="65" spans="7:7" x14ac:dyDescent="0.25">
      <c r="G65" s="95"/>
    </row>
    <row r="66" spans="7:7" x14ac:dyDescent="0.25">
      <c r="G66" s="95"/>
    </row>
    <row r="67" spans="7:7" x14ac:dyDescent="0.25">
      <c r="G67" s="95"/>
    </row>
    <row r="68" spans="7:7" x14ac:dyDescent="0.25">
      <c r="G68" s="95"/>
    </row>
    <row r="69" spans="7:7" x14ac:dyDescent="0.25">
      <c r="G69" s="95"/>
    </row>
    <row r="70" spans="7:7" x14ac:dyDescent="0.25">
      <c r="G70" s="95"/>
    </row>
    <row r="71" spans="7:7" x14ac:dyDescent="0.25">
      <c r="G71" s="95"/>
    </row>
    <row r="72" spans="7:7" x14ac:dyDescent="0.25">
      <c r="G72" s="95"/>
    </row>
    <row r="73" spans="7:7" x14ac:dyDescent="0.25">
      <c r="G73" s="95"/>
    </row>
    <row r="74" spans="7:7" x14ac:dyDescent="0.25">
      <c r="G74" s="95"/>
    </row>
    <row r="75" spans="7:7" x14ac:dyDescent="0.25">
      <c r="G75" s="95"/>
    </row>
    <row r="76" spans="7:7" x14ac:dyDescent="0.25">
      <c r="G76" s="95"/>
    </row>
    <row r="77" spans="7:7" x14ac:dyDescent="0.25">
      <c r="G77" s="95"/>
    </row>
    <row r="78" spans="7:7" x14ac:dyDescent="0.25">
      <c r="G78" s="95"/>
    </row>
    <row r="79" spans="7:7" x14ac:dyDescent="0.25">
      <c r="G79" s="95"/>
    </row>
    <row r="80" spans="7:7" x14ac:dyDescent="0.25">
      <c r="G80" s="95"/>
    </row>
    <row r="81" spans="7:7" x14ac:dyDescent="0.25">
      <c r="G81" s="95"/>
    </row>
    <row r="82" spans="7:7" x14ac:dyDescent="0.25">
      <c r="G82" s="95"/>
    </row>
    <row r="83" spans="7:7" x14ac:dyDescent="0.25">
      <c r="G83" s="95"/>
    </row>
    <row r="84" spans="7:7" x14ac:dyDescent="0.25">
      <c r="G84" s="95"/>
    </row>
    <row r="85" spans="7:7" x14ac:dyDescent="0.25">
      <c r="G85" s="95"/>
    </row>
    <row r="86" spans="7:7" x14ac:dyDescent="0.25">
      <c r="G86" s="95"/>
    </row>
    <row r="87" spans="7:7" x14ac:dyDescent="0.25">
      <c r="G87" s="95"/>
    </row>
    <row r="88" spans="7:7" x14ac:dyDescent="0.25">
      <c r="G88" s="95"/>
    </row>
    <row r="89" spans="7:7" x14ac:dyDescent="0.25">
      <c r="G89" s="95"/>
    </row>
    <row r="90" spans="7:7" x14ac:dyDescent="0.25">
      <c r="G90" s="95"/>
    </row>
    <row r="91" spans="7:7" x14ac:dyDescent="0.25">
      <c r="G91" s="95"/>
    </row>
    <row r="92" spans="7:7" x14ac:dyDescent="0.25">
      <c r="G92" s="95"/>
    </row>
    <row r="93" spans="7:7" x14ac:dyDescent="0.25">
      <c r="G93" s="95"/>
    </row>
    <row r="94" spans="7:7" x14ac:dyDescent="0.25">
      <c r="G94" s="95"/>
    </row>
    <row r="95" spans="7:7" x14ac:dyDescent="0.25">
      <c r="G95" s="95"/>
    </row>
    <row r="96" spans="7:7" x14ac:dyDescent="0.25">
      <c r="G96" s="95"/>
    </row>
    <row r="97" spans="7:7" x14ac:dyDescent="0.25">
      <c r="G97" s="95"/>
    </row>
    <row r="98" spans="7:7" x14ac:dyDescent="0.25">
      <c r="G98" s="95"/>
    </row>
    <row r="99" spans="7:7" x14ac:dyDescent="0.25">
      <c r="G99" s="95"/>
    </row>
    <row r="100" spans="7:7" x14ac:dyDescent="0.25">
      <c r="G100" s="95"/>
    </row>
    <row r="101" spans="7:7" x14ac:dyDescent="0.25">
      <c r="G101" s="95"/>
    </row>
    <row r="102" spans="7:7" x14ac:dyDescent="0.25">
      <c r="G102" s="95"/>
    </row>
    <row r="103" spans="7:7" x14ac:dyDescent="0.25">
      <c r="G103" s="95"/>
    </row>
    <row r="104" spans="7:7" x14ac:dyDescent="0.25">
      <c r="G104" s="95"/>
    </row>
    <row r="105" spans="7:7" x14ac:dyDescent="0.25">
      <c r="G105" s="95"/>
    </row>
    <row r="106" spans="7:7" x14ac:dyDescent="0.25">
      <c r="G106" s="95"/>
    </row>
    <row r="107" spans="7:7" x14ac:dyDescent="0.25">
      <c r="G107" s="9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X91"/>
  <sheetViews>
    <sheetView zoomScale="60" zoomScaleNormal="60" workbookViewId="0">
      <pane xSplit="1" ySplit="6" topLeftCell="G25" activePane="bottomRight" state="frozen"/>
      <selection pane="topRight" activeCell="B1" sqref="B1"/>
      <selection pane="bottomLeft" activeCell="A7" sqref="A7"/>
      <selection pane="bottomRight" activeCell="P27" sqref="P27"/>
    </sheetView>
  </sheetViews>
  <sheetFormatPr baseColWidth="10" defaultColWidth="11.5703125" defaultRowHeight="15" x14ac:dyDescent="0.25"/>
  <cols>
    <col min="1" max="2" width="21.7109375" style="95" customWidth="1"/>
    <col min="3" max="3" width="19.28515625" style="95" customWidth="1"/>
    <col min="4" max="4" width="25.5703125" style="95" customWidth="1"/>
    <col min="5" max="5" width="16.28515625" style="85" customWidth="1"/>
    <col min="6" max="6" width="27.42578125" style="95" customWidth="1"/>
    <col min="7" max="7" width="15.28515625" style="95" customWidth="1"/>
    <col min="8" max="8" width="19.7109375" style="95" customWidth="1"/>
    <col min="9" max="9" width="15.28515625" style="95" customWidth="1"/>
    <col min="10" max="10" width="18.85546875" style="95" customWidth="1"/>
    <col min="11" max="11" width="12.7109375" style="95" bestFit="1" customWidth="1"/>
    <col min="12" max="12" width="20.7109375" style="95" customWidth="1"/>
    <col min="13" max="13" width="12.7109375" style="95" bestFit="1" customWidth="1"/>
    <col min="14" max="14" width="17" style="95" customWidth="1"/>
    <col min="15" max="15" width="15.28515625" style="95" customWidth="1"/>
    <col min="16" max="16" width="29" style="95" customWidth="1"/>
    <col min="17" max="18" width="11.5703125" style="95"/>
    <col min="19" max="22" width="14.140625" style="95" customWidth="1"/>
    <col min="23" max="23" width="17" style="95" customWidth="1"/>
    <col min="24" max="24" width="22.7109375" style="95" customWidth="1"/>
    <col min="25" max="16384" width="11.5703125" style="95"/>
  </cols>
  <sheetData>
    <row r="1" spans="1:24" ht="24.95" customHeight="1" x14ac:dyDescent="0.25">
      <c r="A1" s="798" t="s">
        <v>119</v>
      </c>
      <c r="B1" s="798"/>
      <c r="C1" s="798"/>
      <c r="D1" s="798"/>
      <c r="E1" s="798"/>
      <c r="F1" s="798"/>
    </row>
    <row r="2" spans="1:24" ht="34.5" customHeight="1" x14ac:dyDescent="0.25">
      <c r="A2" s="799" t="s">
        <v>567</v>
      </c>
      <c r="B2" s="799"/>
      <c r="C2" s="799"/>
      <c r="D2" s="799"/>
      <c r="E2" s="799"/>
      <c r="F2" s="799"/>
      <c r="G2" s="351" t="s">
        <v>119</v>
      </c>
      <c r="H2" s="435"/>
      <c r="I2" s="435"/>
      <c r="J2" s="435"/>
      <c r="K2" s="435"/>
      <c r="L2" s="435"/>
      <c r="M2" s="435"/>
      <c r="N2" s="435"/>
      <c r="O2" s="435"/>
      <c r="P2" s="435"/>
      <c r="Q2" s="435"/>
      <c r="R2" s="435"/>
      <c r="S2" s="435"/>
      <c r="T2" s="435"/>
      <c r="U2" s="435"/>
      <c r="V2" s="435"/>
      <c r="W2" s="435"/>
    </row>
    <row r="3" spans="1:24" ht="34.5" customHeight="1" x14ac:dyDescent="0.25">
      <c r="A3" s="799"/>
      <c r="B3" s="799"/>
      <c r="C3" s="799"/>
      <c r="D3" s="799"/>
      <c r="E3" s="799"/>
      <c r="F3" s="799"/>
      <c r="G3" s="436"/>
      <c r="H3" s="436"/>
      <c r="I3" s="436"/>
      <c r="J3" s="436"/>
      <c r="K3" s="436"/>
      <c r="L3" s="436"/>
      <c r="M3" s="436"/>
      <c r="N3" s="436"/>
      <c r="O3" s="436"/>
      <c r="P3" s="436"/>
      <c r="Q3" s="436"/>
      <c r="R3" s="436"/>
      <c r="S3" s="436"/>
      <c r="T3" s="436"/>
      <c r="U3" s="436"/>
      <c r="V3" s="436"/>
      <c r="W3" s="436"/>
    </row>
    <row r="4" spans="1:24" ht="14.45" customHeight="1" x14ac:dyDescent="0.25">
      <c r="A4" s="800" t="s">
        <v>100</v>
      </c>
      <c r="B4" s="800" t="s">
        <v>118</v>
      </c>
      <c r="C4" s="801" t="s">
        <v>88</v>
      </c>
      <c r="D4" s="801" t="s">
        <v>89</v>
      </c>
      <c r="E4" s="802" t="s">
        <v>471</v>
      </c>
      <c r="F4" s="801" t="s">
        <v>90</v>
      </c>
      <c r="G4" s="809" t="s">
        <v>104</v>
      </c>
      <c r="H4" s="811"/>
      <c r="I4" s="811"/>
      <c r="J4" s="811"/>
      <c r="K4" s="811"/>
      <c r="L4" s="811"/>
      <c r="M4" s="811"/>
      <c r="N4" s="810"/>
      <c r="O4" s="812" t="s">
        <v>105</v>
      </c>
      <c r="P4" s="813"/>
      <c r="Q4" s="816" t="s">
        <v>106</v>
      </c>
      <c r="R4" s="817"/>
      <c r="S4" s="803" t="s">
        <v>107</v>
      </c>
      <c r="T4" s="803" t="s">
        <v>108</v>
      </c>
      <c r="U4" s="803" t="s">
        <v>116</v>
      </c>
      <c r="V4" s="803" t="s">
        <v>115</v>
      </c>
      <c r="W4" s="806" t="s">
        <v>91</v>
      </c>
    </row>
    <row r="5" spans="1:24" ht="14.45" customHeight="1" x14ac:dyDescent="0.25">
      <c r="A5" s="800"/>
      <c r="B5" s="800"/>
      <c r="C5" s="801"/>
      <c r="D5" s="801"/>
      <c r="E5" s="802"/>
      <c r="F5" s="801"/>
      <c r="G5" s="809" t="s">
        <v>109</v>
      </c>
      <c r="H5" s="810"/>
      <c r="I5" s="809" t="s">
        <v>110</v>
      </c>
      <c r="J5" s="810"/>
      <c r="K5" s="809" t="s">
        <v>111</v>
      </c>
      <c r="L5" s="810"/>
      <c r="M5" s="809" t="s">
        <v>112</v>
      </c>
      <c r="N5" s="810"/>
      <c r="O5" s="814"/>
      <c r="P5" s="815"/>
      <c r="Q5" s="818"/>
      <c r="R5" s="819"/>
      <c r="S5" s="804"/>
      <c r="T5" s="804"/>
      <c r="U5" s="804"/>
      <c r="V5" s="804"/>
      <c r="W5" s="807"/>
    </row>
    <row r="6" spans="1:24" ht="25.5" x14ac:dyDescent="0.25">
      <c r="A6" s="800"/>
      <c r="B6" s="800"/>
      <c r="C6" s="801"/>
      <c r="D6" s="801"/>
      <c r="E6" s="802"/>
      <c r="F6" s="801"/>
      <c r="G6" s="394" t="s">
        <v>113</v>
      </c>
      <c r="H6" s="394" t="s">
        <v>12</v>
      </c>
      <c r="I6" s="394" t="s">
        <v>113</v>
      </c>
      <c r="J6" s="394" t="s">
        <v>12</v>
      </c>
      <c r="K6" s="394" t="s">
        <v>113</v>
      </c>
      <c r="L6" s="394" t="s">
        <v>12</v>
      </c>
      <c r="M6" s="394" t="s">
        <v>113</v>
      </c>
      <c r="N6" s="394" t="s">
        <v>12</v>
      </c>
      <c r="O6" s="394" t="s">
        <v>113</v>
      </c>
      <c r="P6" s="394" t="s">
        <v>12</v>
      </c>
      <c r="Q6" s="394" t="s">
        <v>114</v>
      </c>
      <c r="R6" s="394" t="s">
        <v>85</v>
      </c>
      <c r="S6" s="805"/>
      <c r="T6" s="805"/>
      <c r="U6" s="805"/>
      <c r="V6" s="805"/>
      <c r="W6" s="808"/>
    </row>
    <row r="7" spans="1:24" ht="271.5" customHeight="1" x14ac:dyDescent="0.25">
      <c r="A7" s="822" t="s">
        <v>568</v>
      </c>
      <c r="B7" s="831" t="s">
        <v>569</v>
      </c>
      <c r="C7" s="273" t="s">
        <v>1555</v>
      </c>
      <c r="D7" s="273" t="s">
        <v>1655</v>
      </c>
      <c r="E7" s="283" t="s">
        <v>1556</v>
      </c>
      <c r="F7" s="283" t="s">
        <v>1656</v>
      </c>
      <c r="G7" s="284">
        <v>0.25</v>
      </c>
      <c r="H7" s="285">
        <v>72000</v>
      </c>
      <c r="I7" s="284">
        <v>0.75</v>
      </c>
      <c r="J7" s="285">
        <v>1200</v>
      </c>
      <c r="K7" s="284"/>
      <c r="L7" s="285"/>
      <c r="M7" s="284"/>
      <c r="N7" s="285"/>
      <c r="O7" s="284">
        <v>1</v>
      </c>
      <c r="P7" s="243">
        <f>+H7+J7+L7+N7</f>
        <v>73200</v>
      </c>
      <c r="Q7" s="283"/>
      <c r="R7" s="283" t="s">
        <v>2121</v>
      </c>
      <c r="S7" s="283" t="s">
        <v>2075</v>
      </c>
      <c r="T7" s="283" t="s">
        <v>2076</v>
      </c>
      <c r="U7" s="283" t="s">
        <v>2077</v>
      </c>
      <c r="V7" s="283" t="s">
        <v>2078</v>
      </c>
      <c r="W7" s="283" t="s">
        <v>2079</v>
      </c>
      <c r="X7" s="763" t="s">
        <v>2261</v>
      </c>
    </row>
    <row r="8" spans="1:24" ht="100.5" customHeight="1" x14ac:dyDescent="0.25">
      <c r="A8" s="822"/>
      <c r="B8" s="832"/>
      <c r="C8" s="441" t="s">
        <v>1644</v>
      </c>
      <c r="D8" s="441" t="s">
        <v>1645</v>
      </c>
      <c r="E8" s="422" t="s">
        <v>1557</v>
      </c>
      <c r="F8" s="422" t="s">
        <v>1646</v>
      </c>
      <c r="G8" s="284"/>
      <c r="H8" s="285"/>
      <c r="I8" s="284">
        <v>0.25</v>
      </c>
      <c r="J8" s="285"/>
      <c r="K8" s="284">
        <v>0.5</v>
      </c>
      <c r="L8" s="285"/>
      <c r="M8" s="284">
        <v>0.25</v>
      </c>
      <c r="N8" s="285"/>
      <c r="O8" s="284">
        <v>1</v>
      </c>
      <c r="P8" s="243"/>
      <c r="Q8" s="283"/>
      <c r="R8" s="283" t="s">
        <v>2122</v>
      </c>
      <c r="S8" s="283" t="s">
        <v>2080</v>
      </c>
      <c r="T8" s="283" t="s">
        <v>2081</v>
      </c>
      <c r="U8" s="283" t="s">
        <v>2082</v>
      </c>
      <c r="V8" s="283" t="s">
        <v>2083</v>
      </c>
      <c r="W8" s="283" t="s">
        <v>2084</v>
      </c>
      <c r="X8" s="763" t="s">
        <v>2261</v>
      </c>
    </row>
    <row r="9" spans="1:24" ht="171" customHeight="1" x14ac:dyDescent="0.25">
      <c r="A9" s="822"/>
      <c r="B9" s="832"/>
      <c r="C9" s="441" t="s">
        <v>1647</v>
      </c>
      <c r="D9" s="441" t="s">
        <v>1648</v>
      </c>
      <c r="E9" s="422" t="s">
        <v>1558</v>
      </c>
      <c r="F9" s="422" t="s">
        <v>1649</v>
      </c>
      <c r="G9" s="442">
        <v>0.25</v>
      </c>
      <c r="H9" s="443">
        <v>10000</v>
      </c>
      <c r="I9" s="442">
        <v>0.25</v>
      </c>
      <c r="J9" s="443">
        <v>10000</v>
      </c>
      <c r="K9" s="442">
        <v>0.25</v>
      </c>
      <c r="L9" s="443">
        <v>10000</v>
      </c>
      <c r="M9" s="442">
        <v>0.25</v>
      </c>
      <c r="N9" s="443">
        <v>10000</v>
      </c>
      <c r="O9" s="442">
        <v>1</v>
      </c>
      <c r="P9" s="444">
        <v>40000</v>
      </c>
      <c r="Q9" s="283"/>
      <c r="R9" s="283" t="s">
        <v>2122</v>
      </c>
      <c r="S9" s="283" t="s">
        <v>2085</v>
      </c>
      <c r="T9" s="283" t="s">
        <v>2086</v>
      </c>
      <c r="U9" s="283" t="s">
        <v>2087</v>
      </c>
      <c r="V9" s="283" t="s">
        <v>2083</v>
      </c>
      <c r="W9" s="283" t="s">
        <v>2084</v>
      </c>
      <c r="X9" s="763" t="s">
        <v>2261</v>
      </c>
    </row>
    <row r="10" spans="1:24" s="770" customFormat="1" ht="120" customHeight="1" x14ac:dyDescent="0.25">
      <c r="A10" s="822"/>
      <c r="B10" s="833"/>
      <c r="C10" s="764" t="s">
        <v>1650</v>
      </c>
      <c r="D10" s="764" t="s">
        <v>1651</v>
      </c>
      <c r="E10" s="765" t="s">
        <v>1652</v>
      </c>
      <c r="F10" s="765" t="s">
        <v>1653</v>
      </c>
      <c r="G10" s="766">
        <v>1</v>
      </c>
      <c r="H10" s="767">
        <v>45000</v>
      </c>
      <c r="I10" s="766"/>
      <c r="J10" s="767"/>
      <c r="K10" s="766"/>
      <c r="L10" s="767"/>
      <c r="M10" s="766"/>
      <c r="N10" s="767"/>
      <c r="O10" s="766">
        <v>1</v>
      </c>
      <c r="P10" s="768">
        <v>45000</v>
      </c>
      <c r="Q10" s="765"/>
      <c r="R10" s="765" t="s">
        <v>2088</v>
      </c>
      <c r="S10" s="765" t="s">
        <v>2088</v>
      </c>
      <c r="T10" s="765" t="s">
        <v>2089</v>
      </c>
      <c r="U10" s="765" t="s">
        <v>2090</v>
      </c>
      <c r="V10" s="765" t="s">
        <v>2083</v>
      </c>
      <c r="W10" s="765" t="s">
        <v>2091</v>
      </c>
      <c r="X10" s="769" t="s">
        <v>2261</v>
      </c>
    </row>
    <row r="11" spans="1:24" ht="227.25" customHeight="1" x14ac:dyDescent="0.25">
      <c r="A11" s="822"/>
      <c r="B11" s="834" t="s">
        <v>570</v>
      </c>
      <c r="C11" s="273" t="s">
        <v>571</v>
      </c>
      <c r="D11" s="273" t="s">
        <v>1559</v>
      </c>
      <c r="E11" s="283"/>
      <c r="F11" s="289" t="s">
        <v>1659</v>
      </c>
      <c r="G11" s="284">
        <v>0.25</v>
      </c>
      <c r="H11" s="285">
        <v>0</v>
      </c>
      <c r="I11" s="284">
        <v>0.25</v>
      </c>
      <c r="J11" s="285">
        <v>0</v>
      </c>
      <c r="K11" s="284">
        <v>0.5</v>
      </c>
      <c r="L11" s="285">
        <v>0</v>
      </c>
      <c r="M11" s="284"/>
      <c r="N11" s="285"/>
      <c r="O11" s="702">
        <v>1</v>
      </c>
      <c r="P11" s="243"/>
      <c r="Q11" s="283"/>
      <c r="R11" s="283" t="s">
        <v>2123</v>
      </c>
      <c r="S11" s="293" t="s">
        <v>2092</v>
      </c>
      <c r="T11" s="283" t="s">
        <v>2093</v>
      </c>
      <c r="U11" s="283" t="s">
        <v>2094</v>
      </c>
      <c r="V11" s="283" t="s">
        <v>2095</v>
      </c>
      <c r="W11" s="283" t="s">
        <v>2096</v>
      </c>
      <c r="X11" s="763" t="s">
        <v>2261</v>
      </c>
    </row>
    <row r="12" spans="1:24" ht="148.5" customHeight="1" x14ac:dyDescent="0.25">
      <c r="A12" s="822"/>
      <c r="B12" s="835"/>
      <c r="C12" s="820" t="s">
        <v>572</v>
      </c>
      <c r="D12" s="820" t="s">
        <v>1660</v>
      </c>
      <c r="E12" s="437"/>
      <c r="F12" s="291" t="s">
        <v>1568</v>
      </c>
      <c r="G12" s="284">
        <v>1</v>
      </c>
      <c r="H12" s="285">
        <f>24300+22740</f>
        <v>47040</v>
      </c>
      <c r="I12" s="284"/>
      <c r="J12" s="285">
        <v>233700</v>
      </c>
      <c r="K12" s="284"/>
      <c r="L12" s="285">
        <v>2721</v>
      </c>
      <c r="M12" s="284"/>
      <c r="N12" s="285"/>
      <c r="O12" s="284">
        <v>1</v>
      </c>
      <c r="P12" s="701">
        <f>(H12+J12+L12)</f>
        <v>283461</v>
      </c>
      <c r="Q12" s="283"/>
      <c r="R12" s="283" t="s">
        <v>2124</v>
      </c>
      <c r="S12" s="293" t="s">
        <v>2097</v>
      </c>
      <c r="T12" s="283" t="s">
        <v>2098</v>
      </c>
      <c r="U12" s="283" t="s">
        <v>2099</v>
      </c>
      <c r="V12" s="283" t="s">
        <v>2073</v>
      </c>
      <c r="W12" s="283" t="s">
        <v>2091</v>
      </c>
      <c r="X12" s="763" t="s">
        <v>2261</v>
      </c>
    </row>
    <row r="13" spans="1:24" ht="166.5" customHeight="1" x14ac:dyDescent="0.25">
      <c r="A13" s="822"/>
      <c r="B13" s="835"/>
      <c r="C13" s="821"/>
      <c r="D13" s="821"/>
      <c r="E13" s="410" t="s">
        <v>1560</v>
      </c>
      <c r="F13" s="448" t="s">
        <v>1567</v>
      </c>
      <c r="G13" s="387">
        <v>1</v>
      </c>
      <c r="H13" s="285"/>
      <c r="I13" s="284"/>
      <c r="J13" s="285"/>
      <c r="K13" s="284"/>
      <c r="L13" s="285"/>
      <c r="M13" s="284"/>
      <c r="N13" s="285"/>
      <c r="O13" s="284">
        <v>1</v>
      </c>
      <c r="P13" s="243"/>
      <c r="Q13" s="283"/>
      <c r="R13" s="283" t="s">
        <v>2125</v>
      </c>
      <c r="S13" s="293" t="s">
        <v>2100</v>
      </c>
      <c r="T13" s="283" t="s">
        <v>2101</v>
      </c>
      <c r="U13" s="283" t="s">
        <v>2099</v>
      </c>
      <c r="V13" s="283" t="s">
        <v>2073</v>
      </c>
      <c r="W13" s="283" t="s">
        <v>2091</v>
      </c>
      <c r="X13" s="763" t="s">
        <v>2261</v>
      </c>
    </row>
    <row r="14" spans="1:24" ht="150.75" customHeight="1" x14ac:dyDescent="0.25">
      <c r="A14" s="822"/>
      <c r="B14" s="835"/>
      <c r="C14" s="821"/>
      <c r="D14" s="821"/>
      <c r="E14" s="283" t="s">
        <v>1561</v>
      </c>
      <c r="F14" s="291" t="s">
        <v>1665</v>
      </c>
      <c r="G14" s="187">
        <v>0.2</v>
      </c>
      <c r="H14" s="285">
        <f>+ 50000 + 4000 + 4000</f>
        <v>58000</v>
      </c>
      <c r="I14" s="284">
        <v>0.2</v>
      </c>
      <c r="J14" s="285">
        <f>+ 50000 + 4000 + 4000</f>
        <v>58000</v>
      </c>
      <c r="K14" s="284">
        <v>0.4</v>
      </c>
      <c r="L14" s="285">
        <f>+ 100000 + 8000 + 8000</f>
        <v>116000</v>
      </c>
      <c r="M14" s="284">
        <v>0.2</v>
      </c>
      <c r="N14" s="285">
        <f>+ 50000 + 4000 + 4000</f>
        <v>58000</v>
      </c>
      <c r="O14" s="284">
        <v>1</v>
      </c>
      <c r="P14" s="243">
        <f>+H14+J14+L14+N14</f>
        <v>290000</v>
      </c>
      <c r="Q14" s="283"/>
      <c r="R14" s="283" t="s">
        <v>1696</v>
      </c>
      <c r="S14" s="293" t="s">
        <v>2102</v>
      </c>
      <c r="T14" s="283" t="s">
        <v>2103</v>
      </c>
      <c r="U14" s="283" t="s">
        <v>2104</v>
      </c>
      <c r="V14" s="283" t="s">
        <v>2073</v>
      </c>
      <c r="W14" s="283" t="s">
        <v>2091</v>
      </c>
      <c r="X14" s="763" t="s">
        <v>2261</v>
      </c>
    </row>
    <row r="15" spans="1:24" ht="157.5" customHeight="1" x14ac:dyDescent="0.25">
      <c r="A15" s="822" t="s">
        <v>568</v>
      </c>
      <c r="B15" s="835"/>
      <c r="C15" s="823" t="s">
        <v>2105</v>
      </c>
      <c r="D15" s="823" t="s">
        <v>1664</v>
      </c>
      <c r="E15" s="293" t="s">
        <v>1551</v>
      </c>
      <c r="F15" s="290" t="s">
        <v>1662</v>
      </c>
      <c r="G15" s="292">
        <v>0.25</v>
      </c>
      <c r="H15" s="288"/>
      <c r="I15" s="292">
        <v>0.25</v>
      </c>
      <c r="J15" s="288"/>
      <c r="K15" s="292">
        <v>0.25</v>
      </c>
      <c r="L15" s="288"/>
      <c r="M15" s="292">
        <v>0.25</v>
      </c>
      <c r="N15" s="288"/>
      <c r="O15" s="292">
        <v>1</v>
      </c>
      <c r="P15" s="243"/>
      <c r="Q15" s="289"/>
      <c r="R15" s="289" t="s">
        <v>2122</v>
      </c>
      <c r="S15" s="274" t="s">
        <v>2106</v>
      </c>
      <c r="T15" s="274" t="s">
        <v>2107</v>
      </c>
      <c r="U15" s="275" t="s">
        <v>2108</v>
      </c>
      <c r="V15" s="276" t="s">
        <v>2109</v>
      </c>
      <c r="W15" s="283" t="s">
        <v>2091</v>
      </c>
      <c r="X15" s="763" t="s">
        <v>2261</v>
      </c>
    </row>
    <row r="16" spans="1:24" ht="157.5" customHeight="1" x14ac:dyDescent="0.25">
      <c r="A16" s="822"/>
      <c r="B16" s="835"/>
      <c r="C16" s="824"/>
      <c r="D16" s="824"/>
      <c r="E16" s="422" t="s">
        <v>1562</v>
      </c>
      <c r="F16" s="449" t="s">
        <v>1663</v>
      </c>
      <c r="G16" s="284">
        <v>0.25</v>
      </c>
      <c r="H16" s="285"/>
      <c r="I16" s="284">
        <v>0.25</v>
      </c>
      <c r="J16" s="285"/>
      <c r="K16" s="284">
        <v>0.25</v>
      </c>
      <c r="L16" s="285"/>
      <c r="M16" s="284">
        <v>0.25</v>
      </c>
      <c r="N16" s="285"/>
      <c r="O16" s="292">
        <f>(G16+I16+K16+M16)</f>
        <v>1</v>
      </c>
      <c r="P16" s="243"/>
      <c r="Q16" s="289"/>
      <c r="R16" s="289" t="s">
        <v>2126</v>
      </c>
      <c r="S16" s="274" t="s">
        <v>2110</v>
      </c>
      <c r="T16" s="274" t="s">
        <v>2111</v>
      </c>
      <c r="U16" s="275" t="s">
        <v>2112</v>
      </c>
      <c r="V16" s="276" t="s">
        <v>2073</v>
      </c>
      <c r="W16" s="283" t="s">
        <v>2091</v>
      </c>
      <c r="X16" s="763" t="s">
        <v>2261</v>
      </c>
    </row>
    <row r="17" spans="1:24" ht="252.75" customHeight="1" x14ac:dyDescent="0.25">
      <c r="A17" s="822"/>
      <c r="B17" s="835"/>
      <c r="C17" s="273" t="s">
        <v>573</v>
      </c>
      <c r="D17" s="273" t="s">
        <v>1550</v>
      </c>
      <c r="E17" s="293" t="s">
        <v>1552</v>
      </c>
      <c r="F17" s="290" t="s">
        <v>1666</v>
      </c>
      <c r="G17" s="292">
        <v>0.2</v>
      </c>
      <c r="H17" s="292"/>
      <c r="I17" s="292">
        <v>0.2</v>
      </c>
      <c r="J17" s="438"/>
      <c r="K17" s="292">
        <v>0.4</v>
      </c>
      <c r="L17" s="288"/>
      <c r="M17" s="292">
        <v>0.2</v>
      </c>
      <c r="N17" s="288"/>
      <c r="O17" s="292">
        <v>1</v>
      </c>
      <c r="P17" s="243"/>
      <c r="Q17" s="283"/>
      <c r="R17" s="283" t="s">
        <v>2125</v>
      </c>
      <c r="S17" s="289" t="s">
        <v>2113</v>
      </c>
      <c r="T17" s="289" t="s">
        <v>2114</v>
      </c>
      <c r="U17" s="289" t="s">
        <v>2077</v>
      </c>
      <c r="V17" s="289" t="s">
        <v>2115</v>
      </c>
      <c r="W17" s="283" t="s">
        <v>2116</v>
      </c>
      <c r="X17" s="763" t="s">
        <v>2261</v>
      </c>
    </row>
    <row r="18" spans="1:24" ht="205.5" customHeight="1" x14ac:dyDescent="0.25">
      <c r="A18" s="822"/>
      <c r="B18" s="836"/>
      <c r="C18" s="273" t="s">
        <v>574</v>
      </c>
      <c r="D18" s="273" t="s">
        <v>1667</v>
      </c>
      <c r="E18" s="283"/>
      <c r="F18" s="439" t="s">
        <v>1668</v>
      </c>
      <c r="G18" s="292"/>
      <c r="H18" s="288"/>
      <c r="I18" s="284">
        <v>0.25</v>
      </c>
      <c r="J18" s="285"/>
      <c r="K18" s="284">
        <v>0.5</v>
      </c>
      <c r="L18" s="285"/>
      <c r="M18" s="284">
        <v>0.25</v>
      </c>
      <c r="N18" s="285"/>
      <c r="O18" s="284">
        <v>1</v>
      </c>
      <c r="P18" s="243"/>
      <c r="Q18" s="289"/>
      <c r="R18" s="289" t="s">
        <v>2122</v>
      </c>
      <c r="S18" s="283" t="s">
        <v>2080</v>
      </c>
      <c r="T18" s="283" t="s">
        <v>2081</v>
      </c>
      <c r="U18" s="283" t="s">
        <v>2082</v>
      </c>
      <c r="V18" s="283" t="s">
        <v>2083</v>
      </c>
      <c r="W18" s="283" t="s">
        <v>2084</v>
      </c>
      <c r="X18" s="763" t="s">
        <v>2261</v>
      </c>
    </row>
    <row r="19" spans="1:24" ht="168" customHeight="1" x14ac:dyDescent="0.25">
      <c r="A19" s="822"/>
      <c r="B19" s="825" t="s">
        <v>1554</v>
      </c>
      <c r="C19" s="452" t="s">
        <v>575</v>
      </c>
      <c r="D19" s="450" t="s">
        <v>1654</v>
      </c>
      <c r="E19" s="293" t="s">
        <v>1563</v>
      </c>
      <c r="F19" s="324" t="s">
        <v>1669</v>
      </c>
      <c r="G19" s="703"/>
      <c r="H19" s="704"/>
      <c r="I19" s="703"/>
      <c r="J19" s="703"/>
      <c r="K19" s="703"/>
      <c r="L19" s="704"/>
      <c r="M19" s="703"/>
      <c r="N19" s="703"/>
      <c r="O19" s="703"/>
      <c r="P19" s="761" t="s">
        <v>2260</v>
      </c>
      <c r="Q19" s="761" t="s">
        <v>2259</v>
      </c>
      <c r="R19" s="761" t="s">
        <v>2259</v>
      </c>
      <c r="S19" s="761" t="s">
        <v>2259</v>
      </c>
      <c r="T19" s="761" t="s">
        <v>2259</v>
      </c>
      <c r="U19" s="761" t="s">
        <v>2259</v>
      </c>
      <c r="V19" s="761" t="s">
        <v>2259</v>
      </c>
      <c r="W19" s="761" t="s">
        <v>2259</v>
      </c>
      <c r="X19" s="763" t="s">
        <v>2261</v>
      </c>
    </row>
    <row r="20" spans="1:24" ht="142.5" customHeight="1" x14ac:dyDescent="0.25">
      <c r="A20" s="822"/>
      <c r="B20" s="826"/>
      <c r="C20" s="277" t="s">
        <v>576</v>
      </c>
      <c r="D20" s="373" t="s">
        <v>577</v>
      </c>
      <c r="E20" s="293" t="s">
        <v>1564</v>
      </c>
      <c r="F20" s="290" t="s">
        <v>1670</v>
      </c>
      <c r="G20" s="705"/>
      <c r="H20" s="703"/>
      <c r="I20" s="703"/>
      <c r="J20" s="703"/>
      <c r="K20" s="703"/>
      <c r="L20" s="703"/>
      <c r="M20" s="703"/>
      <c r="N20" s="703"/>
      <c r="O20" s="703"/>
      <c r="P20" s="761" t="s">
        <v>2260</v>
      </c>
      <c r="Q20" s="707"/>
      <c r="R20" s="707"/>
      <c r="S20" s="707"/>
      <c r="T20" s="707"/>
      <c r="U20" s="707"/>
      <c r="V20" s="707"/>
      <c r="W20" s="707"/>
      <c r="X20" s="763" t="s">
        <v>2261</v>
      </c>
    </row>
    <row r="21" spans="1:24" ht="143.25" customHeight="1" x14ac:dyDescent="0.25">
      <c r="A21" s="822"/>
      <c r="B21" s="826"/>
      <c r="C21" s="277" t="s">
        <v>578</v>
      </c>
      <c r="D21" s="277" t="s">
        <v>579</v>
      </c>
      <c r="E21" s="283"/>
      <c r="F21" s="289" t="s">
        <v>1671</v>
      </c>
      <c r="G21" s="288"/>
      <c r="H21" s="288"/>
      <c r="I21" s="292">
        <v>0.25</v>
      </c>
      <c r="J21" s="288"/>
      <c r="K21" s="292">
        <v>0.5</v>
      </c>
      <c r="L21" s="288"/>
      <c r="M21" s="292">
        <v>0.25</v>
      </c>
      <c r="N21" s="288"/>
      <c r="O21" s="292">
        <v>1</v>
      </c>
      <c r="P21" s="761" t="s">
        <v>2260</v>
      </c>
      <c r="Q21" s="707"/>
      <c r="R21" s="707"/>
      <c r="S21" s="707"/>
      <c r="T21" s="707"/>
      <c r="U21" s="707"/>
      <c r="V21" s="707"/>
      <c r="W21" s="707"/>
      <c r="X21" s="763" t="s">
        <v>2261</v>
      </c>
    </row>
    <row r="22" spans="1:24" ht="370.5" customHeight="1" x14ac:dyDescent="0.25">
      <c r="A22" s="822"/>
      <c r="B22" s="827"/>
      <c r="C22" s="410" t="s">
        <v>1692</v>
      </c>
      <c r="D22" s="445" t="s">
        <v>1672</v>
      </c>
      <c r="E22" s="293"/>
      <c r="F22" s="771" t="s">
        <v>1673</v>
      </c>
      <c r="G22" s="772"/>
      <c r="H22" s="772"/>
      <c r="I22" s="773">
        <v>0.3</v>
      </c>
      <c r="J22" s="772">
        <v>16000</v>
      </c>
      <c r="K22" s="773">
        <v>0.4</v>
      </c>
      <c r="L22" s="772">
        <v>16000</v>
      </c>
      <c r="M22" s="773">
        <v>0.3</v>
      </c>
      <c r="N22" s="772">
        <v>16000</v>
      </c>
      <c r="O22" s="772"/>
      <c r="P22" s="774">
        <f>+J22+L22+N22</f>
        <v>48000</v>
      </c>
      <c r="Q22" s="289"/>
      <c r="R22" s="289" t="s">
        <v>2125</v>
      </c>
      <c r="S22" s="289" t="s">
        <v>2117</v>
      </c>
      <c r="T22" s="289" t="s">
        <v>2118</v>
      </c>
      <c r="U22" s="289" t="s">
        <v>2119</v>
      </c>
      <c r="V22" s="289" t="s">
        <v>2073</v>
      </c>
      <c r="W22" s="393" t="s">
        <v>2120</v>
      </c>
      <c r="X22" s="763" t="s">
        <v>2261</v>
      </c>
    </row>
    <row r="23" spans="1:24" ht="120" customHeight="1" x14ac:dyDescent="0.25">
      <c r="A23" s="425"/>
      <c r="B23" s="828" t="s">
        <v>1707</v>
      </c>
      <c r="C23" s="445" t="s">
        <v>1674</v>
      </c>
      <c r="D23" s="445" t="s">
        <v>1675</v>
      </c>
      <c r="E23" s="293" t="s">
        <v>1676</v>
      </c>
      <c r="F23" s="293" t="s">
        <v>1677</v>
      </c>
      <c r="G23" s="446"/>
      <c r="H23" s="447">
        <v>12470</v>
      </c>
      <c r="I23" s="453">
        <v>1</v>
      </c>
      <c r="J23" s="447">
        <v>60280</v>
      </c>
      <c r="K23" s="453">
        <v>1</v>
      </c>
      <c r="L23" s="447"/>
      <c r="M23" s="446"/>
      <c r="N23" s="447"/>
      <c r="O23" s="293">
        <v>2</v>
      </c>
      <c r="P23" s="321">
        <f>+H23+J23</f>
        <v>72750</v>
      </c>
      <c r="Q23" s="454">
        <v>156</v>
      </c>
      <c r="R23" s="293" t="s">
        <v>163</v>
      </c>
      <c r="S23" s="293" t="s">
        <v>1678</v>
      </c>
      <c r="T23" s="293" t="s">
        <v>1679</v>
      </c>
      <c r="U23" s="293" t="s">
        <v>1680</v>
      </c>
      <c r="V23" s="293" t="s">
        <v>1681</v>
      </c>
      <c r="W23" s="293" t="s">
        <v>1682</v>
      </c>
      <c r="X23" s="763" t="s">
        <v>2261</v>
      </c>
    </row>
    <row r="24" spans="1:24" ht="109.5" customHeight="1" x14ac:dyDescent="0.25">
      <c r="A24" s="425"/>
      <c r="B24" s="829"/>
      <c r="C24" s="445" t="s">
        <v>1683</v>
      </c>
      <c r="D24" s="445" t="s">
        <v>1684</v>
      </c>
      <c r="E24" s="293" t="s">
        <v>1685</v>
      </c>
      <c r="F24" s="290" t="s">
        <v>1686</v>
      </c>
      <c r="G24" s="455">
        <v>0.1</v>
      </c>
      <c r="H24" s="456"/>
      <c r="I24" s="455">
        <v>0.25</v>
      </c>
      <c r="J24" s="456"/>
      <c r="K24" s="455">
        <v>0.3</v>
      </c>
      <c r="L24" s="456"/>
      <c r="M24" s="455">
        <v>0.35</v>
      </c>
      <c r="N24" s="456"/>
      <c r="O24" s="455">
        <v>1</v>
      </c>
      <c r="P24" s="321">
        <f>+H24+J24+L24+N24</f>
        <v>0</v>
      </c>
      <c r="Q24" s="290">
        <v>31</v>
      </c>
      <c r="R24" s="290" t="s">
        <v>1687</v>
      </c>
      <c r="S24" s="274" t="s">
        <v>1688</v>
      </c>
      <c r="T24" s="274" t="s">
        <v>1689</v>
      </c>
      <c r="U24" s="275" t="s">
        <v>1690</v>
      </c>
      <c r="V24" s="276" t="s">
        <v>166</v>
      </c>
      <c r="W24" s="219" t="s">
        <v>1691</v>
      </c>
      <c r="X24" s="763" t="s">
        <v>2261</v>
      </c>
    </row>
    <row r="25" spans="1:24" ht="151.5" customHeight="1" x14ac:dyDescent="0.25">
      <c r="A25" s="425"/>
      <c r="B25" s="829"/>
      <c r="C25" s="457" t="s">
        <v>1693</v>
      </c>
      <c r="D25" s="458" t="s">
        <v>1694</v>
      </c>
      <c r="E25" s="293" t="s">
        <v>1695</v>
      </c>
      <c r="F25" s="324" t="s">
        <v>2210</v>
      </c>
      <c r="G25" s="708">
        <v>1</v>
      </c>
      <c r="H25" s="456"/>
      <c r="I25" s="459"/>
      <c r="J25" s="456"/>
      <c r="K25" s="459"/>
      <c r="L25" s="456"/>
      <c r="M25" s="459"/>
      <c r="N25" s="456"/>
      <c r="O25" s="293">
        <v>1</v>
      </c>
      <c r="P25" s="321">
        <f>+H25+J25+L25+N25</f>
        <v>0</v>
      </c>
      <c r="Q25" s="290">
        <v>96</v>
      </c>
      <c r="R25" s="290" t="s">
        <v>1696</v>
      </c>
      <c r="S25" s="290" t="s">
        <v>1697</v>
      </c>
      <c r="T25" s="709" t="s">
        <v>1698</v>
      </c>
      <c r="U25" s="290" t="s">
        <v>1699</v>
      </c>
      <c r="V25" s="290" t="s">
        <v>1700</v>
      </c>
      <c r="W25" s="293" t="s">
        <v>1701</v>
      </c>
      <c r="X25" s="763" t="s">
        <v>2261</v>
      </c>
    </row>
    <row r="26" spans="1:24" ht="179.25" customHeight="1" x14ac:dyDescent="0.25">
      <c r="A26" s="425"/>
      <c r="B26" s="830"/>
      <c r="C26" s="460" t="s">
        <v>1702</v>
      </c>
      <c r="D26" s="451" t="s">
        <v>1703</v>
      </c>
      <c r="E26" s="293" t="s">
        <v>1704</v>
      </c>
      <c r="F26" s="290" t="s">
        <v>2211</v>
      </c>
      <c r="G26" s="456"/>
      <c r="H26" s="456"/>
      <c r="I26" s="456"/>
      <c r="J26" s="456"/>
      <c r="K26" s="456"/>
      <c r="L26" s="456"/>
      <c r="M26" s="456">
        <v>1</v>
      </c>
      <c r="N26" s="456">
        <v>635</v>
      </c>
      <c r="O26" s="456">
        <v>1</v>
      </c>
      <c r="P26" s="321">
        <v>635</v>
      </c>
      <c r="Q26" s="454">
        <v>156</v>
      </c>
      <c r="R26" s="293" t="s">
        <v>163</v>
      </c>
      <c r="S26" s="290" t="s">
        <v>2212</v>
      </c>
      <c r="T26" s="290" t="s">
        <v>2213</v>
      </c>
      <c r="U26" s="290" t="s">
        <v>2214</v>
      </c>
      <c r="V26" s="290" t="s">
        <v>1705</v>
      </c>
      <c r="W26" s="431" t="s">
        <v>1706</v>
      </c>
      <c r="X26" s="763" t="s">
        <v>2261</v>
      </c>
    </row>
    <row r="27" spans="1:24" ht="113.25" customHeight="1" x14ac:dyDescent="0.25">
      <c r="A27" s="425"/>
      <c r="B27" s="541"/>
      <c r="C27" s="460"/>
      <c r="D27" s="451"/>
      <c r="E27" s="293"/>
      <c r="F27" s="700" t="s">
        <v>2052</v>
      </c>
      <c r="G27" s="456"/>
      <c r="H27" s="456"/>
      <c r="I27" s="456"/>
      <c r="J27" s="456"/>
      <c r="K27" s="456"/>
      <c r="L27" s="456">
        <v>3550</v>
      </c>
      <c r="M27" s="456"/>
      <c r="N27" s="456"/>
      <c r="O27" s="456"/>
      <c r="P27" s="321">
        <f>+H27+J27+L27+N27</f>
        <v>3550</v>
      </c>
      <c r="Q27" s="454"/>
      <c r="R27" s="293" t="s">
        <v>2070</v>
      </c>
      <c r="S27" s="290" t="s">
        <v>2215</v>
      </c>
      <c r="T27" s="290" t="s">
        <v>2071</v>
      </c>
      <c r="U27" s="290" t="s">
        <v>2072</v>
      </c>
      <c r="V27" s="290" t="s">
        <v>2073</v>
      </c>
      <c r="W27" s="431" t="s">
        <v>2074</v>
      </c>
      <c r="X27" s="763" t="s">
        <v>2261</v>
      </c>
    </row>
    <row r="28" spans="1:24" ht="15.6" customHeight="1" x14ac:dyDescent="0.25">
      <c r="A28" s="352"/>
      <c r="B28" s="353"/>
      <c r="C28" s="352" t="s">
        <v>120</v>
      </c>
      <c r="D28" s="353"/>
      <c r="E28" s="353"/>
      <c r="F28" s="354"/>
      <c r="G28" s="244">
        <f t="shared" ref="G28:M28" si="0">SUM(G7:G22)</f>
        <v>4.6500000000000004</v>
      </c>
      <c r="H28" s="244">
        <f>SUM(H7:H27)</f>
        <v>244510</v>
      </c>
      <c r="I28" s="244">
        <f t="shared" si="0"/>
        <v>3.2</v>
      </c>
      <c r="J28" s="244">
        <f>SUM(J7:J27)</f>
        <v>379180</v>
      </c>
      <c r="K28" s="244">
        <f t="shared" si="0"/>
        <v>3.9499999999999997</v>
      </c>
      <c r="L28" s="244">
        <f>SUM(L7:L27)</f>
        <v>148271</v>
      </c>
      <c r="M28" s="244">
        <f t="shared" si="0"/>
        <v>2.1999999999999997</v>
      </c>
      <c r="N28" s="244">
        <f>SUM(N7:N27)</f>
        <v>84635</v>
      </c>
      <c r="O28" s="244">
        <f>G28+I28+K28+M28</f>
        <v>14</v>
      </c>
      <c r="P28" s="245">
        <f>H28+J28+L28+N28+P23</f>
        <v>929346</v>
      </c>
      <c r="Q28" s="295"/>
      <c r="R28" s="295"/>
      <c r="S28" s="295"/>
      <c r="T28" s="295"/>
      <c r="U28" s="295"/>
      <c r="V28" s="295"/>
      <c r="W28" s="440"/>
    </row>
    <row r="29" spans="1:24" x14ac:dyDescent="0.25">
      <c r="E29" s="95"/>
    </row>
    <row r="30" spans="1:24" x14ac:dyDescent="0.25">
      <c r="E30" s="95"/>
    </row>
    <row r="31" spans="1:24" x14ac:dyDescent="0.25">
      <c r="E31" s="95"/>
    </row>
    <row r="32" spans="1:24" x14ac:dyDescent="0.25">
      <c r="E32" s="95"/>
    </row>
    <row r="33" spans="5:5" x14ac:dyDescent="0.25">
      <c r="E33" s="95"/>
    </row>
    <row r="34" spans="5:5" x14ac:dyDescent="0.25">
      <c r="E34" s="95"/>
    </row>
    <row r="35" spans="5:5" x14ac:dyDescent="0.25">
      <c r="E35" s="95"/>
    </row>
    <row r="36" spans="5:5" x14ac:dyDescent="0.25">
      <c r="E36" s="95"/>
    </row>
    <row r="37" spans="5:5" x14ac:dyDescent="0.25">
      <c r="E37" s="95"/>
    </row>
    <row r="38" spans="5:5" x14ac:dyDescent="0.25">
      <c r="E38" s="95"/>
    </row>
    <row r="39" spans="5:5" x14ac:dyDescent="0.25">
      <c r="E39" s="95"/>
    </row>
    <row r="40" spans="5:5" x14ac:dyDescent="0.25">
      <c r="E40" s="95"/>
    </row>
    <row r="41" spans="5:5" x14ac:dyDescent="0.25">
      <c r="E41" s="95"/>
    </row>
    <row r="42" spans="5:5" x14ac:dyDescent="0.25">
      <c r="E42" s="95"/>
    </row>
    <row r="43" spans="5:5" x14ac:dyDescent="0.25">
      <c r="E43" s="95"/>
    </row>
    <row r="44" spans="5:5" x14ac:dyDescent="0.25">
      <c r="E44" s="95"/>
    </row>
    <row r="45" spans="5:5" x14ac:dyDescent="0.25">
      <c r="E45" s="95"/>
    </row>
    <row r="46" spans="5:5" x14ac:dyDescent="0.25">
      <c r="E46" s="95"/>
    </row>
    <row r="47" spans="5:5" x14ac:dyDescent="0.25">
      <c r="E47" s="95"/>
    </row>
    <row r="48" spans="5:5" x14ac:dyDescent="0.25">
      <c r="E48" s="95"/>
    </row>
    <row r="49" spans="5:5" x14ac:dyDescent="0.25">
      <c r="E49" s="95"/>
    </row>
    <row r="50" spans="5:5" x14ac:dyDescent="0.25">
      <c r="E50" s="95"/>
    </row>
    <row r="51" spans="5:5" x14ac:dyDescent="0.25">
      <c r="E51" s="95"/>
    </row>
    <row r="52" spans="5:5" x14ac:dyDescent="0.25">
      <c r="E52" s="95"/>
    </row>
    <row r="53" spans="5:5" x14ac:dyDescent="0.25">
      <c r="E53" s="95"/>
    </row>
    <row r="54" spans="5:5" x14ac:dyDescent="0.25">
      <c r="E54" s="95"/>
    </row>
    <row r="55" spans="5:5" x14ac:dyDescent="0.25">
      <c r="E55" s="95"/>
    </row>
    <row r="56" spans="5:5" x14ac:dyDescent="0.25">
      <c r="E56" s="95"/>
    </row>
    <row r="57" spans="5:5" x14ac:dyDescent="0.25">
      <c r="E57" s="95"/>
    </row>
    <row r="58" spans="5:5" x14ac:dyDescent="0.25">
      <c r="E58" s="95"/>
    </row>
    <row r="59" spans="5:5" x14ac:dyDescent="0.25">
      <c r="E59" s="95"/>
    </row>
    <row r="60" spans="5:5" x14ac:dyDescent="0.25">
      <c r="E60" s="95"/>
    </row>
    <row r="61" spans="5:5" x14ac:dyDescent="0.25">
      <c r="E61" s="95"/>
    </row>
    <row r="62" spans="5:5" x14ac:dyDescent="0.25">
      <c r="E62" s="95"/>
    </row>
    <row r="63" spans="5:5" x14ac:dyDescent="0.25">
      <c r="E63" s="95"/>
    </row>
    <row r="64" spans="5:5" x14ac:dyDescent="0.25">
      <c r="E64" s="95"/>
    </row>
    <row r="65" spans="5:5" x14ac:dyDescent="0.25">
      <c r="E65" s="95"/>
    </row>
    <row r="66" spans="5:5" x14ac:dyDescent="0.25">
      <c r="E66" s="95"/>
    </row>
    <row r="67" spans="5:5" x14ac:dyDescent="0.25">
      <c r="E67" s="95"/>
    </row>
    <row r="68" spans="5:5" x14ac:dyDescent="0.25">
      <c r="E68" s="95"/>
    </row>
    <row r="69" spans="5:5" x14ac:dyDescent="0.25">
      <c r="E69" s="95"/>
    </row>
    <row r="70" spans="5:5" x14ac:dyDescent="0.25">
      <c r="E70" s="95"/>
    </row>
    <row r="71" spans="5:5" x14ac:dyDescent="0.25">
      <c r="E71" s="95"/>
    </row>
    <row r="72" spans="5:5" x14ac:dyDescent="0.25">
      <c r="E72" s="95"/>
    </row>
    <row r="73" spans="5:5" x14ac:dyDescent="0.25">
      <c r="E73" s="95"/>
    </row>
    <row r="74" spans="5:5" x14ac:dyDescent="0.25">
      <c r="E74" s="95"/>
    </row>
    <row r="75" spans="5:5" x14ac:dyDescent="0.25">
      <c r="E75" s="95"/>
    </row>
    <row r="76" spans="5:5" x14ac:dyDescent="0.25">
      <c r="E76" s="95"/>
    </row>
    <row r="77" spans="5:5" x14ac:dyDescent="0.25">
      <c r="E77" s="95"/>
    </row>
    <row r="78" spans="5:5" x14ac:dyDescent="0.25">
      <c r="E78" s="95"/>
    </row>
    <row r="79" spans="5:5" x14ac:dyDescent="0.25">
      <c r="E79" s="95"/>
    </row>
    <row r="80" spans="5:5" x14ac:dyDescent="0.25">
      <c r="E80" s="95"/>
    </row>
    <row r="81" spans="5:5" x14ac:dyDescent="0.25">
      <c r="E81" s="95"/>
    </row>
    <row r="82" spans="5:5" x14ac:dyDescent="0.25">
      <c r="E82" s="95"/>
    </row>
    <row r="83" spans="5:5" x14ac:dyDescent="0.25">
      <c r="E83" s="95"/>
    </row>
    <row r="84" spans="5:5" x14ac:dyDescent="0.25">
      <c r="E84" s="95"/>
    </row>
    <row r="85" spans="5:5" x14ac:dyDescent="0.25">
      <c r="E85" s="95"/>
    </row>
    <row r="86" spans="5:5" x14ac:dyDescent="0.25">
      <c r="E86" s="95"/>
    </row>
    <row r="87" spans="5:5" x14ac:dyDescent="0.25">
      <c r="E87" s="95"/>
    </row>
    <row r="88" spans="5:5" x14ac:dyDescent="0.25">
      <c r="E88" s="95"/>
    </row>
    <row r="89" spans="5:5" x14ac:dyDescent="0.25">
      <c r="E89" s="95"/>
    </row>
    <row r="90" spans="5:5" x14ac:dyDescent="0.25">
      <c r="E90" s="95"/>
    </row>
    <row r="91" spans="5:5" x14ac:dyDescent="0.25">
      <c r="E91" s="95"/>
    </row>
  </sheetData>
  <mergeCells count="30">
    <mergeCell ref="B23:B26"/>
    <mergeCell ref="A7:A14"/>
    <mergeCell ref="B7:B10"/>
    <mergeCell ref="B11:B18"/>
    <mergeCell ref="C12:C14"/>
    <mergeCell ref="D12:D14"/>
    <mergeCell ref="A15:A22"/>
    <mergeCell ref="C15:C16"/>
    <mergeCell ref="D15:D16"/>
    <mergeCell ref="B19:B22"/>
    <mergeCell ref="V4:V6"/>
    <mergeCell ref="W4:W6"/>
    <mergeCell ref="G5:H5"/>
    <mergeCell ref="I5:J5"/>
    <mergeCell ref="K5:L5"/>
    <mergeCell ref="M5:N5"/>
    <mergeCell ref="G4:N4"/>
    <mergeCell ref="O4:P5"/>
    <mergeCell ref="Q4:R5"/>
    <mergeCell ref="S4:S6"/>
    <mergeCell ref="T4:T6"/>
    <mergeCell ref="U4:U6"/>
    <mergeCell ref="A1:F1"/>
    <mergeCell ref="A2:F3"/>
    <mergeCell ref="A4:A6"/>
    <mergeCell ref="B4:B6"/>
    <mergeCell ref="C4:C6"/>
    <mergeCell ref="D4:D6"/>
    <mergeCell ref="E4:E6"/>
    <mergeCell ref="F4:F6"/>
  </mergeCells>
  <conditionalFormatting sqref="E7:E22">
    <cfRule type="duplicateValues" dxfId="2" priority="3"/>
  </conditionalFormatting>
  <conditionalFormatting sqref="E23:E24">
    <cfRule type="duplicateValues" dxfId="1" priority="2"/>
  </conditionalFormatting>
  <conditionalFormatting sqref="E25:E27">
    <cfRule type="duplicateValues" dxfId="0" priority="1"/>
  </conditionalFormatting>
  <pageMargins left="0.70866141732283472" right="0.70866141732283472" top="0.74803149606299213" bottom="0.74803149606299213" header="0.31496062992125984" footer="0.31496062992125984"/>
  <pageSetup paperSize="9"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X146"/>
  <sheetViews>
    <sheetView showGridLines="0" topLeftCell="O1" zoomScale="70" zoomScaleNormal="70" workbookViewId="0">
      <pane ySplit="5" topLeftCell="A6" activePane="bottomLeft" state="frozen"/>
      <selection sqref="A1:V1"/>
      <selection pane="bottomLeft" activeCell="X18" sqref="X18:X29"/>
    </sheetView>
  </sheetViews>
  <sheetFormatPr baseColWidth="10" defaultColWidth="12.5703125" defaultRowHeight="18.75" x14ac:dyDescent="0.25"/>
  <cols>
    <col min="1" max="1" width="21.7109375" style="296" customWidth="1"/>
    <col min="2" max="2" width="21.7109375" style="297" customWidth="1"/>
    <col min="3" max="4" width="27.42578125" style="297" customWidth="1"/>
    <col min="5" max="5" width="27.42578125" style="298" customWidth="1"/>
    <col min="6" max="6" width="27.42578125" style="297" customWidth="1"/>
    <col min="7" max="7" width="15.28515625" style="429" customWidth="1"/>
    <col min="8" max="8" width="28.140625" style="429" customWidth="1"/>
    <col min="9" max="9" width="15.28515625" style="429" customWidth="1"/>
    <col min="10" max="10" width="21.85546875" style="429" customWidth="1"/>
    <col min="11" max="11" width="15.28515625" style="429" customWidth="1"/>
    <col min="12" max="12" width="17.42578125" style="429" customWidth="1"/>
    <col min="13" max="13" width="15.28515625" style="429" customWidth="1"/>
    <col min="14" max="14" width="17.5703125" style="429" customWidth="1"/>
    <col min="15" max="15" width="19.140625" style="429" customWidth="1"/>
    <col min="16" max="16" width="26.7109375" style="429" customWidth="1"/>
    <col min="17" max="17" width="12.5703125" style="429"/>
    <col min="18" max="18" width="20" style="429" customWidth="1"/>
    <col min="19" max="19" width="18.7109375" style="297" customWidth="1"/>
    <col min="20" max="20" width="23.140625" style="297" customWidth="1"/>
    <col min="21" max="21" width="21" style="297" customWidth="1"/>
    <col min="22" max="22" width="18.85546875" style="297" customWidth="1"/>
    <col min="23" max="23" width="22.85546875" style="297" customWidth="1"/>
    <col min="24" max="24" width="37.5703125" style="286" customWidth="1"/>
    <col min="25" max="16384" width="12.5703125" style="286"/>
  </cols>
  <sheetData>
    <row r="1" spans="1:24" s="278" customFormat="1" x14ac:dyDescent="0.25">
      <c r="A1" s="412"/>
      <c r="B1" s="413"/>
      <c r="C1" s="413"/>
      <c r="D1" s="413"/>
      <c r="E1" s="413"/>
      <c r="F1" s="413"/>
      <c r="G1" s="351" t="s">
        <v>93</v>
      </c>
      <c r="H1" s="351"/>
      <c r="I1" s="351"/>
      <c r="J1" s="351"/>
      <c r="K1" s="351"/>
      <c r="L1" s="351"/>
      <c r="M1" s="351"/>
      <c r="N1" s="351"/>
      <c r="O1" s="351"/>
      <c r="P1" s="351"/>
      <c r="Q1" s="351"/>
      <c r="R1" s="351"/>
      <c r="S1" s="413"/>
      <c r="T1" s="413"/>
      <c r="U1" s="413"/>
      <c r="V1" s="413"/>
      <c r="W1" s="413"/>
    </row>
    <row r="2" spans="1:24" s="278" customFormat="1" ht="21" customHeight="1" x14ac:dyDescent="0.25">
      <c r="A2" s="414" t="s">
        <v>580</v>
      </c>
      <c r="B2" s="415"/>
      <c r="C2" s="415"/>
      <c r="D2" s="415"/>
      <c r="E2" s="395"/>
      <c r="F2" s="415"/>
      <c r="G2" s="416"/>
      <c r="H2" s="416"/>
      <c r="I2" s="416"/>
      <c r="J2" s="416"/>
      <c r="K2" s="416"/>
      <c r="L2" s="416"/>
      <c r="M2" s="416"/>
      <c r="N2" s="416"/>
      <c r="O2" s="416"/>
      <c r="P2" s="416"/>
      <c r="Q2" s="416"/>
      <c r="R2" s="416"/>
      <c r="S2" s="415"/>
      <c r="T2" s="415"/>
      <c r="U2" s="415"/>
      <c r="V2" s="415"/>
      <c r="W2" s="415"/>
    </row>
    <row r="3" spans="1:24" s="67" customFormat="1" ht="23.25" customHeight="1" x14ac:dyDescent="0.25">
      <c r="A3" s="840" t="s">
        <v>100</v>
      </c>
      <c r="B3" s="840" t="s">
        <v>118</v>
      </c>
      <c r="C3" s="841" t="s">
        <v>88</v>
      </c>
      <c r="D3" s="841" t="s">
        <v>89</v>
      </c>
      <c r="E3" s="842" t="s">
        <v>473</v>
      </c>
      <c r="F3" s="837" t="s">
        <v>90</v>
      </c>
      <c r="G3" s="846" t="s">
        <v>104</v>
      </c>
      <c r="H3" s="848"/>
      <c r="I3" s="848"/>
      <c r="J3" s="848"/>
      <c r="K3" s="848"/>
      <c r="L3" s="848"/>
      <c r="M3" s="848"/>
      <c r="N3" s="847"/>
      <c r="O3" s="849" t="s">
        <v>105</v>
      </c>
      <c r="P3" s="850"/>
      <c r="Q3" s="853" t="s">
        <v>106</v>
      </c>
      <c r="R3" s="854"/>
      <c r="S3" s="843" t="s">
        <v>107</v>
      </c>
      <c r="T3" s="843" t="s">
        <v>108</v>
      </c>
      <c r="U3" s="843" t="s">
        <v>116</v>
      </c>
      <c r="V3" s="843" t="s">
        <v>115</v>
      </c>
      <c r="W3" s="837" t="s">
        <v>91</v>
      </c>
    </row>
    <row r="4" spans="1:24" s="67" customFormat="1" ht="15" customHeight="1" x14ac:dyDescent="0.25">
      <c r="A4" s="840"/>
      <c r="B4" s="840"/>
      <c r="C4" s="841"/>
      <c r="D4" s="841"/>
      <c r="E4" s="842"/>
      <c r="F4" s="838"/>
      <c r="G4" s="846" t="s">
        <v>109</v>
      </c>
      <c r="H4" s="847"/>
      <c r="I4" s="846" t="s">
        <v>110</v>
      </c>
      <c r="J4" s="847"/>
      <c r="K4" s="846" t="s">
        <v>111</v>
      </c>
      <c r="L4" s="847"/>
      <c r="M4" s="846" t="s">
        <v>112</v>
      </c>
      <c r="N4" s="847"/>
      <c r="O4" s="851"/>
      <c r="P4" s="852"/>
      <c r="Q4" s="855"/>
      <c r="R4" s="856"/>
      <c r="S4" s="844"/>
      <c r="T4" s="844"/>
      <c r="U4" s="844"/>
      <c r="V4" s="844"/>
      <c r="W4" s="838"/>
    </row>
    <row r="5" spans="1:24" s="67" customFormat="1" ht="45.75" customHeight="1" x14ac:dyDescent="0.25">
      <c r="A5" s="840"/>
      <c r="B5" s="840"/>
      <c r="C5" s="841"/>
      <c r="D5" s="841"/>
      <c r="E5" s="842"/>
      <c r="F5" s="839"/>
      <c r="G5" s="417" t="s">
        <v>113</v>
      </c>
      <c r="H5" s="417" t="s">
        <v>12</v>
      </c>
      <c r="I5" s="417" t="s">
        <v>113</v>
      </c>
      <c r="J5" s="417" t="s">
        <v>12</v>
      </c>
      <c r="K5" s="417" t="s">
        <v>113</v>
      </c>
      <c r="L5" s="417" t="s">
        <v>12</v>
      </c>
      <c r="M5" s="417" t="s">
        <v>113</v>
      </c>
      <c r="N5" s="417" t="s">
        <v>12</v>
      </c>
      <c r="O5" s="417" t="s">
        <v>113</v>
      </c>
      <c r="P5" s="417" t="s">
        <v>12</v>
      </c>
      <c r="Q5" s="417" t="s">
        <v>114</v>
      </c>
      <c r="R5" s="417" t="s">
        <v>85</v>
      </c>
      <c r="S5" s="845"/>
      <c r="T5" s="845"/>
      <c r="U5" s="845"/>
      <c r="V5" s="845"/>
      <c r="W5" s="839"/>
    </row>
    <row r="6" spans="1:24" ht="221.25" customHeight="1" x14ac:dyDescent="0.25">
      <c r="A6" s="822" t="s">
        <v>581</v>
      </c>
      <c r="B6" s="280" t="s">
        <v>582</v>
      </c>
      <c r="C6" s="281" t="s">
        <v>583</v>
      </c>
      <c r="D6" s="282" t="s">
        <v>127</v>
      </c>
      <c r="E6" s="710" t="s">
        <v>1630</v>
      </c>
      <c r="F6" s="431" t="s">
        <v>584</v>
      </c>
      <c r="G6" s="407">
        <v>0</v>
      </c>
      <c r="H6" s="407">
        <v>5392.5</v>
      </c>
      <c r="I6" s="407">
        <v>2</v>
      </c>
      <c r="J6" s="407">
        <v>25400</v>
      </c>
      <c r="K6" s="407">
        <v>3</v>
      </c>
      <c r="L6" s="407">
        <v>0</v>
      </c>
      <c r="M6" s="407">
        <v>3</v>
      </c>
      <c r="N6" s="407">
        <v>0</v>
      </c>
      <c r="O6" s="407">
        <f>G6+I6+K6+M6</f>
        <v>8</v>
      </c>
      <c r="P6" s="407">
        <f>H6+J6+L6+N6</f>
        <v>30792.5</v>
      </c>
      <c r="Q6" s="407">
        <v>86</v>
      </c>
      <c r="R6" s="407" t="s">
        <v>1573</v>
      </c>
      <c r="S6" s="283" t="s">
        <v>1574</v>
      </c>
      <c r="T6" s="283" t="s">
        <v>1575</v>
      </c>
      <c r="U6" s="283" t="s">
        <v>1576</v>
      </c>
      <c r="V6" s="283" t="s">
        <v>1577</v>
      </c>
      <c r="W6" s="393" t="s">
        <v>1578</v>
      </c>
      <c r="X6" s="763" t="s">
        <v>2261</v>
      </c>
    </row>
    <row r="7" spans="1:24" ht="184.5" customHeight="1" x14ac:dyDescent="0.25">
      <c r="A7" s="822"/>
      <c r="B7" s="857" t="s">
        <v>585</v>
      </c>
      <c r="C7" s="281" t="s">
        <v>586</v>
      </c>
      <c r="D7" s="282" t="s">
        <v>587</v>
      </c>
      <c r="E7" s="393" t="s">
        <v>1631</v>
      </c>
      <c r="F7" s="293" t="s">
        <v>1994</v>
      </c>
      <c r="G7" s="408">
        <v>0</v>
      </c>
      <c r="H7" s="408">
        <v>0</v>
      </c>
      <c r="I7" s="408">
        <v>0</v>
      </c>
      <c r="J7" s="408">
        <f>245380+273050</f>
        <v>518430</v>
      </c>
      <c r="K7" s="408">
        <v>0</v>
      </c>
      <c r="L7" s="409">
        <v>0</v>
      </c>
      <c r="M7" s="408">
        <v>2</v>
      </c>
      <c r="N7" s="408">
        <v>15400</v>
      </c>
      <c r="O7" s="408">
        <f>G7+I7+K7+M7</f>
        <v>2</v>
      </c>
      <c r="P7" s="408">
        <f>H7+J7+L7+N7</f>
        <v>533830</v>
      </c>
      <c r="Q7" s="407">
        <v>120</v>
      </c>
      <c r="R7" s="407" t="s">
        <v>1579</v>
      </c>
      <c r="S7" s="283" t="s">
        <v>1574</v>
      </c>
      <c r="T7" s="283" t="s">
        <v>1580</v>
      </c>
      <c r="U7" s="283" t="s">
        <v>1581</v>
      </c>
      <c r="V7" s="283" t="s">
        <v>1582</v>
      </c>
      <c r="W7" s="393" t="s">
        <v>1578</v>
      </c>
      <c r="X7" s="763" t="s">
        <v>2261</v>
      </c>
    </row>
    <row r="8" spans="1:24" ht="135.75" customHeight="1" x14ac:dyDescent="0.25">
      <c r="A8" s="822"/>
      <c r="B8" s="858"/>
      <c r="C8" s="393" t="s">
        <v>588</v>
      </c>
      <c r="D8" s="860" t="s">
        <v>589</v>
      </c>
      <c r="E8" s="393" t="s">
        <v>1632</v>
      </c>
      <c r="F8" s="431" t="s">
        <v>1583</v>
      </c>
      <c r="G8" s="408">
        <v>1</v>
      </c>
      <c r="H8" s="408">
        <v>5250</v>
      </c>
      <c r="I8" s="408">
        <v>0</v>
      </c>
      <c r="J8" s="408">
        <v>0</v>
      </c>
      <c r="K8" s="408">
        <v>0</v>
      </c>
      <c r="L8" s="409">
        <v>0</v>
      </c>
      <c r="M8" s="408">
        <v>0</v>
      </c>
      <c r="N8" s="408">
        <v>0</v>
      </c>
      <c r="O8" s="408">
        <f t="shared" ref="O8:P23" si="0">G8+I8+K8+M8</f>
        <v>1</v>
      </c>
      <c r="P8" s="408">
        <f t="shared" si="0"/>
        <v>5250</v>
      </c>
      <c r="Q8" s="407">
        <v>120</v>
      </c>
      <c r="R8" s="407" t="s">
        <v>1579</v>
      </c>
      <c r="S8" s="283" t="s">
        <v>1574</v>
      </c>
      <c r="T8" s="283" t="s">
        <v>1580</v>
      </c>
      <c r="U8" s="283" t="s">
        <v>1581</v>
      </c>
      <c r="V8" s="283" t="s">
        <v>1584</v>
      </c>
      <c r="W8" s="393" t="s">
        <v>1578</v>
      </c>
      <c r="X8" s="763" t="s">
        <v>2261</v>
      </c>
    </row>
    <row r="9" spans="1:24" ht="80.25" customHeight="1" x14ac:dyDescent="0.25">
      <c r="A9" s="822"/>
      <c r="B9" s="858"/>
      <c r="C9" s="861" t="s">
        <v>590</v>
      </c>
      <c r="D9" s="860"/>
      <c r="E9" s="393" t="s">
        <v>1634</v>
      </c>
      <c r="F9" s="287" t="s">
        <v>2216</v>
      </c>
      <c r="G9" s="408">
        <v>0</v>
      </c>
      <c r="H9" s="408">
        <v>0</v>
      </c>
      <c r="I9" s="408">
        <v>2</v>
      </c>
      <c r="J9" s="408">
        <v>2000</v>
      </c>
      <c r="K9" s="408">
        <v>2</v>
      </c>
      <c r="L9" s="409">
        <v>2000</v>
      </c>
      <c r="M9" s="408">
        <v>2</v>
      </c>
      <c r="N9" s="408">
        <v>2000</v>
      </c>
      <c r="O9" s="408">
        <f t="shared" si="0"/>
        <v>6</v>
      </c>
      <c r="P9" s="408">
        <f t="shared" si="0"/>
        <v>6000</v>
      </c>
      <c r="Q9" s="407">
        <v>120</v>
      </c>
      <c r="R9" s="407" t="s">
        <v>1579</v>
      </c>
      <c r="S9" s="283" t="s">
        <v>1574</v>
      </c>
      <c r="T9" s="283" t="s">
        <v>1580</v>
      </c>
      <c r="U9" s="283" t="s">
        <v>1581</v>
      </c>
      <c r="V9" s="283" t="s">
        <v>1584</v>
      </c>
      <c r="W9" s="393" t="s">
        <v>1578</v>
      </c>
      <c r="X9" s="762" t="s">
        <v>2261</v>
      </c>
    </row>
    <row r="10" spans="1:24" ht="114" customHeight="1" x14ac:dyDescent="0.25">
      <c r="A10" s="822"/>
      <c r="B10" s="858"/>
      <c r="C10" s="861"/>
      <c r="D10" s="860"/>
      <c r="E10" s="393" t="s">
        <v>1636</v>
      </c>
      <c r="F10" s="287" t="s">
        <v>2217</v>
      </c>
      <c r="G10" s="408">
        <v>0</v>
      </c>
      <c r="H10" s="408">
        <v>0</v>
      </c>
      <c r="I10" s="408">
        <v>1</v>
      </c>
      <c r="J10" s="408">
        <v>2625</v>
      </c>
      <c r="K10" s="408">
        <v>1</v>
      </c>
      <c r="L10" s="409">
        <v>2625</v>
      </c>
      <c r="M10" s="408"/>
      <c r="N10" s="408"/>
      <c r="O10" s="408">
        <f t="shared" si="0"/>
        <v>2</v>
      </c>
      <c r="P10" s="408">
        <f t="shared" si="0"/>
        <v>5250</v>
      </c>
      <c r="Q10" s="407">
        <v>120</v>
      </c>
      <c r="R10" s="407" t="s">
        <v>1579</v>
      </c>
      <c r="S10" s="283" t="s">
        <v>1574</v>
      </c>
      <c r="T10" s="283" t="s">
        <v>1580</v>
      </c>
      <c r="U10" s="283" t="s">
        <v>1581</v>
      </c>
      <c r="V10" s="283" t="s">
        <v>1584</v>
      </c>
      <c r="W10" s="393" t="s">
        <v>1578</v>
      </c>
      <c r="X10" s="762" t="s">
        <v>2261</v>
      </c>
    </row>
    <row r="11" spans="1:24" ht="99" customHeight="1" x14ac:dyDescent="0.25">
      <c r="A11" s="822"/>
      <c r="B11" s="858"/>
      <c r="C11" s="861"/>
      <c r="D11" s="860"/>
      <c r="E11" s="393" t="s">
        <v>1637</v>
      </c>
      <c r="F11" s="287" t="s">
        <v>2218</v>
      </c>
      <c r="G11" s="408">
        <v>0</v>
      </c>
      <c r="H11" s="408">
        <v>0</v>
      </c>
      <c r="I11" s="408">
        <v>1</v>
      </c>
      <c r="J11" s="408">
        <v>2625</v>
      </c>
      <c r="K11" s="408"/>
      <c r="L11" s="409"/>
      <c r="M11" s="408">
        <v>1</v>
      </c>
      <c r="N11" s="408">
        <v>2625</v>
      </c>
      <c r="O11" s="408">
        <f t="shared" si="0"/>
        <v>2</v>
      </c>
      <c r="P11" s="408">
        <f t="shared" si="0"/>
        <v>5250</v>
      </c>
      <c r="Q11" s="407">
        <v>120</v>
      </c>
      <c r="R11" s="407" t="s">
        <v>1579</v>
      </c>
      <c r="S11" s="283" t="s">
        <v>1574</v>
      </c>
      <c r="T11" s="283" t="s">
        <v>1580</v>
      </c>
      <c r="U11" s="283" t="s">
        <v>1581</v>
      </c>
      <c r="V11" s="283" t="s">
        <v>1584</v>
      </c>
      <c r="W11" s="393" t="s">
        <v>1578</v>
      </c>
      <c r="X11" s="762" t="s">
        <v>2261</v>
      </c>
    </row>
    <row r="12" spans="1:24" ht="91.5" customHeight="1" x14ac:dyDescent="0.25">
      <c r="A12" s="822"/>
      <c r="B12" s="858"/>
      <c r="C12" s="861"/>
      <c r="D12" s="860"/>
      <c r="E12" s="393" t="s">
        <v>1638</v>
      </c>
      <c r="F12" s="287" t="s">
        <v>1585</v>
      </c>
      <c r="G12" s="408">
        <v>1</v>
      </c>
      <c r="H12" s="408">
        <v>0</v>
      </c>
      <c r="I12" s="408"/>
      <c r="J12" s="408"/>
      <c r="K12" s="408">
        <v>1</v>
      </c>
      <c r="L12" s="409">
        <v>0</v>
      </c>
      <c r="M12" s="408"/>
      <c r="N12" s="408">
        <v>0</v>
      </c>
      <c r="O12" s="408">
        <f t="shared" si="0"/>
        <v>2</v>
      </c>
      <c r="P12" s="408">
        <f t="shared" si="0"/>
        <v>0</v>
      </c>
      <c r="Q12" s="407">
        <v>120</v>
      </c>
      <c r="R12" s="407" t="s">
        <v>1579</v>
      </c>
      <c r="S12" s="283" t="s">
        <v>1574</v>
      </c>
      <c r="T12" s="283" t="s">
        <v>1580</v>
      </c>
      <c r="U12" s="283" t="s">
        <v>1581</v>
      </c>
      <c r="V12" s="283" t="s">
        <v>1584</v>
      </c>
      <c r="W12" s="393" t="s">
        <v>1578</v>
      </c>
      <c r="X12" s="762" t="s">
        <v>2261</v>
      </c>
    </row>
    <row r="13" spans="1:24" ht="96" customHeight="1" x14ac:dyDescent="0.25">
      <c r="A13" s="822"/>
      <c r="B13" s="858"/>
      <c r="C13" s="861"/>
      <c r="D13" s="860"/>
      <c r="E13" s="393" t="s">
        <v>1566</v>
      </c>
      <c r="F13" s="287" t="s">
        <v>1586</v>
      </c>
      <c r="G13" s="408">
        <v>0</v>
      </c>
      <c r="H13" s="408">
        <v>0</v>
      </c>
      <c r="I13" s="408">
        <v>1</v>
      </c>
      <c r="J13" s="408">
        <v>2000</v>
      </c>
      <c r="K13" s="408">
        <v>1</v>
      </c>
      <c r="L13" s="409">
        <v>2000</v>
      </c>
      <c r="M13" s="408">
        <v>1</v>
      </c>
      <c r="N13" s="408">
        <v>2000</v>
      </c>
      <c r="O13" s="408">
        <f t="shared" si="0"/>
        <v>3</v>
      </c>
      <c r="P13" s="408">
        <f t="shared" si="0"/>
        <v>6000</v>
      </c>
      <c r="Q13" s="407">
        <v>120</v>
      </c>
      <c r="R13" s="407" t="s">
        <v>1579</v>
      </c>
      <c r="S13" s="283" t="s">
        <v>1574</v>
      </c>
      <c r="T13" s="283" t="s">
        <v>1580</v>
      </c>
      <c r="U13" s="283" t="s">
        <v>1581</v>
      </c>
      <c r="V13" s="283" t="s">
        <v>1584</v>
      </c>
      <c r="W13" s="393" t="s">
        <v>1587</v>
      </c>
      <c r="X13" s="763" t="s">
        <v>2261</v>
      </c>
    </row>
    <row r="14" spans="1:24" ht="135" customHeight="1" x14ac:dyDescent="0.25">
      <c r="A14" s="822"/>
      <c r="B14" s="858"/>
      <c r="C14" s="861"/>
      <c r="D14" s="418"/>
      <c r="E14" s="393" t="s">
        <v>1639</v>
      </c>
      <c r="F14" s="287" t="s">
        <v>2219</v>
      </c>
      <c r="G14" s="408">
        <v>1</v>
      </c>
      <c r="H14" s="408">
        <v>1500</v>
      </c>
      <c r="I14" s="408">
        <v>1</v>
      </c>
      <c r="J14" s="408">
        <v>1500</v>
      </c>
      <c r="K14" s="408">
        <v>1</v>
      </c>
      <c r="L14" s="409">
        <v>1000</v>
      </c>
      <c r="M14" s="408">
        <v>1</v>
      </c>
      <c r="N14" s="408">
        <v>2000</v>
      </c>
      <c r="O14" s="408">
        <f t="shared" si="0"/>
        <v>4</v>
      </c>
      <c r="P14" s="408">
        <f t="shared" si="0"/>
        <v>6000</v>
      </c>
      <c r="Q14" s="411">
        <v>414</v>
      </c>
      <c r="R14" s="407" t="s">
        <v>1588</v>
      </c>
      <c r="S14" s="283" t="s">
        <v>1574</v>
      </c>
      <c r="T14" s="283" t="s">
        <v>1580</v>
      </c>
      <c r="U14" s="283" t="s">
        <v>2220</v>
      </c>
      <c r="V14" s="283" t="s">
        <v>1589</v>
      </c>
      <c r="W14" s="393" t="s">
        <v>1587</v>
      </c>
      <c r="X14" s="763" t="s">
        <v>2261</v>
      </c>
    </row>
    <row r="15" spans="1:24" ht="135" customHeight="1" x14ac:dyDescent="0.25">
      <c r="A15" s="822"/>
      <c r="B15" s="858"/>
      <c r="C15" s="861"/>
      <c r="D15" s="418"/>
      <c r="E15" s="393" t="s">
        <v>1640</v>
      </c>
      <c r="F15" s="287" t="s">
        <v>1590</v>
      </c>
      <c r="G15" s="408">
        <v>1</v>
      </c>
      <c r="H15" s="408">
        <v>1000</v>
      </c>
      <c r="I15" s="408">
        <v>1</v>
      </c>
      <c r="J15" s="408">
        <v>1000</v>
      </c>
      <c r="K15" s="408">
        <v>2</v>
      </c>
      <c r="L15" s="409">
        <v>2050</v>
      </c>
      <c r="M15" s="408">
        <v>0</v>
      </c>
      <c r="N15" s="408">
        <v>0</v>
      </c>
      <c r="O15" s="408">
        <f t="shared" si="0"/>
        <v>4</v>
      </c>
      <c r="P15" s="408">
        <f t="shared" si="0"/>
        <v>4050</v>
      </c>
      <c r="Q15" s="411">
        <v>339</v>
      </c>
      <c r="R15" s="407" t="s">
        <v>1591</v>
      </c>
      <c r="S15" s="283" t="s">
        <v>1592</v>
      </c>
      <c r="T15" s="283" t="s">
        <v>1593</v>
      </c>
      <c r="U15" s="283" t="s">
        <v>1581</v>
      </c>
      <c r="V15" s="283" t="s">
        <v>1589</v>
      </c>
      <c r="W15" s="393" t="s">
        <v>1578</v>
      </c>
      <c r="X15" s="763" t="s">
        <v>2261</v>
      </c>
    </row>
    <row r="16" spans="1:24" ht="178.5" customHeight="1" x14ac:dyDescent="0.25">
      <c r="A16" s="822"/>
      <c r="B16" s="859"/>
      <c r="C16" s="861"/>
      <c r="D16" s="862" t="s">
        <v>591</v>
      </c>
      <c r="E16" s="393" t="s">
        <v>1641</v>
      </c>
      <c r="F16" s="287" t="s">
        <v>1594</v>
      </c>
      <c r="G16" s="408">
        <v>1</v>
      </c>
      <c r="H16" s="419">
        <v>56000</v>
      </c>
      <c r="I16" s="419">
        <v>0</v>
      </c>
      <c r="J16" s="419">
        <v>0</v>
      </c>
      <c r="K16" s="419">
        <v>0</v>
      </c>
      <c r="L16" s="420">
        <v>0</v>
      </c>
      <c r="M16" s="419">
        <v>0</v>
      </c>
      <c r="N16" s="408">
        <v>0</v>
      </c>
      <c r="O16" s="408">
        <f t="shared" si="0"/>
        <v>1</v>
      </c>
      <c r="P16" s="408">
        <f t="shared" si="0"/>
        <v>56000</v>
      </c>
      <c r="Q16" s="407">
        <v>120</v>
      </c>
      <c r="R16" s="407" t="s">
        <v>1579</v>
      </c>
      <c r="S16" s="283" t="s">
        <v>1574</v>
      </c>
      <c r="T16" s="283" t="s">
        <v>1580</v>
      </c>
      <c r="U16" s="283" t="s">
        <v>1581</v>
      </c>
      <c r="V16" s="283" t="s">
        <v>1584</v>
      </c>
      <c r="W16" s="393" t="s">
        <v>1578</v>
      </c>
      <c r="X16" s="762" t="s">
        <v>2261</v>
      </c>
    </row>
    <row r="17" spans="1:24" ht="178.5" customHeight="1" x14ac:dyDescent="0.25">
      <c r="A17" s="822"/>
      <c r="B17" s="392"/>
      <c r="C17" s="281"/>
      <c r="D17" s="863"/>
      <c r="E17" s="710" t="s">
        <v>682</v>
      </c>
      <c r="F17" s="287" t="s">
        <v>1595</v>
      </c>
      <c r="G17" s="408">
        <v>1</v>
      </c>
      <c r="H17" s="408">
        <v>0</v>
      </c>
      <c r="I17" s="408">
        <v>1</v>
      </c>
      <c r="J17" s="408">
        <v>0</v>
      </c>
      <c r="K17" s="408">
        <v>1</v>
      </c>
      <c r="L17" s="409">
        <v>0</v>
      </c>
      <c r="M17" s="408">
        <v>1</v>
      </c>
      <c r="N17" s="408">
        <v>0</v>
      </c>
      <c r="O17" s="408">
        <f t="shared" si="0"/>
        <v>4</v>
      </c>
      <c r="P17" s="408">
        <f t="shared" si="0"/>
        <v>0</v>
      </c>
      <c r="Q17" s="411">
        <v>86</v>
      </c>
      <c r="R17" s="411" t="s">
        <v>1573</v>
      </c>
      <c r="S17" s="297" t="s">
        <v>1596</v>
      </c>
      <c r="T17" s="283" t="s">
        <v>1597</v>
      </c>
      <c r="U17" s="283" t="s">
        <v>1598</v>
      </c>
      <c r="V17" s="283" t="s">
        <v>1589</v>
      </c>
      <c r="W17" s="393" t="s">
        <v>1578</v>
      </c>
      <c r="X17" s="762" t="s">
        <v>2261</v>
      </c>
    </row>
    <row r="18" spans="1:24" ht="185.25" customHeight="1" x14ac:dyDescent="0.25">
      <c r="A18" s="822"/>
      <c r="B18" s="280" t="s">
        <v>592</v>
      </c>
      <c r="C18" s="281" t="s">
        <v>593</v>
      </c>
      <c r="D18" s="282"/>
      <c r="E18" s="710" t="s">
        <v>682</v>
      </c>
      <c r="F18" s="432" t="s">
        <v>594</v>
      </c>
      <c r="G18" s="408">
        <v>2</v>
      </c>
      <c r="H18" s="408">
        <v>0</v>
      </c>
      <c r="I18" s="408">
        <v>3</v>
      </c>
      <c r="J18" s="408">
        <v>0</v>
      </c>
      <c r="K18" s="408">
        <v>1</v>
      </c>
      <c r="L18" s="409">
        <v>0</v>
      </c>
      <c r="M18" s="408"/>
      <c r="N18" s="408">
        <v>0</v>
      </c>
      <c r="O18" s="408">
        <f t="shared" si="0"/>
        <v>6</v>
      </c>
      <c r="P18" s="408">
        <f>H18+J18+L18+N18</f>
        <v>0</v>
      </c>
      <c r="Q18" s="407">
        <v>120</v>
      </c>
      <c r="R18" s="407" t="s">
        <v>1579</v>
      </c>
      <c r="S18" s="283" t="s">
        <v>1574</v>
      </c>
      <c r="T18" s="283" t="s">
        <v>1599</v>
      </c>
      <c r="U18" s="283" t="s">
        <v>1581</v>
      </c>
      <c r="V18" s="283" t="s">
        <v>1584</v>
      </c>
      <c r="W18" s="393" t="s">
        <v>1578</v>
      </c>
      <c r="X18" s="763" t="s">
        <v>2261</v>
      </c>
    </row>
    <row r="19" spans="1:24" ht="116.25" customHeight="1" x14ac:dyDescent="0.25">
      <c r="A19" s="822"/>
      <c r="B19" s="864" t="s">
        <v>595</v>
      </c>
      <c r="C19" s="865" t="s">
        <v>596</v>
      </c>
      <c r="D19" s="282" t="s">
        <v>128</v>
      </c>
      <c r="E19" s="710" t="s">
        <v>682</v>
      </c>
      <c r="F19" s="287" t="s">
        <v>168</v>
      </c>
      <c r="G19" s="408">
        <v>0</v>
      </c>
      <c r="H19" s="408">
        <v>0</v>
      </c>
      <c r="I19" s="408">
        <v>1</v>
      </c>
      <c r="J19" s="408">
        <v>0</v>
      </c>
      <c r="K19" s="408">
        <v>1</v>
      </c>
      <c r="L19" s="409">
        <v>0</v>
      </c>
      <c r="M19" s="408">
        <v>1</v>
      </c>
      <c r="N19" s="408">
        <v>0</v>
      </c>
      <c r="O19" s="408">
        <f t="shared" si="0"/>
        <v>3</v>
      </c>
      <c r="P19" s="408">
        <f>H19+J19+L19+N19</f>
        <v>0</v>
      </c>
      <c r="Q19" s="407">
        <v>77</v>
      </c>
      <c r="R19" s="407" t="s">
        <v>1600</v>
      </c>
      <c r="S19" s="283" t="s">
        <v>1601</v>
      </c>
      <c r="T19" s="283" t="s">
        <v>1602</v>
      </c>
      <c r="U19" s="283" t="s">
        <v>1603</v>
      </c>
      <c r="V19" s="283" t="s">
        <v>1604</v>
      </c>
      <c r="W19" s="393" t="s">
        <v>1578</v>
      </c>
      <c r="X19" s="763" t="s">
        <v>2261</v>
      </c>
    </row>
    <row r="20" spans="1:24" ht="171.75" customHeight="1" x14ac:dyDescent="0.25">
      <c r="A20" s="822"/>
      <c r="B20" s="864"/>
      <c r="C20" s="865"/>
      <c r="D20" s="862" t="s">
        <v>597</v>
      </c>
      <c r="E20" s="710" t="s">
        <v>682</v>
      </c>
      <c r="F20" s="70" t="s">
        <v>598</v>
      </c>
      <c r="G20" s="407">
        <v>0</v>
      </c>
      <c r="H20" s="407">
        <v>0</v>
      </c>
      <c r="I20" s="407">
        <v>1</v>
      </c>
      <c r="J20" s="407">
        <v>0</v>
      </c>
      <c r="K20" s="407">
        <v>1</v>
      </c>
      <c r="L20" s="407">
        <v>0</v>
      </c>
      <c r="M20" s="407">
        <v>0</v>
      </c>
      <c r="N20" s="407">
        <v>0</v>
      </c>
      <c r="O20" s="407">
        <f t="shared" si="0"/>
        <v>2</v>
      </c>
      <c r="P20" s="407">
        <f t="shared" si="0"/>
        <v>0</v>
      </c>
      <c r="Q20" s="407">
        <v>120</v>
      </c>
      <c r="R20" s="407" t="s">
        <v>1579</v>
      </c>
      <c r="S20" s="283" t="s">
        <v>1574</v>
      </c>
      <c r="T20" s="283" t="s">
        <v>1605</v>
      </c>
      <c r="U20" s="283" t="s">
        <v>1581</v>
      </c>
      <c r="V20" s="283" t="s">
        <v>1584</v>
      </c>
      <c r="W20" s="393" t="s">
        <v>1578</v>
      </c>
      <c r="X20" s="763" t="s">
        <v>2261</v>
      </c>
    </row>
    <row r="21" spans="1:24" ht="130.5" customHeight="1" x14ac:dyDescent="0.25">
      <c r="A21" s="822"/>
      <c r="B21" s="864"/>
      <c r="C21" s="865"/>
      <c r="D21" s="866"/>
      <c r="E21" s="710" t="s">
        <v>682</v>
      </c>
      <c r="F21" s="70" t="s">
        <v>1606</v>
      </c>
      <c r="G21" s="407">
        <v>1</v>
      </c>
      <c r="H21" s="407">
        <v>0</v>
      </c>
      <c r="I21" s="407">
        <v>0</v>
      </c>
      <c r="J21" s="407">
        <v>0</v>
      </c>
      <c r="K21" s="407">
        <v>0</v>
      </c>
      <c r="L21" s="407">
        <v>0</v>
      </c>
      <c r="M21" s="407">
        <v>0</v>
      </c>
      <c r="N21" s="407">
        <v>0</v>
      </c>
      <c r="O21" s="407">
        <f t="shared" si="0"/>
        <v>1</v>
      </c>
      <c r="P21" s="407">
        <f>H21+J21+L21+N21</f>
        <v>0</v>
      </c>
      <c r="Q21" s="421">
        <v>86</v>
      </c>
      <c r="R21" s="421" t="s">
        <v>1607</v>
      </c>
      <c r="S21" s="422" t="s">
        <v>1608</v>
      </c>
      <c r="T21" s="422" t="s">
        <v>1609</v>
      </c>
      <c r="U21" s="422" t="s">
        <v>1610</v>
      </c>
      <c r="V21" s="422" t="s">
        <v>1611</v>
      </c>
      <c r="W21" s="393" t="s">
        <v>1578</v>
      </c>
      <c r="X21" s="763" t="s">
        <v>2261</v>
      </c>
    </row>
    <row r="22" spans="1:24" ht="79.5" customHeight="1" x14ac:dyDescent="0.25">
      <c r="A22" s="822"/>
      <c r="B22" s="864"/>
      <c r="C22" s="865"/>
      <c r="D22" s="866"/>
      <c r="E22" s="710" t="s">
        <v>682</v>
      </c>
      <c r="F22" s="70" t="s">
        <v>1612</v>
      </c>
      <c r="G22" s="407">
        <v>0</v>
      </c>
      <c r="H22" s="407">
        <v>0</v>
      </c>
      <c r="I22" s="407">
        <v>0</v>
      </c>
      <c r="J22" s="407">
        <v>0</v>
      </c>
      <c r="K22" s="407">
        <v>0</v>
      </c>
      <c r="L22" s="407">
        <v>0</v>
      </c>
      <c r="M22" s="407">
        <v>10</v>
      </c>
      <c r="N22" s="407">
        <v>0</v>
      </c>
      <c r="O22" s="407">
        <f t="shared" si="0"/>
        <v>10</v>
      </c>
      <c r="P22" s="407">
        <f t="shared" si="0"/>
        <v>0</v>
      </c>
      <c r="Q22" s="407">
        <v>77</v>
      </c>
      <c r="R22" s="407" t="s">
        <v>1600</v>
      </c>
      <c r="S22" s="283" t="s">
        <v>1601</v>
      </c>
      <c r="T22" s="283" t="s">
        <v>1602</v>
      </c>
      <c r="U22" s="283" t="s">
        <v>1603</v>
      </c>
      <c r="V22" s="422" t="s">
        <v>1611</v>
      </c>
      <c r="W22" s="393" t="s">
        <v>1578</v>
      </c>
      <c r="X22" s="763" t="s">
        <v>2261</v>
      </c>
    </row>
    <row r="23" spans="1:24" ht="85.5" customHeight="1" x14ac:dyDescent="0.25">
      <c r="A23" s="822"/>
      <c r="B23" s="864"/>
      <c r="C23" s="865"/>
      <c r="D23" s="863"/>
      <c r="E23" s="710" t="s">
        <v>682</v>
      </c>
      <c r="F23" s="70" t="s">
        <v>1613</v>
      </c>
      <c r="G23" s="407">
        <v>0</v>
      </c>
      <c r="H23" s="407">
        <v>0</v>
      </c>
      <c r="I23" s="407">
        <v>0</v>
      </c>
      <c r="J23" s="407">
        <v>0</v>
      </c>
      <c r="K23" s="407">
        <v>0</v>
      </c>
      <c r="L23" s="407">
        <v>0</v>
      </c>
      <c r="M23" s="407">
        <v>1</v>
      </c>
      <c r="N23" s="407">
        <v>500000</v>
      </c>
      <c r="O23" s="407">
        <f t="shared" si="0"/>
        <v>1</v>
      </c>
      <c r="P23" s="407">
        <f t="shared" si="0"/>
        <v>500000</v>
      </c>
      <c r="Q23" s="407">
        <v>131</v>
      </c>
      <c r="R23" s="407" t="s">
        <v>44</v>
      </c>
      <c r="S23" s="283" t="s">
        <v>1614</v>
      </c>
      <c r="T23" s="283" t="s">
        <v>1615</v>
      </c>
      <c r="U23" s="283" t="s">
        <v>1581</v>
      </c>
      <c r="V23" s="283" t="s">
        <v>1616</v>
      </c>
      <c r="W23" s="393" t="s">
        <v>1578</v>
      </c>
      <c r="X23" s="763" t="s">
        <v>2261</v>
      </c>
    </row>
    <row r="24" spans="1:24" ht="101.25" customHeight="1" x14ac:dyDescent="0.25">
      <c r="A24" s="822"/>
      <c r="B24" s="864"/>
      <c r="C24" s="865"/>
      <c r="D24" s="282" t="s">
        <v>599</v>
      </c>
      <c r="E24" s="710" t="s">
        <v>682</v>
      </c>
      <c r="F24" s="432" t="s">
        <v>600</v>
      </c>
      <c r="G24" s="408">
        <v>0</v>
      </c>
      <c r="H24" s="408">
        <v>0</v>
      </c>
      <c r="I24" s="408">
        <v>0</v>
      </c>
      <c r="J24" s="408">
        <v>0</v>
      </c>
      <c r="K24" s="408">
        <v>1</v>
      </c>
      <c r="L24" s="409">
        <v>0</v>
      </c>
      <c r="M24" s="408">
        <v>0</v>
      </c>
      <c r="N24" s="408">
        <v>0</v>
      </c>
      <c r="O24" s="408">
        <f t="shared" ref="O24:P29" si="1">G24+I24+K24+M24</f>
        <v>1</v>
      </c>
      <c r="P24" s="408">
        <f t="shared" si="1"/>
        <v>0</v>
      </c>
      <c r="Q24" s="407">
        <v>77</v>
      </c>
      <c r="R24" s="407" t="s">
        <v>1600</v>
      </c>
      <c r="S24" s="283" t="s">
        <v>1601</v>
      </c>
      <c r="T24" s="283" t="s">
        <v>1602</v>
      </c>
      <c r="U24" s="283" t="s">
        <v>1603</v>
      </c>
      <c r="V24" s="283" t="s">
        <v>1617</v>
      </c>
      <c r="W24" s="393" t="s">
        <v>1578</v>
      </c>
      <c r="X24" s="763" t="s">
        <v>2261</v>
      </c>
    </row>
    <row r="25" spans="1:24" ht="144" customHeight="1" x14ac:dyDescent="0.25">
      <c r="A25" s="822"/>
      <c r="B25" s="864"/>
      <c r="C25" s="865"/>
      <c r="D25" s="282" t="s">
        <v>601</v>
      </c>
      <c r="E25" s="710" t="s">
        <v>682</v>
      </c>
      <c r="F25" s="287" t="s">
        <v>172</v>
      </c>
      <c r="G25" s="419">
        <v>0</v>
      </c>
      <c r="H25" s="419">
        <v>0</v>
      </c>
      <c r="I25" s="408">
        <v>1</v>
      </c>
      <c r="J25" s="408">
        <v>5025</v>
      </c>
      <c r="K25" s="408">
        <v>1</v>
      </c>
      <c r="L25" s="409">
        <v>5025</v>
      </c>
      <c r="M25" s="408">
        <v>0</v>
      </c>
      <c r="N25" s="408">
        <v>0</v>
      </c>
      <c r="O25" s="408">
        <f t="shared" si="1"/>
        <v>2</v>
      </c>
      <c r="P25" s="408">
        <f t="shared" si="1"/>
        <v>10050</v>
      </c>
      <c r="Q25" s="407">
        <v>120</v>
      </c>
      <c r="R25" s="407" t="s">
        <v>1579</v>
      </c>
      <c r="S25" s="283" t="s">
        <v>1574</v>
      </c>
      <c r="T25" s="283" t="s">
        <v>1605</v>
      </c>
      <c r="U25" s="283" t="s">
        <v>1581</v>
      </c>
      <c r="V25" s="283" t="s">
        <v>1584</v>
      </c>
      <c r="W25" s="393" t="s">
        <v>1578</v>
      </c>
      <c r="X25" s="763" t="s">
        <v>2261</v>
      </c>
    </row>
    <row r="26" spans="1:24" ht="133.5" customHeight="1" x14ac:dyDescent="0.25">
      <c r="A26" s="822"/>
      <c r="B26" s="280" t="s">
        <v>602</v>
      </c>
      <c r="C26" s="861" t="s">
        <v>603</v>
      </c>
      <c r="D26" s="867" t="s">
        <v>604</v>
      </c>
      <c r="E26" s="710" t="s">
        <v>682</v>
      </c>
      <c r="F26" s="287" t="s">
        <v>605</v>
      </c>
      <c r="G26" s="408">
        <v>1</v>
      </c>
      <c r="H26" s="408">
        <v>0</v>
      </c>
      <c r="I26" s="423">
        <v>0</v>
      </c>
      <c r="J26" s="408">
        <v>0</v>
      </c>
      <c r="K26" s="408">
        <v>1</v>
      </c>
      <c r="L26" s="409">
        <v>0</v>
      </c>
      <c r="M26" s="408">
        <v>1</v>
      </c>
      <c r="N26" s="408">
        <v>0</v>
      </c>
      <c r="O26" s="408">
        <f t="shared" si="1"/>
        <v>3</v>
      </c>
      <c r="P26" s="408">
        <f t="shared" si="1"/>
        <v>0</v>
      </c>
      <c r="Q26" s="407">
        <v>86</v>
      </c>
      <c r="R26" s="407" t="s">
        <v>1573</v>
      </c>
      <c r="S26" s="283" t="s">
        <v>1618</v>
      </c>
      <c r="T26" s="283" t="s">
        <v>1619</v>
      </c>
      <c r="U26" s="283" t="s">
        <v>1620</v>
      </c>
      <c r="V26" s="283" t="s">
        <v>1621</v>
      </c>
      <c r="W26" s="393" t="s">
        <v>1578</v>
      </c>
      <c r="X26" s="763" t="s">
        <v>2261</v>
      </c>
    </row>
    <row r="27" spans="1:24" ht="108.75" customHeight="1" x14ac:dyDescent="0.25">
      <c r="A27" s="391"/>
      <c r="B27" s="280"/>
      <c r="C27" s="861"/>
      <c r="D27" s="867"/>
      <c r="E27" s="710" t="s">
        <v>682</v>
      </c>
      <c r="F27" s="287" t="s">
        <v>1622</v>
      </c>
      <c r="G27" s="408">
        <v>1</v>
      </c>
      <c r="H27" s="408">
        <v>0</v>
      </c>
      <c r="I27" s="408">
        <v>1</v>
      </c>
      <c r="J27" s="408">
        <v>0</v>
      </c>
      <c r="K27" s="408">
        <v>1</v>
      </c>
      <c r="L27" s="408">
        <v>0</v>
      </c>
      <c r="M27" s="408">
        <v>1</v>
      </c>
      <c r="N27" s="408">
        <v>0</v>
      </c>
      <c r="O27" s="408">
        <f t="shared" si="1"/>
        <v>4</v>
      </c>
      <c r="P27" s="408">
        <f t="shared" si="1"/>
        <v>0</v>
      </c>
      <c r="Q27" s="424">
        <v>289</v>
      </c>
      <c r="R27" s="424" t="s">
        <v>1573</v>
      </c>
      <c r="S27" s="283" t="s">
        <v>1574</v>
      </c>
      <c r="T27" s="283" t="s">
        <v>1623</v>
      </c>
      <c r="U27" s="283" t="s">
        <v>1624</v>
      </c>
      <c r="V27" s="283" t="s">
        <v>1616</v>
      </c>
      <c r="W27" s="393" t="s">
        <v>1578</v>
      </c>
      <c r="X27" s="763" t="s">
        <v>2261</v>
      </c>
    </row>
    <row r="28" spans="1:24" ht="108.75" customHeight="1" x14ac:dyDescent="0.25">
      <c r="A28" s="610"/>
      <c r="B28" s="689"/>
      <c r="C28" s="690"/>
      <c r="D28" s="691"/>
      <c r="E28" s="612"/>
      <c r="F28" s="692" t="s">
        <v>1625</v>
      </c>
      <c r="G28" s="693">
        <v>1</v>
      </c>
      <c r="H28" s="408">
        <v>30000</v>
      </c>
      <c r="I28" s="408">
        <v>0</v>
      </c>
      <c r="J28" s="408">
        <v>0</v>
      </c>
      <c r="K28" s="408">
        <v>0</v>
      </c>
      <c r="L28" s="408">
        <v>0</v>
      </c>
      <c r="M28" s="408">
        <v>0</v>
      </c>
      <c r="N28" s="408">
        <v>0</v>
      </c>
      <c r="O28" s="408">
        <f t="shared" si="1"/>
        <v>1</v>
      </c>
      <c r="P28" s="408">
        <f t="shared" si="1"/>
        <v>30000</v>
      </c>
      <c r="Q28" s="424">
        <v>551</v>
      </c>
      <c r="R28" s="424" t="s">
        <v>1573</v>
      </c>
      <c r="S28" s="283" t="s">
        <v>1626</v>
      </c>
      <c r="T28" s="283" t="s">
        <v>1627</v>
      </c>
      <c r="U28" s="283" t="s">
        <v>1628</v>
      </c>
      <c r="V28" s="393" t="s">
        <v>1629</v>
      </c>
      <c r="W28" s="393" t="s">
        <v>1629</v>
      </c>
      <c r="X28" s="763" t="s">
        <v>2261</v>
      </c>
    </row>
    <row r="29" spans="1:24" ht="126.75" customHeight="1" x14ac:dyDescent="0.25">
      <c r="A29" s="610"/>
      <c r="B29" s="689"/>
      <c r="C29" s="690"/>
      <c r="D29" s="691"/>
      <c r="E29" s="612"/>
      <c r="F29" s="612" t="s">
        <v>2053</v>
      </c>
      <c r="G29" s="693"/>
      <c r="H29" s="408">
        <v>21550</v>
      </c>
      <c r="I29" s="408"/>
      <c r="J29" s="408"/>
      <c r="K29" s="408"/>
      <c r="L29" s="408"/>
      <c r="M29" s="408"/>
      <c r="N29" s="408"/>
      <c r="O29" s="408"/>
      <c r="P29" s="408">
        <f t="shared" si="1"/>
        <v>21550</v>
      </c>
      <c r="Q29" s="424"/>
      <c r="R29" s="424" t="s">
        <v>2125</v>
      </c>
      <c r="S29" s="283" t="s">
        <v>2125</v>
      </c>
      <c r="T29" s="283" t="s">
        <v>2127</v>
      </c>
      <c r="U29" s="283" t="s">
        <v>2128</v>
      </c>
      <c r="V29" s="543" t="s">
        <v>2073</v>
      </c>
      <c r="W29" s="615" t="s">
        <v>1629</v>
      </c>
      <c r="X29" s="763" t="s">
        <v>2261</v>
      </c>
    </row>
    <row r="30" spans="1:24" ht="67.5" customHeight="1" x14ac:dyDescent="0.25">
      <c r="A30" s="352"/>
      <c r="B30" s="353"/>
      <c r="C30" s="352" t="s">
        <v>101</v>
      </c>
      <c r="D30" s="353"/>
      <c r="E30" s="353"/>
      <c r="F30" s="354"/>
      <c r="G30" s="426">
        <f t="shared" ref="G30:M30" si="2">SUM(G6:G26)</f>
        <v>10</v>
      </c>
      <c r="H30" s="427">
        <f>SUM(H6:H29)</f>
        <v>120692.5</v>
      </c>
      <c r="I30" s="426">
        <f t="shared" si="2"/>
        <v>16</v>
      </c>
      <c r="J30" s="426">
        <f>SUM(J6:J29)</f>
        <v>560605</v>
      </c>
      <c r="K30" s="426">
        <f t="shared" si="2"/>
        <v>18</v>
      </c>
      <c r="L30" s="427">
        <f>SUM(L6:L29)</f>
        <v>14700</v>
      </c>
      <c r="M30" s="426">
        <f t="shared" si="2"/>
        <v>24</v>
      </c>
      <c r="N30" s="426">
        <f>SUM(N6:N29)</f>
        <v>524025</v>
      </c>
      <c r="O30" s="426">
        <f>G30+I30+K30+M30</f>
        <v>68</v>
      </c>
      <c r="P30" s="294">
        <f>H30+J30+L30+N30+P28</f>
        <v>1250022.5</v>
      </c>
      <c r="Q30" s="428"/>
      <c r="R30" s="428"/>
      <c r="S30" s="295"/>
      <c r="T30" s="295"/>
      <c r="U30" s="295"/>
      <c r="V30" s="295"/>
      <c r="W30" s="295"/>
    </row>
    <row r="31" spans="1:24" ht="42.75" customHeight="1" x14ac:dyDescent="0.25">
      <c r="S31" s="430"/>
    </row>
    <row r="32" spans="1:24" ht="105" customHeight="1" x14ac:dyDescent="0.25"/>
    <row r="33" ht="69" customHeight="1" x14ac:dyDescent="0.25"/>
    <row r="34" ht="57.75" customHeight="1" x14ac:dyDescent="0.25"/>
    <row r="35" ht="94.5" customHeight="1" x14ac:dyDescent="0.25"/>
    <row r="36" ht="72.75" customHeight="1" x14ac:dyDescent="0.25"/>
    <row r="37" ht="94.5" customHeight="1" x14ac:dyDescent="0.25"/>
    <row r="38" ht="94.5" customHeight="1" x14ac:dyDescent="0.25"/>
    <row r="39" ht="94.5" customHeight="1" x14ac:dyDescent="0.25"/>
    <row r="40" ht="94.5" customHeight="1" x14ac:dyDescent="0.25"/>
    <row r="41" ht="72.75" customHeight="1" x14ac:dyDescent="0.25"/>
    <row r="42" ht="72.75" customHeight="1" x14ac:dyDescent="0.25"/>
    <row r="43" ht="72.75" customHeight="1" x14ac:dyDescent="0.25"/>
    <row r="44" ht="72.75" customHeight="1" x14ac:dyDescent="0.25"/>
    <row r="45" ht="52.5" customHeight="1" x14ac:dyDescent="0.25"/>
    <row r="46" ht="72.75" customHeight="1" x14ac:dyDescent="0.25"/>
    <row r="47" ht="67.5" customHeight="1" x14ac:dyDescent="0.25"/>
    <row r="48" ht="39.75" customHeight="1" x14ac:dyDescent="0.25"/>
    <row r="49" ht="72.75" customHeight="1" x14ac:dyDescent="0.25"/>
    <row r="50" ht="72.75" customHeight="1" x14ac:dyDescent="0.25"/>
    <row r="51" ht="73.5" customHeight="1" x14ac:dyDescent="0.25"/>
    <row r="52" ht="87.75" customHeight="1" x14ac:dyDescent="0.25"/>
    <row r="53" ht="87.75" customHeight="1" x14ac:dyDescent="0.25"/>
    <row r="54" ht="66" customHeight="1" x14ac:dyDescent="0.25"/>
    <row r="55" ht="87.75" customHeight="1" x14ac:dyDescent="0.25"/>
    <row r="56" ht="87.75" customHeight="1" x14ac:dyDescent="0.25"/>
    <row r="57" ht="72" customHeight="1" x14ac:dyDescent="0.25"/>
    <row r="58" ht="66" customHeight="1" x14ac:dyDescent="0.25"/>
    <row r="59" ht="87.75" customHeight="1" x14ac:dyDescent="0.25"/>
    <row r="60" ht="87.75" customHeight="1" x14ac:dyDescent="0.25"/>
    <row r="61" ht="72.75" customHeight="1" x14ac:dyDescent="0.25"/>
    <row r="78" spans="1:5" ht="117.75" customHeight="1" x14ac:dyDescent="0.25">
      <c r="A78" s="297"/>
      <c r="E78" s="297"/>
    </row>
    <row r="79" spans="1:5" ht="117.75" customHeight="1" x14ac:dyDescent="0.25">
      <c r="A79" s="297"/>
      <c r="E79" s="297"/>
    </row>
    <row r="80" spans="1:5" ht="117.75" customHeight="1" x14ac:dyDescent="0.25">
      <c r="A80" s="297"/>
      <c r="E80" s="297"/>
    </row>
    <row r="81" spans="1:5" ht="117.75" customHeight="1" x14ac:dyDescent="0.25">
      <c r="A81" s="297"/>
      <c r="E81" s="297"/>
    </row>
    <row r="82" spans="1:5" ht="82.5" customHeight="1" x14ac:dyDescent="0.25">
      <c r="A82" s="297"/>
      <c r="E82" s="297"/>
    </row>
    <row r="83" spans="1:5" ht="117.75" customHeight="1" x14ac:dyDescent="0.25">
      <c r="A83" s="297"/>
      <c r="E83" s="297"/>
    </row>
    <row r="84" spans="1:5" ht="84" customHeight="1" x14ac:dyDescent="0.25">
      <c r="A84" s="297"/>
      <c r="E84" s="297"/>
    </row>
    <row r="85" spans="1:5" ht="84" customHeight="1" x14ac:dyDescent="0.25">
      <c r="A85" s="297"/>
      <c r="E85" s="297"/>
    </row>
    <row r="86" spans="1:5" ht="57.75" customHeight="1" x14ac:dyDescent="0.25">
      <c r="A86" s="297"/>
      <c r="E86" s="297"/>
    </row>
    <row r="87" spans="1:5" ht="58.5" customHeight="1" x14ac:dyDescent="0.25">
      <c r="A87" s="297"/>
      <c r="E87" s="297"/>
    </row>
    <row r="88" spans="1:5" ht="44.25" customHeight="1" x14ac:dyDescent="0.25">
      <c r="A88" s="297"/>
      <c r="E88" s="297"/>
    </row>
    <row r="89" spans="1:5" ht="84" customHeight="1" x14ac:dyDescent="0.25">
      <c r="A89" s="297"/>
      <c r="E89" s="297"/>
    </row>
    <row r="90" spans="1:5" ht="51" customHeight="1" x14ac:dyDescent="0.25">
      <c r="A90" s="297"/>
      <c r="E90" s="297"/>
    </row>
    <row r="91" spans="1:5" ht="56.25" customHeight="1" x14ac:dyDescent="0.25">
      <c r="A91" s="297"/>
      <c r="E91" s="297"/>
    </row>
    <row r="92" spans="1:5" ht="84" customHeight="1" x14ac:dyDescent="0.25">
      <c r="A92" s="297"/>
      <c r="E92" s="297"/>
    </row>
    <row r="93" spans="1:5" ht="84" customHeight="1" x14ac:dyDescent="0.25">
      <c r="A93" s="297"/>
      <c r="E93" s="297"/>
    </row>
    <row r="94" spans="1:5" ht="56.25" customHeight="1" x14ac:dyDescent="0.25">
      <c r="A94" s="297"/>
      <c r="E94" s="297"/>
    </row>
    <row r="95" spans="1:5" ht="58.5" customHeight="1" x14ac:dyDescent="0.25">
      <c r="A95" s="297"/>
      <c r="E95" s="297"/>
    </row>
    <row r="96" spans="1:5" ht="55.5" customHeight="1" x14ac:dyDescent="0.25">
      <c r="A96" s="297"/>
      <c r="E96" s="297"/>
    </row>
    <row r="97" spans="1:5" ht="84" customHeight="1" x14ac:dyDescent="0.25">
      <c r="A97" s="297"/>
      <c r="E97" s="297"/>
    </row>
    <row r="98" spans="1:5" ht="136.5" customHeight="1" x14ac:dyDescent="0.25">
      <c r="A98" s="297"/>
      <c r="E98" s="297"/>
    </row>
    <row r="99" spans="1:5" ht="136.5" customHeight="1" x14ac:dyDescent="0.25">
      <c r="A99" s="297"/>
      <c r="E99" s="297"/>
    </row>
    <row r="100" spans="1:5" ht="136.5" customHeight="1" x14ac:dyDescent="0.25">
      <c r="A100" s="297"/>
      <c r="E100" s="297"/>
    </row>
    <row r="101" spans="1:5" ht="136.5" customHeight="1" x14ac:dyDescent="0.25">
      <c r="A101" s="297"/>
      <c r="E101" s="297"/>
    </row>
    <row r="102" spans="1:5" ht="136.5" customHeight="1" x14ac:dyDescent="0.25">
      <c r="A102" s="297"/>
      <c r="E102" s="297"/>
    </row>
    <row r="103" spans="1:5" ht="116.25" customHeight="1" x14ac:dyDescent="0.25">
      <c r="A103" s="297"/>
      <c r="E103" s="297"/>
    </row>
    <row r="104" spans="1:5" ht="88.5" customHeight="1" x14ac:dyDescent="0.25">
      <c r="A104" s="297"/>
      <c r="E104" s="297"/>
    </row>
    <row r="105" spans="1:5" ht="116.25" customHeight="1" x14ac:dyDescent="0.25">
      <c r="A105" s="297"/>
      <c r="E105" s="297"/>
    </row>
    <row r="106" spans="1:5" ht="116.25" customHeight="1" x14ac:dyDescent="0.25">
      <c r="A106" s="297"/>
      <c r="E106" s="297"/>
    </row>
    <row r="107" spans="1:5" ht="116.25" customHeight="1" x14ac:dyDescent="0.25">
      <c r="A107" s="297"/>
      <c r="E107" s="297"/>
    </row>
    <row r="108" spans="1:5" ht="116.25" customHeight="1" x14ac:dyDescent="0.25">
      <c r="A108" s="297"/>
      <c r="E108" s="297"/>
    </row>
    <row r="109" spans="1:5" ht="116.25" customHeight="1" x14ac:dyDescent="0.25">
      <c r="A109" s="297"/>
      <c r="E109" s="297"/>
    </row>
    <row r="110" spans="1:5" ht="116.25" customHeight="1" x14ac:dyDescent="0.25">
      <c r="A110" s="297"/>
      <c r="E110" s="297"/>
    </row>
    <row r="111" spans="1:5" ht="116.25" customHeight="1" x14ac:dyDescent="0.25">
      <c r="A111" s="297"/>
      <c r="E111" s="297"/>
    </row>
    <row r="112" spans="1:5" ht="116.25" customHeight="1" x14ac:dyDescent="0.25">
      <c r="A112" s="297"/>
      <c r="E112" s="297"/>
    </row>
    <row r="113" spans="1:5" ht="116.25" customHeight="1" x14ac:dyDescent="0.25">
      <c r="A113" s="297"/>
      <c r="E113" s="297"/>
    </row>
    <row r="114" spans="1:5" ht="37.5" customHeight="1" x14ac:dyDescent="0.25">
      <c r="A114" s="297"/>
      <c r="E114" s="297"/>
    </row>
    <row r="115" spans="1:5" x14ac:dyDescent="0.25">
      <c r="A115" s="297"/>
      <c r="E115" s="297"/>
    </row>
    <row r="116" spans="1:5" x14ac:dyDescent="0.25">
      <c r="A116" s="297"/>
      <c r="E116" s="297"/>
    </row>
    <row r="117" spans="1:5" x14ac:dyDescent="0.25">
      <c r="A117" s="297"/>
      <c r="E117" s="297"/>
    </row>
    <row r="118" spans="1:5" x14ac:dyDescent="0.25">
      <c r="A118" s="297"/>
      <c r="E118" s="297"/>
    </row>
    <row r="119" spans="1:5" x14ac:dyDescent="0.25">
      <c r="A119" s="297"/>
      <c r="E119" s="297"/>
    </row>
    <row r="120" spans="1:5" x14ac:dyDescent="0.25">
      <c r="A120" s="297"/>
      <c r="E120" s="297"/>
    </row>
    <row r="121" spans="1:5" x14ac:dyDescent="0.25">
      <c r="A121" s="297"/>
      <c r="E121" s="297"/>
    </row>
    <row r="122" spans="1:5" x14ac:dyDescent="0.25">
      <c r="A122" s="297"/>
      <c r="E122" s="297"/>
    </row>
    <row r="123" spans="1:5" x14ac:dyDescent="0.25">
      <c r="A123" s="297"/>
      <c r="E123" s="297"/>
    </row>
    <row r="124" spans="1:5" x14ac:dyDescent="0.25">
      <c r="A124" s="297"/>
      <c r="E124" s="297"/>
    </row>
    <row r="125" spans="1:5" x14ac:dyDescent="0.25">
      <c r="A125" s="297"/>
      <c r="E125" s="297"/>
    </row>
    <row r="126" spans="1:5" x14ac:dyDescent="0.25">
      <c r="A126" s="297"/>
      <c r="E126" s="297"/>
    </row>
    <row r="127" spans="1:5" x14ac:dyDescent="0.25">
      <c r="A127" s="297"/>
      <c r="E127" s="297"/>
    </row>
    <row r="128" spans="1:5" x14ac:dyDescent="0.25">
      <c r="A128" s="297"/>
      <c r="E128" s="297"/>
    </row>
    <row r="129" spans="1:5" x14ac:dyDescent="0.25">
      <c r="A129" s="297"/>
      <c r="E129" s="297"/>
    </row>
    <row r="130" spans="1:5" x14ac:dyDescent="0.25">
      <c r="A130" s="297"/>
      <c r="E130" s="297"/>
    </row>
    <row r="131" spans="1:5" x14ac:dyDescent="0.25">
      <c r="A131" s="297"/>
      <c r="E131" s="297"/>
    </row>
    <row r="132" spans="1:5" x14ac:dyDescent="0.25">
      <c r="A132" s="297"/>
      <c r="E132" s="297"/>
    </row>
    <row r="133" spans="1:5" x14ac:dyDescent="0.25">
      <c r="A133" s="297"/>
      <c r="E133" s="297"/>
    </row>
    <row r="134" spans="1:5" x14ac:dyDescent="0.25">
      <c r="A134" s="297"/>
      <c r="E134" s="297"/>
    </row>
    <row r="135" spans="1:5" x14ac:dyDescent="0.25">
      <c r="A135" s="297"/>
      <c r="E135" s="297"/>
    </row>
    <row r="136" spans="1:5" x14ac:dyDescent="0.25">
      <c r="A136" s="297"/>
      <c r="E136" s="297"/>
    </row>
    <row r="137" spans="1:5" x14ac:dyDescent="0.25">
      <c r="A137" s="297"/>
      <c r="E137" s="297"/>
    </row>
    <row r="138" spans="1:5" x14ac:dyDescent="0.25">
      <c r="A138" s="297"/>
      <c r="E138" s="297"/>
    </row>
    <row r="139" spans="1:5" x14ac:dyDescent="0.25">
      <c r="A139" s="297"/>
      <c r="E139" s="297"/>
    </row>
    <row r="140" spans="1:5" x14ac:dyDescent="0.25">
      <c r="A140" s="297"/>
      <c r="E140" s="297"/>
    </row>
    <row r="141" spans="1:5" x14ac:dyDescent="0.25">
      <c r="A141" s="297"/>
      <c r="E141" s="297"/>
    </row>
    <row r="142" spans="1:5" x14ac:dyDescent="0.25">
      <c r="A142" s="297"/>
      <c r="E142" s="297"/>
    </row>
    <row r="143" spans="1:5" x14ac:dyDescent="0.25">
      <c r="A143" s="297"/>
      <c r="E143" s="297"/>
    </row>
    <row r="144" spans="1:5" x14ac:dyDescent="0.25">
      <c r="A144" s="297"/>
      <c r="E144" s="297"/>
    </row>
    <row r="145" spans="1:5" x14ac:dyDescent="0.25">
      <c r="A145" s="297"/>
      <c r="E145" s="297"/>
    </row>
    <row r="146" spans="1:5" x14ac:dyDescent="0.25">
      <c r="A146" s="297"/>
      <c r="E146" s="297"/>
    </row>
  </sheetData>
  <mergeCells count="28">
    <mergeCell ref="A6:A26"/>
    <mergeCell ref="B7:B16"/>
    <mergeCell ref="D8:D13"/>
    <mergeCell ref="C9:C16"/>
    <mergeCell ref="D16:D17"/>
    <mergeCell ref="B19:B25"/>
    <mergeCell ref="C19:C25"/>
    <mergeCell ref="D20:D23"/>
    <mergeCell ref="C26:C27"/>
    <mergeCell ref="D26:D27"/>
    <mergeCell ref="V3:V5"/>
    <mergeCell ref="W3:W5"/>
    <mergeCell ref="G4:H4"/>
    <mergeCell ref="I4:J4"/>
    <mergeCell ref="K4:L4"/>
    <mergeCell ref="M4:N4"/>
    <mergeCell ref="G3:N3"/>
    <mergeCell ref="O3:P4"/>
    <mergeCell ref="Q3:R4"/>
    <mergeCell ref="S3:S5"/>
    <mergeCell ref="T3:T5"/>
    <mergeCell ref="U3:U5"/>
    <mergeCell ref="F3:F5"/>
    <mergeCell ref="A3:A5"/>
    <mergeCell ref="B3:B5"/>
    <mergeCell ref="C3:C5"/>
    <mergeCell ref="D3:D5"/>
    <mergeCell ref="E3:E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C132"/>
  <sheetViews>
    <sheetView showGridLines="0" zoomScale="50" zoomScaleNormal="50" workbookViewId="0">
      <pane xSplit="1" ySplit="5" topLeftCell="L9" activePane="bottomRight" state="frozen"/>
      <selection activeCell="J11" sqref="J11"/>
      <selection pane="topRight" activeCell="J11" sqref="J11"/>
      <selection pane="bottomLeft" activeCell="J11" sqref="J11"/>
      <selection pane="bottomRight" activeCell="Z12" sqref="Z12"/>
    </sheetView>
  </sheetViews>
  <sheetFormatPr baseColWidth="10" defaultColWidth="11.42578125" defaultRowHeight="12.75" x14ac:dyDescent="0.25"/>
  <cols>
    <col min="1" max="2" width="21.7109375" style="301" customWidth="1"/>
    <col min="3" max="4" width="27.42578125" style="301" customWidth="1"/>
    <col min="5" max="5" width="17.7109375" style="300" customWidth="1"/>
    <col min="6" max="6" width="27.42578125" style="301" customWidth="1"/>
    <col min="7" max="7" width="15.28515625" style="301" customWidth="1"/>
    <col min="8" max="8" width="16" style="301" customWidth="1"/>
    <col min="9" max="9" width="15.28515625" style="301" customWidth="1"/>
    <col min="10" max="10" width="18.5703125" style="301" customWidth="1"/>
    <col min="11" max="11" width="15.28515625" style="301" customWidth="1"/>
    <col min="12" max="12" width="15.85546875" style="301" customWidth="1"/>
    <col min="13" max="13" width="15.28515625" style="301" customWidth="1"/>
    <col min="14" max="14" width="15" style="301" customWidth="1"/>
    <col min="15" max="15" width="15.28515625" style="301" customWidth="1"/>
    <col min="16" max="16" width="25.28515625" style="301" customWidth="1"/>
    <col min="17" max="18" width="11.42578125" style="301"/>
    <col min="19" max="20" width="14.28515625" style="301" customWidth="1"/>
    <col min="21" max="22" width="14.28515625" style="299" customWidth="1"/>
    <col min="23" max="23" width="17" style="301" customWidth="1"/>
    <col min="24" max="24" width="27.42578125" style="301" customWidth="1"/>
    <col min="25" max="16384" width="11.42578125" style="301"/>
  </cols>
  <sheetData>
    <row r="1" spans="1:29" ht="24.95" customHeight="1" x14ac:dyDescent="0.25">
      <c r="A1" s="868" t="s">
        <v>1553</v>
      </c>
      <c r="B1" s="868"/>
      <c r="C1" s="868"/>
      <c r="D1" s="868"/>
      <c r="E1" s="868"/>
      <c r="F1" s="868"/>
      <c r="G1" s="341" t="s">
        <v>94</v>
      </c>
      <c r="I1" s="341"/>
      <c r="J1" s="341"/>
      <c r="K1" s="341"/>
      <c r="L1" s="341"/>
      <c r="M1" s="341"/>
      <c r="N1" s="341"/>
      <c r="O1" s="341"/>
      <c r="P1" s="341"/>
      <c r="Q1" s="341"/>
      <c r="R1" s="341"/>
      <c r="S1" s="341"/>
      <c r="T1" s="341"/>
      <c r="U1" s="341"/>
      <c r="V1" s="341"/>
      <c r="W1" s="341"/>
      <c r="X1" s="341"/>
      <c r="Y1" s="341"/>
      <c r="Z1" s="341"/>
      <c r="AA1" s="341"/>
      <c r="AB1" s="341"/>
      <c r="AC1" s="341"/>
    </row>
    <row r="2" spans="1:29" ht="69.75" customHeight="1" x14ac:dyDescent="0.25">
      <c r="A2" s="869" t="s">
        <v>606</v>
      </c>
      <c r="B2" s="870"/>
      <c r="C2" s="870"/>
      <c r="D2" s="870"/>
      <c r="E2" s="870"/>
      <c r="F2" s="871"/>
      <c r="G2" s="319"/>
      <c r="H2" s="319"/>
      <c r="I2" s="319"/>
      <c r="J2" s="319"/>
      <c r="K2" s="319"/>
      <c r="L2" s="319"/>
      <c r="M2" s="319"/>
      <c r="N2" s="319"/>
      <c r="O2" s="319"/>
      <c r="P2" s="319"/>
      <c r="Q2" s="319"/>
      <c r="R2" s="319"/>
      <c r="S2" s="319"/>
      <c r="T2" s="319"/>
      <c r="U2" s="319"/>
      <c r="V2" s="319"/>
      <c r="W2" s="319"/>
    </row>
    <row r="3" spans="1:29" s="66" customFormat="1" ht="23.25" customHeight="1" x14ac:dyDescent="0.25">
      <c r="A3" s="872" t="s">
        <v>100</v>
      </c>
      <c r="B3" s="873" t="s">
        <v>118</v>
      </c>
      <c r="C3" s="876" t="s">
        <v>88</v>
      </c>
      <c r="D3" s="876" t="s">
        <v>89</v>
      </c>
      <c r="E3" s="877" t="s">
        <v>473</v>
      </c>
      <c r="F3" s="876" t="s">
        <v>90</v>
      </c>
      <c r="G3" s="872" t="s">
        <v>104</v>
      </c>
      <c r="H3" s="872"/>
      <c r="I3" s="872"/>
      <c r="J3" s="872"/>
      <c r="K3" s="872"/>
      <c r="L3" s="872"/>
      <c r="M3" s="872"/>
      <c r="N3" s="872"/>
      <c r="O3" s="876" t="s">
        <v>105</v>
      </c>
      <c r="P3" s="876"/>
      <c r="Q3" s="872" t="s">
        <v>106</v>
      </c>
      <c r="R3" s="872"/>
      <c r="S3" s="872" t="s">
        <v>107</v>
      </c>
      <c r="T3" s="872" t="s">
        <v>108</v>
      </c>
      <c r="U3" s="873" t="s">
        <v>116</v>
      </c>
      <c r="V3" s="873" t="s">
        <v>115</v>
      </c>
      <c r="W3" s="882" t="s">
        <v>91</v>
      </c>
    </row>
    <row r="4" spans="1:29" s="66" customFormat="1" ht="15" customHeight="1" x14ac:dyDescent="0.25">
      <c r="A4" s="872"/>
      <c r="B4" s="874"/>
      <c r="C4" s="876"/>
      <c r="D4" s="876"/>
      <c r="E4" s="878"/>
      <c r="F4" s="876"/>
      <c r="G4" s="872" t="s">
        <v>109</v>
      </c>
      <c r="H4" s="872"/>
      <c r="I4" s="872" t="s">
        <v>110</v>
      </c>
      <c r="J4" s="872"/>
      <c r="K4" s="872" t="s">
        <v>111</v>
      </c>
      <c r="L4" s="872"/>
      <c r="M4" s="872" t="s">
        <v>112</v>
      </c>
      <c r="N4" s="872"/>
      <c r="O4" s="876"/>
      <c r="P4" s="876"/>
      <c r="Q4" s="872"/>
      <c r="R4" s="872"/>
      <c r="S4" s="872"/>
      <c r="T4" s="872"/>
      <c r="U4" s="874"/>
      <c r="V4" s="874"/>
      <c r="W4" s="883"/>
    </row>
    <row r="5" spans="1:29" s="66" customFormat="1" ht="24" customHeight="1" x14ac:dyDescent="0.25">
      <c r="A5" s="872"/>
      <c r="B5" s="875"/>
      <c r="C5" s="876"/>
      <c r="D5" s="876"/>
      <c r="E5" s="879"/>
      <c r="F5" s="876"/>
      <c r="G5" s="247" t="s">
        <v>113</v>
      </c>
      <c r="H5" s="247" t="s">
        <v>12</v>
      </c>
      <c r="I5" s="247" t="s">
        <v>113</v>
      </c>
      <c r="J5" s="247" t="s">
        <v>12</v>
      </c>
      <c r="K5" s="247" t="s">
        <v>113</v>
      </c>
      <c r="L5" s="247" t="s">
        <v>12</v>
      </c>
      <c r="M5" s="247" t="s">
        <v>113</v>
      </c>
      <c r="N5" s="247" t="s">
        <v>12</v>
      </c>
      <c r="O5" s="247" t="s">
        <v>113</v>
      </c>
      <c r="P5" s="247" t="s">
        <v>12</v>
      </c>
      <c r="Q5" s="247" t="s">
        <v>114</v>
      </c>
      <c r="R5" s="247" t="s">
        <v>85</v>
      </c>
      <c r="S5" s="872"/>
      <c r="T5" s="872"/>
      <c r="U5" s="875"/>
      <c r="V5" s="875"/>
      <c r="W5" s="884"/>
    </row>
    <row r="6" spans="1:29" ht="15.75" customHeight="1" x14ac:dyDescent="0.25">
      <c r="A6" s="362"/>
      <c r="B6" s="363"/>
      <c r="C6" s="363"/>
      <c r="D6" s="363"/>
      <c r="E6" s="363"/>
      <c r="F6" s="363"/>
      <c r="G6" s="363"/>
      <c r="H6" s="363"/>
      <c r="I6" s="362" t="s">
        <v>117</v>
      </c>
      <c r="J6" s="363"/>
      <c r="K6" s="363"/>
      <c r="L6" s="363"/>
      <c r="M6" s="363"/>
      <c r="N6" s="363"/>
      <c r="O6" s="363"/>
      <c r="P6" s="363"/>
      <c r="Q6" s="363"/>
      <c r="R6" s="363"/>
      <c r="S6" s="363"/>
      <c r="T6" s="363"/>
      <c r="U6" s="363"/>
      <c r="V6" s="363"/>
      <c r="W6" s="364"/>
    </row>
    <row r="7" spans="1:29" ht="276.75" customHeight="1" x14ac:dyDescent="0.25">
      <c r="A7" s="880" t="s">
        <v>129</v>
      </c>
      <c r="B7" s="491" t="s">
        <v>607</v>
      </c>
      <c r="C7" s="302" t="s">
        <v>608</v>
      </c>
      <c r="D7" s="303" t="s">
        <v>1565</v>
      </c>
      <c r="E7" s="492" t="s">
        <v>1566</v>
      </c>
      <c r="F7" s="303" t="s">
        <v>1883</v>
      </c>
      <c r="G7" s="284">
        <v>1</v>
      </c>
      <c r="H7" s="305"/>
      <c r="I7" s="305"/>
      <c r="J7" s="305"/>
      <c r="K7" s="305"/>
      <c r="L7" s="305"/>
      <c r="M7" s="305"/>
      <c r="N7" s="305"/>
      <c r="O7" s="711">
        <v>1</v>
      </c>
      <c r="P7" s="246">
        <f t="shared" ref="P7:P12" si="0">+H7+J7+L7+N7</f>
        <v>0</v>
      </c>
      <c r="Q7" s="306"/>
      <c r="R7" s="712" t="s">
        <v>2221</v>
      </c>
      <c r="S7" s="713" t="s">
        <v>2129</v>
      </c>
      <c r="T7" s="713" t="s">
        <v>2222</v>
      </c>
      <c r="U7" s="713" t="s">
        <v>2223</v>
      </c>
      <c r="V7" s="713" t="s">
        <v>2130</v>
      </c>
      <c r="W7" s="714" t="s">
        <v>2224</v>
      </c>
      <c r="X7" s="763" t="s">
        <v>2261</v>
      </c>
    </row>
    <row r="8" spans="1:29" ht="360" customHeight="1" x14ac:dyDescent="0.25">
      <c r="A8" s="881"/>
      <c r="B8" s="493"/>
      <c r="C8" s="302" t="s">
        <v>609</v>
      </c>
      <c r="D8" s="330"/>
      <c r="E8" s="330" t="s">
        <v>1880</v>
      </c>
      <c r="F8" s="303" t="s">
        <v>1881</v>
      </c>
      <c r="G8" s="310">
        <v>0.25</v>
      </c>
      <c r="H8" s="309"/>
      <c r="I8" s="311">
        <v>0.25</v>
      </c>
      <c r="J8" s="305"/>
      <c r="K8" s="311">
        <v>0.25</v>
      </c>
      <c r="L8" s="305"/>
      <c r="M8" s="311">
        <v>0.25</v>
      </c>
      <c r="N8" s="305"/>
      <c r="O8" s="311">
        <v>1</v>
      </c>
      <c r="P8" s="246">
        <f t="shared" si="0"/>
        <v>0</v>
      </c>
      <c r="Q8" s="306"/>
      <c r="R8" s="308" t="s">
        <v>2132</v>
      </c>
      <c r="S8" s="308" t="s">
        <v>2133</v>
      </c>
      <c r="T8" s="308" t="s">
        <v>2134</v>
      </c>
      <c r="U8" s="308" t="s">
        <v>2135</v>
      </c>
      <c r="V8" s="308" t="s">
        <v>2136</v>
      </c>
      <c r="W8" s="303" t="s">
        <v>2131</v>
      </c>
      <c r="X8" s="763" t="s">
        <v>2261</v>
      </c>
    </row>
    <row r="9" spans="1:29" ht="239.25" customHeight="1" x14ac:dyDescent="0.25">
      <c r="A9" s="881"/>
      <c r="B9" s="490" t="s">
        <v>610</v>
      </c>
      <c r="C9" s="302" t="s">
        <v>130</v>
      </c>
      <c r="D9" s="303" t="s">
        <v>611</v>
      </c>
      <c r="E9" s="492"/>
      <c r="F9" s="330" t="s">
        <v>1882</v>
      </c>
      <c r="G9" s="310">
        <v>0.25</v>
      </c>
      <c r="H9" s="305"/>
      <c r="I9" s="715">
        <v>0.25</v>
      </c>
      <c r="J9" s="716">
        <v>22740</v>
      </c>
      <c r="K9" s="715">
        <v>0.25</v>
      </c>
      <c r="L9" s="716"/>
      <c r="M9" s="715">
        <v>0.25</v>
      </c>
      <c r="N9" s="716"/>
      <c r="O9" s="716">
        <v>100</v>
      </c>
      <c r="P9" s="717">
        <f t="shared" si="0"/>
        <v>22740</v>
      </c>
      <c r="Q9" s="306"/>
      <c r="R9" s="712" t="s">
        <v>2137</v>
      </c>
      <c r="S9" s="713" t="s">
        <v>2138</v>
      </c>
      <c r="T9" s="713" t="s">
        <v>2139</v>
      </c>
      <c r="U9" s="713" t="s">
        <v>2140</v>
      </c>
      <c r="V9" s="713" t="s">
        <v>2078</v>
      </c>
      <c r="W9" s="714" t="s">
        <v>2131</v>
      </c>
      <c r="X9" s="763" t="s">
        <v>2261</v>
      </c>
    </row>
    <row r="10" spans="1:29" ht="129" customHeight="1" x14ac:dyDescent="0.25">
      <c r="A10" s="565"/>
      <c r="B10" s="610"/>
      <c r="C10" s="611"/>
      <c r="D10" s="609"/>
      <c r="E10" s="612"/>
      <c r="F10" s="612" t="s">
        <v>2015</v>
      </c>
      <c r="G10" s="606"/>
      <c r="H10" s="607"/>
      <c r="I10" s="608"/>
      <c r="J10" s="718">
        <v>30000</v>
      </c>
      <c r="K10" s="719"/>
      <c r="L10" s="718"/>
      <c r="M10" s="719"/>
      <c r="N10" s="718"/>
      <c r="O10" s="718"/>
      <c r="P10" s="717">
        <f t="shared" si="0"/>
        <v>30000</v>
      </c>
      <c r="Q10" s="720"/>
      <c r="R10" s="720" t="s">
        <v>2141</v>
      </c>
      <c r="S10" s="721" t="s">
        <v>2225</v>
      </c>
      <c r="T10" s="721" t="s">
        <v>2142</v>
      </c>
      <c r="U10" s="721" t="s">
        <v>2226</v>
      </c>
      <c r="V10" s="721" t="s">
        <v>2143</v>
      </c>
      <c r="W10" s="303" t="s">
        <v>2224</v>
      </c>
      <c r="X10" s="763" t="s">
        <v>2261</v>
      </c>
    </row>
    <row r="11" spans="1:29" ht="123" customHeight="1" x14ac:dyDescent="0.25">
      <c r="A11" s="565"/>
      <c r="B11" s="610"/>
      <c r="C11" s="611"/>
      <c r="D11" s="609"/>
      <c r="E11" s="612"/>
      <c r="F11" s="612" t="s">
        <v>2016</v>
      </c>
      <c r="G11" s="606"/>
      <c r="H11" s="607"/>
      <c r="I11" s="608"/>
      <c r="J11" s="718">
        <v>15500</v>
      </c>
      <c r="K11" s="719"/>
      <c r="L11" s="718"/>
      <c r="M11" s="719"/>
      <c r="N11" s="718"/>
      <c r="O11" s="718"/>
      <c r="P11" s="717">
        <f t="shared" si="0"/>
        <v>15500</v>
      </c>
      <c r="Q11" s="720"/>
      <c r="R11" s="720" t="s">
        <v>2141</v>
      </c>
      <c r="S11" s="721" t="s">
        <v>2225</v>
      </c>
      <c r="T11" s="721" t="s">
        <v>2144</v>
      </c>
      <c r="U11" s="721" t="s">
        <v>2227</v>
      </c>
      <c r="V11" s="721" t="s">
        <v>2145</v>
      </c>
      <c r="W11" s="303" t="s">
        <v>2224</v>
      </c>
      <c r="X11" s="763" t="s">
        <v>2261</v>
      </c>
    </row>
    <row r="12" spans="1:29" ht="115.5" customHeight="1" x14ac:dyDescent="0.25">
      <c r="A12" s="565"/>
      <c r="B12" s="610"/>
      <c r="C12" s="611"/>
      <c r="D12" s="609"/>
      <c r="E12" s="612"/>
      <c r="F12" s="612" t="s">
        <v>2017</v>
      </c>
      <c r="G12" s="310"/>
      <c r="H12" s="305"/>
      <c r="I12" s="311"/>
      <c r="J12" s="716">
        <v>90000</v>
      </c>
      <c r="K12" s="715"/>
      <c r="L12" s="716"/>
      <c r="M12" s="715"/>
      <c r="N12" s="716"/>
      <c r="O12" s="716"/>
      <c r="P12" s="717">
        <f t="shared" si="0"/>
        <v>90000</v>
      </c>
      <c r="Q12" s="712"/>
      <c r="R12" s="712" t="s">
        <v>2146</v>
      </c>
      <c r="S12" s="713" t="s">
        <v>2228</v>
      </c>
      <c r="T12" s="713" t="s">
        <v>2147</v>
      </c>
      <c r="U12" s="713" t="s">
        <v>2148</v>
      </c>
      <c r="V12" s="713" t="s">
        <v>2229</v>
      </c>
      <c r="W12" s="303" t="s">
        <v>2230</v>
      </c>
      <c r="X12" s="763" t="s">
        <v>2261</v>
      </c>
    </row>
    <row r="13" spans="1:29" s="299" customFormat="1" ht="30.75" customHeight="1" x14ac:dyDescent="0.25">
      <c r="A13" s="352"/>
      <c r="B13" s="353"/>
      <c r="C13" s="352" t="s">
        <v>102</v>
      </c>
      <c r="D13" s="353"/>
      <c r="E13" s="353"/>
      <c r="F13" s="354"/>
      <c r="G13" s="312">
        <f t="shared" ref="G13:M13" si="1">SUM(G7:G9)</f>
        <v>1.5</v>
      </c>
      <c r="H13" s="312">
        <f>SUM(H7:H12)</f>
        <v>0</v>
      </c>
      <c r="I13" s="312">
        <f t="shared" si="1"/>
        <v>0.5</v>
      </c>
      <c r="J13" s="312">
        <f>SUM(J7:J12)</f>
        <v>158240</v>
      </c>
      <c r="K13" s="312">
        <f t="shared" si="1"/>
        <v>0.5</v>
      </c>
      <c r="L13" s="312">
        <f>SUM(L7:L12)</f>
        <v>0</v>
      </c>
      <c r="M13" s="312">
        <f t="shared" si="1"/>
        <v>0.5</v>
      </c>
      <c r="N13" s="312">
        <f>SUM(N7:N12)</f>
        <v>0</v>
      </c>
      <c r="O13" s="313"/>
      <c r="P13" s="314">
        <f>H13+J13+L13+N13</f>
        <v>158240</v>
      </c>
      <c r="Q13" s="315"/>
      <c r="R13" s="315"/>
      <c r="S13" s="315"/>
      <c r="T13" s="315"/>
      <c r="U13" s="315"/>
      <c r="V13" s="315"/>
      <c r="W13" s="315"/>
    </row>
    <row r="14" spans="1:29" ht="15.75" x14ac:dyDescent="0.25">
      <c r="A14" s="299"/>
      <c r="B14" s="299"/>
      <c r="C14" s="299"/>
      <c r="D14" s="299"/>
      <c r="E14" s="298"/>
      <c r="F14" s="299"/>
      <c r="G14" s="299"/>
      <c r="U14" s="316"/>
      <c r="V14" s="316"/>
      <c r="W14" s="317"/>
    </row>
    <row r="15" spans="1:29" ht="15.75" x14ac:dyDescent="0.25">
      <c r="E15" s="298"/>
      <c r="U15" s="316"/>
      <c r="V15" s="316"/>
    </row>
    <row r="16" spans="1:29" ht="15.75" x14ac:dyDescent="0.25">
      <c r="E16" s="298"/>
      <c r="U16" s="316"/>
      <c r="V16" s="316"/>
    </row>
    <row r="17" spans="5:22" ht="15.75" x14ac:dyDescent="0.25">
      <c r="E17" s="298"/>
      <c r="U17" s="316"/>
      <c r="V17" s="316"/>
    </row>
    <row r="18" spans="5:22" ht="15.75" x14ac:dyDescent="0.25">
      <c r="E18" s="298"/>
      <c r="U18" s="316"/>
      <c r="V18" s="316"/>
    </row>
    <row r="19" spans="5:22" ht="15.75" x14ac:dyDescent="0.25">
      <c r="E19" s="298"/>
      <c r="U19" s="316"/>
      <c r="V19" s="316"/>
    </row>
    <row r="20" spans="5:22" ht="15.75" x14ac:dyDescent="0.25">
      <c r="E20" s="298"/>
      <c r="U20" s="316"/>
      <c r="V20" s="316"/>
    </row>
    <row r="21" spans="5:22" ht="15.75" x14ac:dyDescent="0.25">
      <c r="E21" s="298"/>
      <c r="U21" s="316"/>
      <c r="V21" s="316"/>
    </row>
    <row r="22" spans="5:22" ht="15.75" x14ac:dyDescent="0.25">
      <c r="E22" s="298"/>
      <c r="U22" s="316"/>
      <c r="V22" s="316"/>
    </row>
    <row r="23" spans="5:22" ht="15.75" x14ac:dyDescent="0.25">
      <c r="E23" s="298"/>
      <c r="U23" s="316"/>
      <c r="V23" s="316"/>
    </row>
    <row r="24" spans="5:22" ht="15.75" x14ac:dyDescent="0.25">
      <c r="E24" s="298"/>
      <c r="U24" s="316"/>
      <c r="V24" s="316"/>
    </row>
    <row r="25" spans="5:22" ht="15.75" x14ac:dyDescent="0.25">
      <c r="E25" s="298"/>
      <c r="U25" s="318"/>
      <c r="V25" s="318"/>
    </row>
    <row r="26" spans="5:22" ht="15.75" x14ac:dyDescent="0.25">
      <c r="E26" s="298"/>
      <c r="U26" s="316"/>
      <c r="V26" s="316"/>
    </row>
    <row r="27" spans="5:22" ht="15.75" x14ac:dyDescent="0.25">
      <c r="E27" s="298"/>
      <c r="U27" s="316"/>
      <c r="V27" s="316"/>
    </row>
    <row r="28" spans="5:22" ht="15.75" x14ac:dyDescent="0.25">
      <c r="E28" s="298"/>
      <c r="U28" s="316"/>
      <c r="V28" s="316"/>
    </row>
    <row r="29" spans="5:22" ht="15.75" x14ac:dyDescent="0.25">
      <c r="E29" s="298"/>
      <c r="U29" s="316"/>
      <c r="V29" s="316"/>
    </row>
    <row r="30" spans="5:22" ht="15.75" x14ac:dyDescent="0.25">
      <c r="E30" s="298"/>
      <c r="U30" s="316"/>
      <c r="V30" s="316"/>
    </row>
    <row r="31" spans="5:22" ht="15.75" x14ac:dyDescent="0.25">
      <c r="E31" s="298"/>
      <c r="U31" s="316"/>
      <c r="V31" s="316"/>
    </row>
    <row r="32" spans="5:22" ht="15.75" x14ac:dyDescent="0.25">
      <c r="E32" s="298"/>
      <c r="U32" s="316"/>
      <c r="V32" s="316"/>
    </row>
    <row r="33" spans="5:22" ht="15.75" x14ac:dyDescent="0.25">
      <c r="E33" s="298"/>
      <c r="U33" s="316"/>
      <c r="V33" s="316"/>
    </row>
    <row r="34" spans="5:22" ht="15.75" x14ac:dyDescent="0.25">
      <c r="E34" s="298"/>
      <c r="U34" s="316"/>
      <c r="V34" s="316"/>
    </row>
    <row r="35" spans="5:22" ht="15.75" x14ac:dyDescent="0.25">
      <c r="E35" s="298"/>
      <c r="U35" s="316"/>
      <c r="V35" s="316"/>
    </row>
    <row r="36" spans="5:22" ht="15.75" x14ac:dyDescent="0.25">
      <c r="E36" s="298"/>
      <c r="U36" s="316"/>
      <c r="V36" s="316"/>
    </row>
    <row r="37" spans="5:22" ht="15.75" x14ac:dyDescent="0.25">
      <c r="E37" s="298"/>
      <c r="U37" s="318"/>
      <c r="V37" s="318"/>
    </row>
    <row r="38" spans="5:22" ht="15.75" x14ac:dyDescent="0.25">
      <c r="E38" s="298"/>
      <c r="U38" s="316"/>
      <c r="V38" s="316"/>
    </row>
    <row r="39" spans="5:22" ht="15.75" x14ac:dyDescent="0.25">
      <c r="E39" s="298"/>
      <c r="U39" s="316"/>
      <c r="V39" s="316"/>
    </row>
    <row r="40" spans="5:22" ht="15.75" x14ac:dyDescent="0.25">
      <c r="E40" s="298"/>
      <c r="U40" s="316"/>
      <c r="V40" s="316"/>
    </row>
    <row r="41" spans="5:22" ht="15.75" x14ac:dyDescent="0.25">
      <c r="E41" s="298"/>
      <c r="U41" s="316"/>
      <c r="V41" s="316"/>
    </row>
    <row r="42" spans="5:22" ht="15.75" x14ac:dyDescent="0.25">
      <c r="E42" s="298"/>
      <c r="U42" s="316"/>
      <c r="V42" s="316"/>
    </row>
    <row r="43" spans="5:22" ht="15.75" x14ac:dyDescent="0.25">
      <c r="E43" s="298"/>
      <c r="U43" s="316"/>
      <c r="V43" s="316"/>
    </row>
    <row r="44" spans="5:22" ht="15.75" x14ac:dyDescent="0.25">
      <c r="E44" s="298"/>
      <c r="U44" s="316"/>
      <c r="V44" s="316"/>
    </row>
    <row r="45" spans="5:22" ht="15.75" x14ac:dyDescent="0.25">
      <c r="E45" s="298"/>
      <c r="U45" s="316"/>
      <c r="V45" s="316"/>
    </row>
    <row r="46" spans="5:22" ht="15.75" x14ac:dyDescent="0.25">
      <c r="E46" s="298"/>
      <c r="U46" s="318"/>
      <c r="V46" s="318"/>
    </row>
    <row r="47" spans="5:22" ht="15.75" x14ac:dyDescent="0.25">
      <c r="E47" s="298"/>
      <c r="U47" s="316"/>
      <c r="V47" s="316"/>
    </row>
    <row r="48" spans="5:22" ht="15.75" x14ac:dyDescent="0.25">
      <c r="E48" s="298"/>
      <c r="U48" s="316"/>
      <c r="V48" s="316"/>
    </row>
    <row r="49" spans="5:22" x14ac:dyDescent="0.25">
      <c r="U49" s="316"/>
      <c r="V49" s="316"/>
    </row>
    <row r="50" spans="5:22" x14ac:dyDescent="0.25">
      <c r="U50" s="316"/>
      <c r="V50" s="316"/>
    </row>
    <row r="51" spans="5:22" x14ac:dyDescent="0.25">
      <c r="U51" s="316"/>
      <c r="V51" s="316"/>
    </row>
    <row r="52" spans="5:22" x14ac:dyDescent="0.25">
      <c r="U52" s="316"/>
      <c r="V52" s="316"/>
    </row>
    <row r="53" spans="5:22" x14ac:dyDescent="0.25">
      <c r="U53" s="316"/>
      <c r="V53" s="316"/>
    </row>
    <row r="54" spans="5:22" ht="15.75" x14ac:dyDescent="0.25">
      <c r="U54" s="318"/>
      <c r="V54" s="318"/>
    </row>
    <row r="55" spans="5:22" x14ac:dyDescent="0.25">
      <c r="U55" s="316"/>
      <c r="V55" s="316"/>
    </row>
    <row r="56" spans="5:22" x14ac:dyDescent="0.25">
      <c r="U56" s="316"/>
      <c r="V56" s="316"/>
    </row>
    <row r="57" spans="5:22" x14ac:dyDescent="0.25">
      <c r="U57" s="316"/>
      <c r="V57" s="316"/>
    </row>
    <row r="58" spans="5:22" x14ac:dyDescent="0.25">
      <c r="U58" s="316"/>
      <c r="V58" s="316"/>
    </row>
    <row r="59" spans="5:22" x14ac:dyDescent="0.25">
      <c r="U59" s="316"/>
      <c r="V59" s="316"/>
    </row>
    <row r="60" spans="5:22" x14ac:dyDescent="0.25">
      <c r="U60" s="316"/>
      <c r="V60" s="316"/>
    </row>
    <row r="64" spans="5:22" x14ac:dyDescent="0.25">
      <c r="E64" s="286"/>
      <c r="U64" s="301"/>
      <c r="V64" s="301"/>
    </row>
    <row r="65" spans="5:22" x14ac:dyDescent="0.25">
      <c r="E65" s="286"/>
      <c r="U65" s="301"/>
      <c r="V65" s="301"/>
    </row>
    <row r="66" spans="5:22" x14ac:dyDescent="0.25">
      <c r="E66" s="286"/>
      <c r="U66" s="301"/>
      <c r="V66" s="301"/>
    </row>
    <row r="67" spans="5:22" x14ac:dyDescent="0.25">
      <c r="E67" s="286"/>
      <c r="U67" s="301"/>
      <c r="V67" s="301"/>
    </row>
    <row r="68" spans="5:22" x14ac:dyDescent="0.25">
      <c r="E68" s="286"/>
      <c r="U68" s="301"/>
      <c r="V68" s="301"/>
    </row>
    <row r="69" spans="5:22" x14ac:dyDescent="0.25">
      <c r="E69" s="286"/>
      <c r="U69" s="301"/>
      <c r="V69" s="301"/>
    </row>
    <row r="70" spans="5:22" x14ac:dyDescent="0.25">
      <c r="E70" s="286"/>
      <c r="U70" s="301"/>
      <c r="V70" s="301"/>
    </row>
    <row r="71" spans="5:22" x14ac:dyDescent="0.25">
      <c r="E71" s="286"/>
      <c r="U71" s="301"/>
      <c r="V71" s="301"/>
    </row>
    <row r="72" spans="5:22" x14ac:dyDescent="0.25">
      <c r="E72" s="286"/>
      <c r="U72" s="301"/>
      <c r="V72" s="301"/>
    </row>
    <row r="73" spans="5:22" x14ac:dyDescent="0.25">
      <c r="E73" s="286"/>
      <c r="U73" s="301"/>
      <c r="V73" s="301"/>
    </row>
    <row r="74" spans="5:22" x14ac:dyDescent="0.25">
      <c r="E74" s="286"/>
      <c r="U74" s="301"/>
      <c r="V74" s="301"/>
    </row>
    <row r="75" spans="5:22" x14ac:dyDescent="0.25">
      <c r="E75" s="286"/>
      <c r="U75" s="301"/>
      <c r="V75" s="301"/>
    </row>
    <row r="76" spans="5:22" x14ac:dyDescent="0.25">
      <c r="E76" s="286"/>
      <c r="U76" s="301"/>
      <c r="V76" s="301"/>
    </row>
    <row r="77" spans="5:22" x14ac:dyDescent="0.25">
      <c r="E77" s="286"/>
      <c r="U77" s="301"/>
      <c r="V77" s="301"/>
    </row>
    <row r="78" spans="5:22" x14ac:dyDescent="0.25">
      <c r="E78" s="286"/>
      <c r="U78" s="301"/>
      <c r="V78" s="301"/>
    </row>
    <row r="79" spans="5:22" x14ac:dyDescent="0.25">
      <c r="E79" s="286"/>
      <c r="U79" s="301"/>
      <c r="V79" s="301"/>
    </row>
    <row r="80" spans="5:22" x14ac:dyDescent="0.25">
      <c r="E80" s="286"/>
      <c r="U80" s="301"/>
      <c r="V80" s="301"/>
    </row>
    <row r="81" spans="5:22" x14ac:dyDescent="0.25">
      <c r="E81" s="286"/>
      <c r="U81" s="301"/>
      <c r="V81" s="301"/>
    </row>
    <row r="82" spans="5:22" x14ac:dyDescent="0.25">
      <c r="E82" s="286"/>
      <c r="U82" s="301"/>
      <c r="V82" s="301"/>
    </row>
    <row r="83" spans="5:22" x14ac:dyDescent="0.25">
      <c r="E83" s="286"/>
      <c r="U83" s="301"/>
      <c r="V83" s="301"/>
    </row>
    <row r="84" spans="5:22" x14ac:dyDescent="0.25">
      <c r="E84" s="286"/>
      <c r="U84" s="301"/>
      <c r="V84" s="301"/>
    </row>
    <row r="85" spans="5:22" x14ac:dyDescent="0.25">
      <c r="E85" s="286"/>
      <c r="U85" s="301"/>
      <c r="V85" s="301"/>
    </row>
    <row r="86" spans="5:22" x14ac:dyDescent="0.25">
      <c r="E86" s="286"/>
      <c r="U86" s="301"/>
      <c r="V86" s="301"/>
    </row>
    <row r="87" spans="5:22" x14ac:dyDescent="0.25">
      <c r="E87" s="286"/>
      <c r="U87" s="301"/>
      <c r="V87" s="301"/>
    </row>
    <row r="88" spans="5:22" x14ac:dyDescent="0.25">
      <c r="E88" s="286"/>
      <c r="U88" s="301"/>
      <c r="V88" s="301"/>
    </row>
    <row r="89" spans="5:22" x14ac:dyDescent="0.25">
      <c r="E89" s="286"/>
      <c r="U89" s="301"/>
      <c r="V89" s="301"/>
    </row>
    <row r="90" spans="5:22" x14ac:dyDescent="0.25">
      <c r="E90" s="286"/>
      <c r="U90" s="301"/>
      <c r="V90" s="301"/>
    </row>
    <row r="91" spans="5:22" x14ac:dyDescent="0.25">
      <c r="E91" s="286"/>
      <c r="U91" s="301"/>
      <c r="V91" s="301"/>
    </row>
    <row r="92" spans="5:22" x14ac:dyDescent="0.25">
      <c r="E92" s="286"/>
      <c r="U92" s="301"/>
      <c r="V92" s="301"/>
    </row>
    <row r="93" spans="5:22" x14ac:dyDescent="0.25">
      <c r="E93" s="286"/>
    </row>
    <row r="94" spans="5:22" x14ac:dyDescent="0.25">
      <c r="E94" s="286"/>
    </row>
    <row r="95" spans="5:22" x14ac:dyDescent="0.25">
      <c r="E95" s="286"/>
    </row>
    <row r="96" spans="5:22" x14ac:dyDescent="0.25">
      <c r="E96" s="286"/>
    </row>
    <row r="97" spans="5:5" x14ac:dyDescent="0.25">
      <c r="E97" s="286"/>
    </row>
    <row r="98" spans="5:5" x14ac:dyDescent="0.25">
      <c r="E98" s="286"/>
    </row>
    <row r="99" spans="5:5" x14ac:dyDescent="0.25">
      <c r="E99" s="286"/>
    </row>
    <row r="100" spans="5:5" x14ac:dyDescent="0.25">
      <c r="E100" s="286"/>
    </row>
    <row r="101" spans="5:5" x14ac:dyDescent="0.25">
      <c r="E101" s="286"/>
    </row>
    <row r="102" spans="5:5" x14ac:dyDescent="0.25">
      <c r="E102" s="286"/>
    </row>
    <row r="103" spans="5:5" x14ac:dyDescent="0.25">
      <c r="E103" s="286"/>
    </row>
    <row r="104" spans="5:5" x14ac:dyDescent="0.25">
      <c r="E104" s="286"/>
    </row>
    <row r="105" spans="5:5" x14ac:dyDescent="0.25">
      <c r="E105" s="286"/>
    </row>
    <row r="106" spans="5:5" x14ac:dyDescent="0.25">
      <c r="E106" s="286"/>
    </row>
    <row r="107" spans="5:5" x14ac:dyDescent="0.25">
      <c r="E107" s="286"/>
    </row>
    <row r="108" spans="5:5" x14ac:dyDescent="0.25">
      <c r="E108" s="286"/>
    </row>
    <row r="109" spans="5:5" x14ac:dyDescent="0.25">
      <c r="E109" s="286"/>
    </row>
    <row r="110" spans="5:5" x14ac:dyDescent="0.25">
      <c r="E110" s="286"/>
    </row>
    <row r="111" spans="5:5" x14ac:dyDescent="0.25">
      <c r="E111" s="286"/>
    </row>
    <row r="112" spans="5:5" x14ac:dyDescent="0.25">
      <c r="E112" s="286"/>
    </row>
    <row r="113" spans="5:5" x14ac:dyDescent="0.25">
      <c r="E113" s="286"/>
    </row>
    <row r="114" spans="5:5" x14ac:dyDescent="0.25">
      <c r="E114" s="286"/>
    </row>
    <row r="115" spans="5:5" x14ac:dyDescent="0.25">
      <c r="E115" s="286"/>
    </row>
    <row r="116" spans="5:5" x14ac:dyDescent="0.25">
      <c r="E116" s="286"/>
    </row>
    <row r="117" spans="5:5" x14ac:dyDescent="0.25">
      <c r="E117" s="286"/>
    </row>
    <row r="118" spans="5:5" x14ac:dyDescent="0.25">
      <c r="E118" s="286"/>
    </row>
    <row r="119" spans="5:5" x14ac:dyDescent="0.25">
      <c r="E119" s="286"/>
    </row>
    <row r="120" spans="5:5" x14ac:dyDescent="0.25">
      <c r="E120" s="286"/>
    </row>
    <row r="121" spans="5:5" x14ac:dyDescent="0.25">
      <c r="E121" s="286"/>
    </row>
    <row r="122" spans="5:5" x14ac:dyDescent="0.25">
      <c r="E122" s="286"/>
    </row>
    <row r="123" spans="5:5" x14ac:dyDescent="0.25">
      <c r="E123" s="286"/>
    </row>
    <row r="124" spans="5:5" x14ac:dyDescent="0.25">
      <c r="E124" s="286"/>
    </row>
    <row r="125" spans="5:5" x14ac:dyDescent="0.25">
      <c r="E125" s="286"/>
    </row>
    <row r="126" spans="5:5" x14ac:dyDescent="0.25">
      <c r="E126" s="286"/>
    </row>
    <row r="127" spans="5:5" x14ac:dyDescent="0.25">
      <c r="E127" s="286"/>
    </row>
    <row r="128" spans="5:5" x14ac:dyDescent="0.25">
      <c r="E128" s="286"/>
    </row>
    <row r="129" spans="5:5" x14ac:dyDescent="0.25">
      <c r="E129" s="286"/>
    </row>
    <row r="130" spans="5:5" x14ac:dyDescent="0.25">
      <c r="E130" s="286"/>
    </row>
    <row r="131" spans="5:5" x14ac:dyDescent="0.25">
      <c r="E131" s="286"/>
    </row>
    <row r="132" spans="5:5" x14ac:dyDescent="0.25">
      <c r="E132" s="286"/>
    </row>
  </sheetData>
  <mergeCells count="21">
    <mergeCell ref="A7:A9"/>
    <mergeCell ref="V3:V5"/>
    <mergeCell ref="W3:W5"/>
    <mergeCell ref="G4:H4"/>
    <mergeCell ref="I4:J4"/>
    <mergeCell ref="K4:L4"/>
    <mergeCell ref="M4:N4"/>
    <mergeCell ref="G3:N3"/>
    <mergeCell ref="O3:P4"/>
    <mergeCell ref="Q3:R4"/>
    <mergeCell ref="S3:S5"/>
    <mergeCell ref="T3:T5"/>
    <mergeCell ref="U3:U5"/>
    <mergeCell ref="A1:F1"/>
    <mergeCell ref="A2:F2"/>
    <mergeCell ref="A3:A5"/>
    <mergeCell ref="B3:B5"/>
    <mergeCell ref="C3:C5"/>
    <mergeCell ref="D3:D5"/>
    <mergeCell ref="E3:E5"/>
    <mergeCell ref="F3:F5"/>
  </mergeCells>
  <pageMargins left="0.23622047244094491" right="0.23622047244094491" top="0.74803149606299213" bottom="0.74803149606299213" header="0.31496062992125984" footer="0.31496062992125984"/>
  <pageSetup scale="90"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5"/>
  <sheetViews>
    <sheetView tabSelected="1" workbookViewId="0">
      <selection activeCell="C7" sqref="C7"/>
    </sheetView>
  </sheetViews>
  <sheetFormatPr baseColWidth="10" defaultRowHeight="15" x14ac:dyDescent="0.25"/>
  <sheetData>
    <row r="3" spans="1:1" x14ac:dyDescent="0.25">
      <c r="A3" s="775">
        <v>421260</v>
      </c>
    </row>
    <row r="4" spans="1:1" x14ac:dyDescent="0.25">
      <c r="A4" s="775">
        <v>3550</v>
      </c>
    </row>
    <row r="5" spans="1:1" x14ac:dyDescent="0.25">
      <c r="A5" s="251">
        <f>SUM(A3:A4)</f>
        <v>424810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Y52"/>
  <sheetViews>
    <sheetView topLeftCell="A3" zoomScale="40" zoomScaleNormal="40" workbookViewId="0">
      <pane xSplit="1" ySplit="4" topLeftCell="P7" activePane="bottomRight" state="frozen"/>
      <selection activeCell="A3" sqref="A3"/>
      <selection pane="topRight" activeCell="B3" sqref="B3"/>
      <selection pane="bottomLeft" activeCell="A7" sqref="A7"/>
      <selection pane="bottomRight" activeCell="AB16" sqref="AB16"/>
    </sheetView>
  </sheetViews>
  <sheetFormatPr baseColWidth="10" defaultRowHeight="15.75" x14ac:dyDescent="0.25"/>
  <cols>
    <col min="1" max="1" width="25.7109375" customWidth="1"/>
    <col min="2" max="3" width="21.7109375" customWidth="1"/>
    <col min="4" max="4" width="23.7109375" customWidth="1"/>
    <col min="5" max="5" width="19.28515625" customWidth="1"/>
    <col min="6" max="6" width="12.42578125" customWidth="1"/>
    <col min="7" max="7" width="35.140625" style="512" customWidth="1"/>
    <col min="8" max="8" width="15.28515625" customWidth="1"/>
    <col min="9" max="9" width="22.5703125" style="251" customWidth="1"/>
    <col min="10" max="10" width="15.28515625" customWidth="1"/>
    <col min="11" max="11" width="18.85546875" style="251" customWidth="1"/>
    <col min="13" max="13" width="19" style="251" customWidth="1"/>
    <col min="15" max="15" width="14.85546875" style="251" bestFit="1" customWidth="1"/>
    <col min="16" max="16" width="15.28515625" customWidth="1"/>
    <col min="17" max="17" width="28.28515625" style="251" customWidth="1"/>
    <col min="20" max="23" width="14.140625" customWidth="1"/>
    <col min="24" max="24" width="17" customWidth="1"/>
    <col min="25" max="25" width="37.42578125" customWidth="1"/>
  </cols>
  <sheetData>
    <row r="1" spans="1:25" ht="24.95" customHeight="1" x14ac:dyDescent="0.25">
      <c r="A1" s="887" t="s">
        <v>612</v>
      </c>
      <c r="B1" s="887"/>
      <c r="C1" s="887"/>
      <c r="D1" s="887"/>
      <c r="E1" s="887"/>
      <c r="F1" s="887"/>
      <c r="G1" s="887"/>
    </row>
    <row r="2" spans="1:25" ht="18.75" x14ac:dyDescent="0.25">
      <c r="A2" s="885" t="s">
        <v>196</v>
      </c>
      <c r="B2" s="885"/>
      <c r="C2" s="885"/>
      <c r="D2" s="885"/>
      <c r="E2" s="885"/>
      <c r="F2" s="885"/>
      <c r="G2" s="885"/>
      <c r="H2" s="341" t="s">
        <v>612</v>
      </c>
      <c r="J2" s="341"/>
      <c r="K2" s="341"/>
      <c r="L2" s="341"/>
      <c r="M2" s="341"/>
      <c r="N2" s="341"/>
      <c r="O2" s="341"/>
      <c r="P2" s="341"/>
      <c r="Q2" s="341"/>
      <c r="R2" s="341"/>
      <c r="S2" s="341"/>
      <c r="T2" s="341"/>
      <c r="U2" s="341"/>
      <c r="V2" s="341"/>
      <c r="W2" s="341"/>
      <c r="X2" s="341"/>
    </row>
    <row r="3" spans="1:25" ht="86.25" customHeight="1" x14ac:dyDescent="0.25">
      <c r="A3" s="886"/>
      <c r="B3" s="886"/>
      <c r="C3" s="886"/>
      <c r="D3" s="886"/>
      <c r="E3" s="886"/>
      <c r="F3" s="886"/>
      <c r="G3" s="886"/>
      <c r="H3" s="320"/>
      <c r="I3" s="320"/>
      <c r="J3" s="320"/>
      <c r="K3" s="320"/>
      <c r="L3" s="320"/>
      <c r="M3" s="320"/>
      <c r="N3" s="320"/>
      <c r="O3" s="320"/>
      <c r="P3" s="320"/>
      <c r="Q3" s="320"/>
      <c r="R3" s="320"/>
      <c r="S3" s="320"/>
      <c r="T3" s="320"/>
      <c r="U3" s="320"/>
      <c r="V3" s="320"/>
      <c r="W3" s="320"/>
      <c r="X3" s="320"/>
    </row>
    <row r="4" spans="1:25" ht="15" x14ac:dyDescent="0.25">
      <c r="A4" s="800" t="s">
        <v>100</v>
      </c>
      <c r="B4" s="888" t="s">
        <v>118</v>
      </c>
      <c r="C4" s="398"/>
      <c r="D4" s="801" t="s">
        <v>88</v>
      </c>
      <c r="E4" s="801" t="s">
        <v>89</v>
      </c>
      <c r="F4" s="877" t="s">
        <v>473</v>
      </c>
      <c r="G4" s="841" t="s">
        <v>90</v>
      </c>
      <c r="H4" s="800" t="s">
        <v>104</v>
      </c>
      <c r="I4" s="800"/>
      <c r="J4" s="800"/>
      <c r="K4" s="800"/>
      <c r="L4" s="800"/>
      <c r="M4" s="800"/>
      <c r="N4" s="800"/>
      <c r="O4" s="800"/>
      <c r="P4" s="801" t="s">
        <v>105</v>
      </c>
      <c r="Q4" s="801"/>
      <c r="R4" s="800" t="s">
        <v>106</v>
      </c>
      <c r="S4" s="800"/>
      <c r="T4" s="800" t="s">
        <v>107</v>
      </c>
      <c r="U4" s="800" t="s">
        <v>108</v>
      </c>
      <c r="V4" s="888" t="s">
        <v>116</v>
      </c>
      <c r="W4" s="888" t="s">
        <v>115</v>
      </c>
      <c r="X4" s="893" t="s">
        <v>91</v>
      </c>
    </row>
    <row r="5" spans="1:25" ht="15" x14ac:dyDescent="0.25">
      <c r="A5" s="800"/>
      <c r="B5" s="889"/>
      <c r="C5" s="399"/>
      <c r="D5" s="801"/>
      <c r="E5" s="801"/>
      <c r="F5" s="878"/>
      <c r="G5" s="841"/>
      <c r="H5" s="800" t="s">
        <v>109</v>
      </c>
      <c r="I5" s="800"/>
      <c r="J5" s="800" t="s">
        <v>110</v>
      </c>
      <c r="K5" s="800"/>
      <c r="L5" s="800" t="s">
        <v>111</v>
      </c>
      <c r="M5" s="800"/>
      <c r="N5" s="800" t="s">
        <v>112</v>
      </c>
      <c r="O5" s="800"/>
      <c r="P5" s="801"/>
      <c r="Q5" s="801"/>
      <c r="R5" s="800"/>
      <c r="S5" s="800"/>
      <c r="T5" s="800"/>
      <c r="U5" s="800"/>
      <c r="V5" s="889"/>
      <c r="W5" s="889"/>
      <c r="X5" s="893"/>
    </row>
    <row r="6" spans="1:25" ht="25.5" x14ac:dyDescent="0.25">
      <c r="A6" s="800"/>
      <c r="B6" s="890"/>
      <c r="C6" s="400"/>
      <c r="D6" s="801"/>
      <c r="E6" s="801"/>
      <c r="F6" s="879"/>
      <c r="G6" s="841"/>
      <c r="H6" s="271" t="s">
        <v>113</v>
      </c>
      <c r="I6" s="248" t="s">
        <v>12</v>
      </c>
      <c r="J6" s="271" t="s">
        <v>113</v>
      </c>
      <c r="K6" s="248" t="s">
        <v>12</v>
      </c>
      <c r="L6" s="271" t="s">
        <v>113</v>
      </c>
      <c r="M6" s="248" t="s">
        <v>12</v>
      </c>
      <c r="N6" s="271" t="s">
        <v>113</v>
      </c>
      <c r="O6" s="248" t="s">
        <v>12</v>
      </c>
      <c r="P6" s="271" t="s">
        <v>113</v>
      </c>
      <c r="Q6" s="248" t="s">
        <v>12</v>
      </c>
      <c r="R6" s="271" t="s">
        <v>114</v>
      </c>
      <c r="S6" s="271" t="s">
        <v>85</v>
      </c>
      <c r="T6" s="800"/>
      <c r="U6" s="800"/>
      <c r="V6" s="890"/>
      <c r="W6" s="890"/>
      <c r="X6" s="893"/>
    </row>
    <row r="7" spans="1:25" ht="289.5" customHeight="1" x14ac:dyDescent="0.25">
      <c r="A7" s="511"/>
      <c r="B7" s="722" t="s">
        <v>1806</v>
      </c>
      <c r="C7" s="891" t="s">
        <v>613</v>
      </c>
      <c r="D7" s="725" t="s">
        <v>614</v>
      </c>
      <c r="E7" s="725" t="s">
        <v>1807</v>
      </c>
      <c r="F7" s="505" t="s">
        <v>1808</v>
      </c>
      <c r="G7" s="422" t="s">
        <v>1821</v>
      </c>
      <c r="H7" s="446">
        <v>0.25</v>
      </c>
      <c r="I7" s="321">
        <v>105800</v>
      </c>
      <c r="J7" s="446">
        <v>0.25</v>
      </c>
      <c r="K7" s="321"/>
      <c r="L7" s="446">
        <v>0.25</v>
      </c>
      <c r="M7" s="321"/>
      <c r="N7" s="446">
        <v>0.25</v>
      </c>
      <c r="O7" s="321"/>
      <c r="P7" s="446">
        <v>1</v>
      </c>
      <c r="Q7" s="321">
        <v>105800</v>
      </c>
      <c r="R7" s="293"/>
      <c r="S7" s="293" t="s">
        <v>2149</v>
      </c>
      <c r="T7" s="293" t="s">
        <v>2231</v>
      </c>
      <c r="U7" s="293" t="s">
        <v>2232</v>
      </c>
      <c r="V7" s="505" t="s">
        <v>1807</v>
      </c>
      <c r="W7" s="293" t="s">
        <v>2150</v>
      </c>
      <c r="X7" s="293" t="s">
        <v>2151</v>
      </c>
      <c r="Y7" s="763" t="s">
        <v>2261</v>
      </c>
    </row>
    <row r="8" spans="1:25" ht="294" customHeight="1" x14ac:dyDescent="0.25">
      <c r="A8" s="511"/>
      <c r="B8" s="723"/>
      <c r="C8" s="891"/>
      <c r="D8" s="726" t="s">
        <v>615</v>
      </c>
      <c r="E8" s="726" t="s">
        <v>1809</v>
      </c>
      <c r="F8" s="507" t="s">
        <v>1810</v>
      </c>
      <c r="G8" s="422" t="s">
        <v>1811</v>
      </c>
      <c r="H8" s="284">
        <v>0.5</v>
      </c>
      <c r="I8" s="243"/>
      <c r="J8" s="283"/>
      <c r="K8" s="243"/>
      <c r="L8" s="283"/>
      <c r="M8" s="243"/>
      <c r="N8" s="284">
        <v>0.5</v>
      </c>
      <c r="O8" s="243"/>
      <c r="P8" s="284">
        <v>1</v>
      </c>
      <c r="Q8" s="243"/>
      <c r="R8" s="283"/>
      <c r="S8" s="283" t="s">
        <v>2152</v>
      </c>
      <c r="T8" s="322" t="s">
        <v>2153</v>
      </c>
      <c r="U8" s="322" t="s">
        <v>2154</v>
      </c>
      <c r="V8" s="322" t="s">
        <v>2155</v>
      </c>
      <c r="W8" s="283" t="s">
        <v>2073</v>
      </c>
      <c r="X8" s="293" t="s">
        <v>2151</v>
      </c>
      <c r="Y8" s="763" t="s">
        <v>2261</v>
      </c>
    </row>
    <row r="9" spans="1:25" ht="128.25" customHeight="1" x14ac:dyDescent="0.25">
      <c r="A9" s="511"/>
      <c r="B9" s="723"/>
      <c r="C9" s="891"/>
      <c r="D9" s="892" t="s">
        <v>1822</v>
      </c>
      <c r="E9" s="726" t="s">
        <v>1812</v>
      </c>
      <c r="F9" s="507" t="s">
        <v>1813</v>
      </c>
      <c r="G9" s="422" t="s">
        <v>1814</v>
      </c>
      <c r="H9" s="508">
        <v>0.25</v>
      </c>
      <c r="I9" s="444">
        <v>22890</v>
      </c>
      <c r="J9" s="446">
        <v>0.25</v>
      </c>
      <c r="K9" s="321">
        <v>22890</v>
      </c>
      <c r="L9" s="293"/>
      <c r="M9" s="321"/>
      <c r="N9" s="446">
        <v>0.5</v>
      </c>
      <c r="O9" s="321"/>
      <c r="P9" s="446">
        <v>1</v>
      </c>
      <c r="Q9" s="321"/>
      <c r="R9" s="293"/>
      <c r="S9" s="293" t="s">
        <v>2156</v>
      </c>
      <c r="T9" s="293" t="s">
        <v>2157</v>
      </c>
      <c r="U9" s="293" t="s">
        <v>2158</v>
      </c>
      <c r="V9" s="293" t="s">
        <v>2159</v>
      </c>
      <c r="W9" s="293" t="s">
        <v>2073</v>
      </c>
      <c r="X9" s="293" t="s">
        <v>2151</v>
      </c>
      <c r="Y9" s="763" t="s">
        <v>2261</v>
      </c>
    </row>
    <row r="10" spans="1:25" ht="115.5" customHeight="1" x14ac:dyDescent="0.25">
      <c r="A10" s="511"/>
      <c r="B10" s="727"/>
      <c r="C10" s="891"/>
      <c r="D10" s="892"/>
      <c r="E10" s="726" t="s">
        <v>616</v>
      </c>
      <c r="F10" s="507" t="s">
        <v>1815</v>
      </c>
      <c r="G10" s="422" t="s">
        <v>1903</v>
      </c>
      <c r="H10" s="508">
        <v>1</v>
      </c>
      <c r="I10" s="444">
        <v>5650500</v>
      </c>
      <c r="J10" s="293"/>
      <c r="K10" s="321">
        <f>2752000+391490</f>
        <v>3143490</v>
      </c>
      <c r="L10" s="293"/>
      <c r="M10" s="321"/>
      <c r="N10" s="293"/>
      <c r="O10" s="321"/>
      <c r="P10" s="446">
        <v>1</v>
      </c>
      <c r="Q10" s="321"/>
      <c r="R10" s="293"/>
      <c r="S10" s="293" t="s">
        <v>2160</v>
      </c>
      <c r="T10" s="293" t="s">
        <v>2161</v>
      </c>
      <c r="U10" s="293" t="s">
        <v>2162</v>
      </c>
      <c r="V10" s="293" t="s">
        <v>2163</v>
      </c>
      <c r="W10" s="293" t="s">
        <v>2073</v>
      </c>
      <c r="X10" s="293" t="s">
        <v>2151</v>
      </c>
      <c r="Y10" s="763" t="s">
        <v>2261</v>
      </c>
    </row>
    <row r="11" spans="1:25" ht="183.75" customHeight="1" x14ac:dyDescent="0.25">
      <c r="A11" s="506"/>
      <c r="B11" s="506"/>
      <c r="C11" s="509"/>
      <c r="D11" s="510" t="s">
        <v>1816</v>
      </c>
      <c r="E11" s="724" t="s">
        <v>1817</v>
      </c>
      <c r="F11" s="507" t="s">
        <v>1818</v>
      </c>
      <c r="G11" s="422" t="s">
        <v>2018</v>
      </c>
      <c r="H11" s="442">
        <v>0.2</v>
      </c>
      <c r="I11" s="444">
        <v>630000</v>
      </c>
      <c r="J11" s="446">
        <v>0.2</v>
      </c>
      <c r="K11" s="321"/>
      <c r="L11" s="446">
        <v>0.4</v>
      </c>
      <c r="M11" s="321"/>
      <c r="N11" s="446">
        <v>0.2</v>
      </c>
      <c r="O11" s="321"/>
      <c r="P11" s="446">
        <v>1</v>
      </c>
      <c r="Q11" s="701">
        <v>630000</v>
      </c>
      <c r="R11" s="293"/>
      <c r="S11" s="293" t="s">
        <v>2132</v>
      </c>
      <c r="T11" s="293" t="s">
        <v>2233</v>
      </c>
      <c r="U11" s="293" t="s">
        <v>2234</v>
      </c>
      <c r="V11" s="293" t="s">
        <v>2164</v>
      </c>
      <c r="W11" s="293" t="s">
        <v>2073</v>
      </c>
      <c r="X11" s="293" t="s">
        <v>2151</v>
      </c>
      <c r="Y11" s="763" t="s">
        <v>2261</v>
      </c>
    </row>
    <row r="12" spans="1:25" ht="268.5" customHeight="1" x14ac:dyDescent="0.25">
      <c r="A12" s="506"/>
      <c r="B12" s="506"/>
      <c r="C12" s="509"/>
      <c r="D12" s="728" t="s">
        <v>1820</v>
      </c>
      <c r="E12" s="729" t="s">
        <v>617</v>
      </c>
      <c r="F12" s="730"/>
      <c r="G12" s="731" t="s">
        <v>2235</v>
      </c>
      <c r="H12" s="284">
        <v>0.2</v>
      </c>
      <c r="I12" s="249">
        <v>0</v>
      </c>
      <c r="J12" s="284">
        <v>0.2</v>
      </c>
      <c r="K12" s="243"/>
      <c r="L12" s="284">
        <v>0.4</v>
      </c>
      <c r="M12" s="243"/>
      <c r="N12" s="284">
        <v>0.2</v>
      </c>
      <c r="O12" s="243"/>
      <c r="P12" s="284">
        <v>1</v>
      </c>
      <c r="Q12" s="243"/>
      <c r="R12" s="283"/>
      <c r="S12" s="283" t="s">
        <v>2165</v>
      </c>
      <c r="T12" s="283" t="s">
        <v>2166</v>
      </c>
      <c r="U12" s="283" t="s">
        <v>2236</v>
      </c>
      <c r="V12" s="283" t="s">
        <v>2167</v>
      </c>
      <c r="W12" s="283" t="s">
        <v>2168</v>
      </c>
      <c r="X12" s="283" t="s">
        <v>2169</v>
      </c>
      <c r="Y12" s="763" t="s">
        <v>2261</v>
      </c>
    </row>
    <row r="13" spans="1:25" ht="48.75" customHeight="1" x14ac:dyDescent="0.25">
      <c r="A13" s="727"/>
      <c r="B13" s="727"/>
      <c r="C13" s="689"/>
      <c r="D13" s="732"/>
      <c r="E13" s="732" t="s">
        <v>1891</v>
      </c>
      <c r="F13" s="726"/>
      <c r="G13" s="733" t="s">
        <v>2237</v>
      </c>
      <c r="H13" s="284"/>
      <c r="I13" s="249"/>
      <c r="J13" s="284"/>
      <c r="K13" s="243"/>
      <c r="L13" s="284"/>
      <c r="M13" s="243">
        <v>167235</v>
      </c>
      <c r="N13" s="284"/>
      <c r="O13" s="243"/>
      <c r="P13" s="737"/>
      <c r="Q13" s="243">
        <f>+I13+K13+M13+O13</f>
        <v>167235</v>
      </c>
      <c r="R13" s="283"/>
      <c r="S13" s="283" t="s">
        <v>2170</v>
      </c>
      <c r="T13" s="706"/>
      <c r="U13" s="706"/>
      <c r="V13" s="706"/>
      <c r="W13" s="706"/>
      <c r="X13" s="706"/>
      <c r="Y13" s="763" t="s">
        <v>2261</v>
      </c>
    </row>
    <row r="14" spans="1:25" ht="102.75" customHeight="1" x14ac:dyDescent="0.25">
      <c r="A14" s="727"/>
      <c r="B14" s="727"/>
      <c r="C14" s="689"/>
      <c r="D14" s="732"/>
      <c r="E14" s="732"/>
      <c r="F14" s="726"/>
      <c r="G14" s="576" t="s">
        <v>2238</v>
      </c>
      <c r="H14" s="613"/>
      <c r="I14" s="614">
        <v>38525</v>
      </c>
      <c r="J14" s="613"/>
      <c r="K14" s="614">
        <v>2845</v>
      </c>
      <c r="L14" s="613"/>
      <c r="M14" s="614"/>
      <c r="N14" s="613"/>
      <c r="O14" s="614"/>
      <c r="P14" s="613"/>
      <c r="Q14" s="243">
        <f>+I14+K14+M14+O14</f>
        <v>41370</v>
      </c>
      <c r="R14" s="576"/>
      <c r="S14" s="293" t="s">
        <v>2132</v>
      </c>
      <c r="T14" s="293" t="s">
        <v>2233</v>
      </c>
      <c r="U14" s="293" t="s">
        <v>2239</v>
      </c>
      <c r="V14" s="293" t="s">
        <v>2164</v>
      </c>
      <c r="W14" s="293" t="s">
        <v>2073</v>
      </c>
      <c r="X14" s="293" t="s">
        <v>2151</v>
      </c>
      <c r="Y14" s="763" t="s">
        <v>2261</v>
      </c>
    </row>
    <row r="15" spans="1:25" ht="48.75" customHeight="1" x14ac:dyDescent="0.25">
      <c r="A15" s="727"/>
      <c r="B15" s="727"/>
      <c r="C15" s="689"/>
      <c r="D15" s="732"/>
      <c r="E15" s="732"/>
      <c r="F15" s="726"/>
      <c r="G15" s="733" t="s">
        <v>2243</v>
      </c>
      <c r="H15" s="613"/>
      <c r="I15" s="614">
        <f>142500+3037200</f>
        <v>3179700</v>
      </c>
      <c r="J15" s="613"/>
      <c r="K15" s="614">
        <v>142500</v>
      </c>
      <c r="L15" s="613"/>
      <c r="M15" s="614">
        <v>142500</v>
      </c>
      <c r="N15" s="613"/>
      <c r="O15" s="614">
        <v>142500</v>
      </c>
      <c r="P15" s="613"/>
      <c r="Q15" s="243">
        <f>+I15+K15+M15+O15</f>
        <v>3607200</v>
      </c>
      <c r="R15" s="576"/>
      <c r="S15" s="293" t="s">
        <v>2160</v>
      </c>
      <c r="T15" s="293" t="s">
        <v>2240</v>
      </c>
      <c r="U15" s="293" t="s">
        <v>2241</v>
      </c>
      <c r="V15" s="293" t="s">
        <v>2242</v>
      </c>
      <c r="W15" s="293" t="s">
        <v>2073</v>
      </c>
      <c r="X15" s="293" t="s">
        <v>2151</v>
      </c>
      <c r="Y15" s="763" t="s">
        <v>2261</v>
      </c>
    </row>
    <row r="16" spans="1:25" ht="88.5" customHeight="1" x14ac:dyDescent="0.25">
      <c r="A16" s="610"/>
      <c r="B16" s="734"/>
      <c r="C16" s="734"/>
      <c r="D16" s="735"/>
      <c r="E16" s="735" t="s">
        <v>1736</v>
      </c>
      <c r="F16" s="735"/>
      <c r="G16" s="736" t="s">
        <v>1735</v>
      </c>
      <c r="H16" s="284"/>
      <c r="I16" s="243">
        <f>'2. CONTRATACION DE PERSONAL'!D5</f>
        <v>32599226.520000003</v>
      </c>
      <c r="J16" s="284"/>
      <c r="K16" s="243"/>
      <c r="L16" s="284"/>
      <c r="M16" s="243"/>
      <c r="N16" s="283"/>
      <c r="O16" s="243"/>
      <c r="P16" s="283"/>
      <c r="Q16" s="243">
        <f>+I16+K16+M16+O16</f>
        <v>32599226.520000003</v>
      </c>
      <c r="R16" s="283"/>
      <c r="S16" s="283" t="s">
        <v>2172</v>
      </c>
      <c r="T16" s="283" t="s">
        <v>2173</v>
      </c>
      <c r="U16" s="283" t="s">
        <v>2174</v>
      </c>
      <c r="V16" s="283" t="s">
        <v>2175</v>
      </c>
      <c r="W16" s="283" t="s">
        <v>2109</v>
      </c>
      <c r="X16" s="283" t="s">
        <v>2171</v>
      </c>
      <c r="Y16" s="763" t="s">
        <v>2261</v>
      </c>
    </row>
    <row r="17" spans="1:24" x14ac:dyDescent="0.25">
      <c r="A17" s="352"/>
      <c r="B17" s="353"/>
      <c r="C17" s="353"/>
      <c r="D17" s="352" t="s">
        <v>121</v>
      </c>
      <c r="E17" s="353"/>
      <c r="F17" s="353"/>
      <c r="G17" s="354"/>
      <c r="H17" s="312">
        <f>SUM(H7:H10)</f>
        <v>2</v>
      </c>
      <c r="I17" s="323">
        <f>SUM(I7:I15)</f>
        <v>9627415</v>
      </c>
      <c r="J17" s="312">
        <f>SUM(J7:J10)</f>
        <v>0.5</v>
      </c>
      <c r="K17" s="323">
        <f>SUM(K7:K16)</f>
        <v>3311725</v>
      </c>
      <c r="L17" s="312">
        <f>SUM(L7:L10)</f>
        <v>0.25</v>
      </c>
      <c r="M17" s="323">
        <f>SUM(M7:M16)</f>
        <v>309735</v>
      </c>
      <c r="N17" s="312">
        <f>SUM(N7:N10)</f>
        <v>1.25</v>
      </c>
      <c r="O17" s="323">
        <f>SUM(O7:O16)</f>
        <v>142500</v>
      </c>
      <c r="P17" s="312">
        <f>H17+J17+L17+N17</f>
        <v>4</v>
      </c>
      <c r="Q17" s="466">
        <f>I17+K17+M17+O17+Q16</f>
        <v>45990601.520000003</v>
      </c>
      <c r="R17" s="315"/>
      <c r="S17" s="315"/>
      <c r="T17" s="315"/>
      <c r="U17" s="315"/>
      <c r="V17" s="315"/>
      <c r="W17" s="315"/>
      <c r="X17" s="315"/>
    </row>
    <row r="22" spans="1:24" x14ac:dyDescent="0.25">
      <c r="I22"/>
      <c r="K22"/>
      <c r="M22"/>
      <c r="O22"/>
      <c r="Q22"/>
    </row>
    <row r="23" spans="1:24" x14ac:dyDescent="0.25">
      <c r="I23"/>
      <c r="K23"/>
      <c r="M23"/>
      <c r="O23"/>
      <c r="Q23"/>
    </row>
    <row r="24" spans="1:24" x14ac:dyDescent="0.25">
      <c r="I24"/>
      <c r="K24"/>
      <c r="M24"/>
      <c r="O24"/>
      <c r="Q24"/>
    </row>
    <row r="25" spans="1:24" x14ac:dyDescent="0.25">
      <c r="I25"/>
      <c r="K25"/>
      <c r="M25"/>
      <c r="O25"/>
      <c r="Q25"/>
    </row>
    <row r="26" spans="1:24" x14ac:dyDescent="0.25">
      <c r="I26"/>
      <c r="K26"/>
      <c r="M26"/>
      <c r="O26"/>
      <c r="Q26"/>
    </row>
    <row r="27" spans="1:24" x14ac:dyDescent="0.25">
      <c r="I27"/>
      <c r="K27"/>
      <c r="M27"/>
      <c r="O27"/>
      <c r="Q27"/>
    </row>
    <row r="28" spans="1:24" x14ac:dyDescent="0.25">
      <c r="I28"/>
      <c r="K28"/>
      <c r="M28"/>
      <c r="O28"/>
      <c r="Q28"/>
    </row>
    <row r="29" spans="1:24" x14ac:dyDescent="0.25">
      <c r="I29"/>
      <c r="K29"/>
      <c r="M29"/>
      <c r="O29"/>
      <c r="Q29"/>
    </row>
    <row r="30" spans="1:24" x14ac:dyDescent="0.25">
      <c r="I30"/>
      <c r="K30"/>
      <c r="M30"/>
      <c r="O30"/>
      <c r="Q30"/>
    </row>
    <row r="31" spans="1:24" x14ac:dyDescent="0.25">
      <c r="I31"/>
      <c r="K31"/>
      <c r="M31"/>
      <c r="O31"/>
      <c r="Q31"/>
    </row>
    <row r="32" spans="1:24"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ht="15.6" customHeight="1" x14ac:dyDescent="0.25">
      <c r="I52"/>
      <c r="K52"/>
      <c r="M52"/>
      <c r="O52"/>
      <c r="Q52"/>
    </row>
  </sheetData>
  <mergeCells count="22">
    <mergeCell ref="X4:X6"/>
    <mergeCell ref="F4:F6"/>
    <mergeCell ref="T4:T6"/>
    <mergeCell ref="L5:M5"/>
    <mergeCell ref="N5:O5"/>
    <mergeCell ref="H5:I5"/>
    <mergeCell ref="J5:K5"/>
    <mergeCell ref="H4:O4"/>
    <mergeCell ref="P4:Q5"/>
    <mergeCell ref="R4:S5"/>
    <mergeCell ref="C7:C10"/>
    <mergeCell ref="D9:D10"/>
    <mergeCell ref="U4:U6"/>
    <mergeCell ref="V4:V6"/>
    <mergeCell ref="W4:W6"/>
    <mergeCell ref="A2:G3"/>
    <mergeCell ref="A1:G1"/>
    <mergeCell ref="A4:A6"/>
    <mergeCell ref="B4:B6"/>
    <mergeCell ref="D4:D6"/>
    <mergeCell ref="E4:E6"/>
    <mergeCell ref="G4:G6"/>
  </mergeCells>
  <printOptions horizontalCentered="1"/>
  <pageMargins left="0.70866141732283472" right="0.70866141732283472" top="0.74803149606299213" bottom="0.74803149606299213" header="0.31496062992125984" footer="0.31496062992125984"/>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C29"/>
  <sheetViews>
    <sheetView topLeftCell="M8" zoomScale="80" zoomScaleNormal="80" workbookViewId="0">
      <pane xSplit="20040" topLeftCell="Q1"/>
      <selection activeCell="X8" sqref="X8:X9"/>
      <selection pane="topRight" activeCell="Q5" sqref="Q5"/>
    </sheetView>
  </sheetViews>
  <sheetFormatPr baseColWidth="10" defaultRowHeight="15" x14ac:dyDescent="0.25"/>
  <cols>
    <col min="1" max="2" width="21.7109375" customWidth="1"/>
    <col min="3" max="4" width="27.42578125" customWidth="1"/>
    <col min="5" max="5" width="9.42578125" customWidth="1"/>
    <col min="6" max="6" width="27.42578125" customWidth="1"/>
    <col min="7" max="7" width="15.28515625" customWidth="1"/>
    <col min="8" max="8" width="19.42578125" style="251" customWidth="1"/>
    <col min="9" max="9" width="15.28515625" customWidth="1"/>
    <col min="10" max="10" width="18.85546875" style="251" customWidth="1"/>
    <col min="12" max="12" width="17.140625" style="251" customWidth="1"/>
    <col min="14" max="14" width="18.140625" style="251" customWidth="1"/>
    <col min="15" max="15" width="15.28515625" customWidth="1"/>
    <col min="16" max="16" width="24.42578125" style="251" customWidth="1"/>
    <col min="19" max="22" width="14.140625" customWidth="1"/>
    <col min="23" max="23" width="17" customWidth="1"/>
    <col min="24" max="24" width="28" customWidth="1"/>
  </cols>
  <sheetData>
    <row r="1" spans="1:29" ht="24.95" customHeight="1" x14ac:dyDescent="0.35">
      <c r="A1" s="894" t="s">
        <v>1547</v>
      </c>
      <c r="B1" s="894"/>
      <c r="C1" s="894"/>
      <c r="D1" s="894"/>
      <c r="E1" s="894"/>
      <c r="F1" s="894"/>
    </row>
    <row r="2" spans="1:29" ht="32.25" customHeight="1" x14ac:dyDescent="0.25">
      <c r="A2" s="799" t="s">
        <v>619</v>
      </c>
      <c r="B2" s="799"/>
      <c r="C2" s="799"/>
      <c r="D2" s="799"/>
      <c r="E2" s="799"/>
      <c r="F2" s="799"/>
      <c r="G2" s="341" t="s">
        <v>618</v>
      </c>
      <c r="I2" s="341"/>
      <c r="J2" s="341"/>
      <c r="K2" s="341"/>
      <c r="L2" s="341"/>
      <c r="M2" s="341"/>
      <c r="N2" s="341"/>
      <c r="O2" s="341"/>
      <c r="P2" s="341"/>
      <c r="Q2" s="341"/>
      <c r="R2" s="341"/>
      <c r="S2" s="341"/>
      <c r="T2" s="341"/>
      <c r="U2" s="341"/>
      <c r="V2" s="341"/>
      <c r="W2" s="341"/>
      <c r="X2" s="341"/>
      <c r="Y2" s="341"/>
      <c r="Z2" s="341"/>
      <c r="AA2" s="341"/>
      <c r="AB2" s="341"/>
      <c r="AC2" s="341"/>
    </row>
    <row r="3" spans="1:29" ht="30.75" customHeight="1" x14ac:dyDescent="0.25">
      <c r="A3" s="799"/>
      <c r="B3" s="799"/>
      <c r="C3" s="799"/>
      <c r="D3" s="799"/>
      <c r="E3" s="799"/>
      <c r="F3" s="799"/>
      <c r="G3" s="320"/>
      <c r="H3" s="320"/>
      <c r="I3" s="320"/>
      <c r="J3" s="320"/>
      <c r="K3" s="320"/>
      <c r="L3" s="320"/>
      <c r="M3" s="320"/>
      <c r="N3" s="320"/>
      <c r="O3" s="320"/>
      <c r="P3" s="320"/>
      <c r="Q3" s="320"/>
      <c r="R3" s="320"/>
      <c r="S3" s="320"/>
      <c r="T3" s="320"/>
      <c r="U3" s="320"/>
      <c r="V3" s="320"/>
      <c r="W3" s="320"/>
    </row>
    <row r="4" spans="1:29" x14ac:dyDescent="0.25">
      <c r="A4" s="800" t="s">
        <v>100</v>
      </c>
      <c r="B4" s="800" t="s">
        <v>118</v>
      </c>
      <c r="C4" s="801" t="s">
        <v>88</v>
      </c>
      <c r="D4" s="801" t="s">
        <v>89</v>
      </c>
      <c r="E4" s="802" t="s">
        <v>473</v>
      </c>
      <c r="F4" s="801" t="s">
        <v>90</v>
      </c>
      <c r="G4" s="800" t="s">
        <v>104</v>
      </c>
      <c r="H4" s="800"/>
      <c r="I4" s="800"/>
      <c r="J4" s="800"/>
      <c r="K4" s="800"/>
      <c r="L4" s="800"/>
      <c r="M4" s="800"/>
      <c r="N4" s="800"/>
      <c r="O4" s="801" t="s">
        <v>105</v>
      </c>
      <c r="P4" s="801"/>
      <c r="Q4" s="800" t="s">
        <v>106</v>
      </c>
      <c r="R4" s="800"/>
      <c r="S4" s="800" t="s">
        <v>107</v>
      </c>
      <c r="T4" s="800" t="s">
        <v>108</v>
      </c>
      <c r="U4" s="888" t="s">
        <v>116</v>
      </c>
      <c r="V4" s="888" t="s">
        <v>115</v>
      </c>
      <c r="W4" s="893" t="s">
        <v>91</v>
      </c>
    </row>
    <row r="5" spans="1:29" x14ac:dyDescent="0.25">
      <c r="A5" s="800"/>
      <c r="B5" s="800"/>
      <c r="C5" s="801"/>
      <c r="D5" s="801"/>
      <c r="E5" s="802"/>
      <c r="F5" s="801"/>
      <c r="G5" s="800" t="s">
        <v>109</v>
      </c>
      <c r="H5" s="800"/>
      <c r="I5" s="800" t="s">
        <v>110</v>
      </c>
      <c r="J5" s="800"/>
      <c r="K5" s="800" t="s">
        <v>111</v>
      </c>
      <c r="L5" s="800"/>
      <c r="M5" s="800" t="s">
        <v>112</v>
      </c>
      <c r="N5" s="800"/>
      <c r="O5" s="801"/>
      <c r="P5" s="801"/>
      <c r="Q5" s="800"/>
      <c r="R5" s="800"/>
      <c r="S5" s="800"/>
      <c r="T5" s="800"/>
      <c r="U5" s="889"/>
      <c r="V5" s="889"/>
      <c r="W5" s="893"/>
    </row>
    <row r="6" spans="1:29" ht="25.5" x14ac:dyDescent="0.25">
      <c r="A6" s="800"/>
      <c r="B6" s="800"/>
      <c r="C6" s="801"/>
      <c r="D6" s="801"/>
      <c r="E6" s="802"/>
      <c r="F6" s="801"/>
      <c r="G6" s="271" t="s">
        <v>113</v>
      </c>
      <c r="H6" s="248" t="s">
        <v>12</v>
      </c>
      <c r="I6" s="271" t="s">
        <v>113</v>
      </c>
      <c r="J6" s="248" t="s">
        <v>12</v>
      </c>
      <c r="K6" s="271" t="s">
        <v>113</v>
      </c>
      <c r="L6" s="248" t="s">
        <v>12</v>
      </c>
      <c r="M6" s="271" t="s">
        <v>113</v>
      </c>
      <c r="N6" s="248" t="s">
        <v>12</v>
      </c>
      <c r="O6" s="271" t="s">
        <v>113</v>
      </c>
      <c r="P6" s="248" t="s">
        <v>12</v>
      </c>
      <c r="Q6" s="271" t="s">
        <v>114</v>
      </c>
      <c r="R6" s="271" t="s">
        <v>85</v>
      </c>
      <c r="S6" s="800"/>
      <c r="T6" s="800"/>
      <c r="U6" s="890"/>
      <c r="V6" s="890"/>
      <c r="W6" s="893"/>
    </row>
    <row r="7" spans="1:29" ht="183.75" customHeight="1" x14ac:dyDescent="0.25">
      <c r="A7" s="895" t="s">
        <v>197</v>
      </c>
      <c r="B7" s="864" t="s">
        <v>620</v>
      </c>
      <c r="C7" s="283" t="s">
        <v>621</v>
      </c>
      <c r="D7" s="283" t="s">
        <v>622</v>
      </c>
      <c r="E7" s="283"/>
      <c r="F7" s="283" t="s">
        <v>188</v>
      </c>
      <c r="G7" s="304"/>
      <c r="H7" s="738">
        <f>1250000+12250</f>
        <v>1262250</v>
      </c>
      <c r="I7" s="288"/>
      <c r="J7" s="738">
        <v>1250000</v>
      </c>
      <c r="K7" s="288"/>
      <c r="L7" s="738">
        <v>1250000</v>
      </c>
      <c r="M7" s="288"/>
      <c r="N7" s="738">
        <v>1250000</v>
      </c>
      <c r="O7" s="288"/>
      <c r="P7" s="738">
        <f>H7+J7+L7+N7</f>
        <v>5012250</v>
      </c>
      <c r="Q7" s="308"/>
      <c r="R7" s="308" t="s">
        <v>2176</v>
      </c>
      <c r="S7" s="308" t="s">
        <v>2245</v>
      </c>
      <c r="T7" s="308" t="s">
        <v>2245</v>
      </c>
      <c r="U7" s="308" t="s">
        <v>2246</v>
      </c>
      <c r="V7" s="308" t="s">
        <v>2083</v>
      </c>
      <c r="W7" s="644" t="s">
        <v>2247</v>
      </c>
      <c r="X7" s="763" t="s">
        <v>2261</v>
      </c>
    </row>
    <row r="8" spans="1:29" ht="139.5" customHeight="1" x14ac:dyDescent="0.25">
      <c r="A8" s="895"/>
      <c r="B8" s="864"/>
      <c r="C8" s="283" t="s">
        <v>1826</v>
      </c>
      <c r="D8" s="283" t="s">
        <v>1827</v>
      </c>
      <c r="E8" s="283"/>
      <c r="F8" s="283" t="s">
        <v>1828</v>
      </c>
      <c r="G8" s="304"/>
      <c r="H8" s="738">
        <f>250000+42150+8075</f>
        <v>300225</v>
      </c>
      <c r="I8" s="288"/>
      <c r="J8" s="738">
        <v>250000</v>
      </c>
      <c r="K8" s="288"/>
      <c r="L8" s="738">
        <v>250000</v>
      </c>
      <c r="M8" s="288"/>
      <c r="N8" s="738">
        <v>250000</v>
      </c>
      <c r="O8" s="288"/>
      <c r="P8" s="738">
        <f>H8+J8+L8+N8</f>
        <v>1050225</v>
      </c>
      <c r="Q8" s="308"/>
      <c r="R8" s="308" t="s">
        <v>2248</v>
      </c>
      <c r="S8" s="308" t="s">
        <v>2244</v>
      </c>
      <c r="T8" s="308" t="s">
        <v>2249</v>
      </c>
      <c r="U8" s="308" t="s">
        <v>2250</v>
      </c>
      <c r="V8" s="308" t="s">
        <v>2083</v>
      </c>
      <c r="W8" s="283" t="s">
        <v>2251</v>
      </c>
      <c r="X8" s="763" t="s">
        <v>2261</v>
      </c>
    </row>
    <row r="9" spans="1:29" ht="146.25" customHeight="1" x14ac:dyDescent="0.25">
      <c r="A9" s="895"/>
      <c r="B9" s="864"/>
      <c r="C9" s="283" t="s">
        <v>623</v>
      </c>
      <c r="D9" s="283" t="s">
        <v>624</v>
      </c>
      <c r="E9" s="283"/>
      <c r="F9" s="283" t="s">
        <v>625</v>
      </c>
      <c r="G9" s="292">
        <v>0.25</v>
      </c>
      <c r="H9" s="738"/>
      <c r="I9" s="292">
        <v>0.25</v>
      </c>
      <c r="J9" s="738"/>
      <c r="K9" s="292">
        <v>0.25</v>
      </c>
      <c r="L9" s="738"/>
      <c r="M9" s="292">
        <v>0.25</v>
      </c>
      <c r="N9" s="738"/>
      <c r="O9" s="702">
        <v>1</v>
      </c>
      <c r="P9" s="243"/>
      <c r="Q9" s="303"/>
      <c r="R9" s="303" t="s">
        <v>2178</v>
      </c>
      <c r="S9" s="308" t="s">
        <v>2179</v>
      </c>
      <c r="T9" s="308" t="s">
        <v>2179</v>
      </c>
      <c r="U9" s="308" t="s">
        <v>2155</v>
      </c>
      <c r="V9" s="308" t="s">
        <v>2083</v>
      </c>
      <c r="W9" s="72" t="s">
        <v>2177</v>
      </c>
      <c r="X9" s="763" t="s">
        <v>2261</v>
      </c>
    </row>
    <row r="10" spans="1:29" ht="15.75" x14ac:dyDescent="0.25">
      <c r="A10" s="374"/>
      <c r="B10" s="374"/>
      <c r="C10" s="374"/>
      <c r="D10" s="374" t="s">
        <v>122</v>
      </c>
      <c r="E10" s="374"/>
      <c r="F10" s="374"/>
      <c r="G10" s="325">
        <f t="shared" ref="G10:N10" si="0">SUM(G7:G9)</f>
        <v>0.25</v>
      </c>
      <c r="H10" s="326">
        <f t="shared" si="0"/>
        <v>1562475</v>
      </c>
      <c r="I10" s="325">
        <f t="shared" si="0"/>
        <v>0.25</v>
      </c>
      <c r="J10" s="326">
        <f t="shared" si="0"/>
        <v>1500000</v>
      </c>
      <c r="K10" s="325">
        <f t="shared" si="0"/>
        <v>0.25</v>
      </c>
      <c r="L10" s="326">
        <f t="shared" si="0"/>
        <v>1500000</v>
      </c>
      <c r="M10" s="325">
        <f t="shared" si="0"/>
        <v>0.25</v>
      </c>
      <c r="N10" s="326">
        <f t="shared" si="0"/>
        <v>1500000</v>
      </c>
      <c r="O10" s="325">
        <f>G10+I10+K10+M10</f>
        <v>1</v>
      </c>
      <c r="P10" s="327">
        <f>H10+J10+L10+N10</f>
        <v>6062475</v>
      </c>
      <c r="Q10" s="315"/>
      <c r="R10" s="315"/>
      <c r="S10" s="315"/>
      <c r="T10" s="315"/>
      <c r="U10" s="315"/>
      <c r="V10" s="315"/>
      <c r="W10" s="315"/>
    </row>
    <row r="12" spans="1:29" x14ac:dyDescent="0.25">
      <c r="H12"/>
      <c r="J12"/>
      <c r="L12"/>
      <c r="N12"/>
      <c r="P12"/>
    </row>
    <row r="13" spans="1:29" x14ac:dyDescent="0.25">
      <c r="H13"/>
      <c r="J13"/>
      <c r="L13"/>
      <c r="N13"/>
      <c r="P13"/>
    </row>
    <row r="14" spans="1:29" x14ac:dyDescent="0.25">
      <c r="H14"/>
      <c r="J14"/>
      <c r="L14"/>
      <c r="N14"/>
      <c r="P14"/>
    </row>
    <row r="15" spans="1:29" x14ac:dyDescent="0.25">
      <c r="H15"/>
      <c r="J15"/>
      <c r="L15"/>
      <c r="N15"/>
      <c r="P15"/>
    </row>
    <row r="16" spans="1:29"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2">
    <mergeCell ref="A7:A9"/>
    <mergeCell ref="B7:B9"/>
    <mergeCell ref="E4:E6"/>
    <mergeCell ref="A4:A6"/>
    <mergeCell ref="B4:B6"/>
    <mergeCell ref="C4:C6"/>
    <mergeCell ref="D4:D6"/>
    <mergeCell ref="A2:F3"/>
    <mergeCell ref="A1:F1"/>
    <mergeCell ref="W4:W6"/>
    <mergeCell ref="G5:H5"/>
    <mergeCell ref="I5:J5"/>
    <mergeCell ref="S4:S6"/>
    <mergeCell ref="O4:P5"/>
    <mergeCell ref="Q4:R5"/>
    <mergeCell ref="T4:T6"/>
    <mergeCell ref="U4:U6"/>
    <mergeCell ref="V4:V6"/>
    <mergeCell ref="K5:L5"/>
    <mergeCell ref="M5:N5"/>
    <mergeCell ref="F4:F6"/>
    <mergeCell ref="G4:N4"/>
  </mergeCells>
  <printOptions horizontalCentered="1"/>
  <pageMargins left="0.70866141732283472" right="0.70866141732283472" top="0.74803149606299213" bottom="0.74803149606299213" header="0.31496062992125984" footer="0.31496062992125984"/>
  <pageSetup scale="90" orientation="landscape"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F145"/>
  <sheetViews>
    <sheetView zoomScale="30" zoomScaleNormal="30" workbookViewId="0">
      <pane xSplit="1" ySplit="8" topLeftCell="N18" activePane="bottomRight" state="frozen"/>
      <selection pane="topRight" activeCell="B1" sqref="B1"/>
      <selection pane="bottomLeft" activeCell="A9" sqref="A9"/>
      <selection pane="bottomRight" activeCell="X16" sqref="X16:X17"/>
    </sheetView>
  </sheetViews>
  <sheetFormatPr baseColWidth="10" defaultColWidth="12.5703125" defaultRowHeight="15" x14ac:dyDescent="0.25"/>
  <cols>
    <col min="1" max="2" width="21.7109375" customWidth="1"/>
    <col min="3" max="3" width="21.5703125" customWidth="1"/>
    <col min="4" max="4" width="27.42578125" customWidth="1"/>
    <col min="5" max="5" width="10.7109375" customWidth="1"/>
    <col min="6" max="6" width="27.42578125" customWidth="1"/>
    <col min="7" max="7" width="15.28515625" customWidth="1"/>
    <col min="8" max="8" width="20.28515625" style="251" customWidth="1"/>
    <col min="9" max="9" width="15.28515625" customWidth="1"/>
    <col min="10" max="10" width="20.42578125" style="251" customWidth="1"/>
    <col min="11" max="11" width="15.28515625" customWidth="1"/>
    <col min="12" max="12" width="21.85546875" style="251" customWidth="1"/>
    <col min="13" max="13" width="15.28515625" customWidth="1"/>
    <col min="14" max="14" width="20.140625" style="251" customWidth="1"/>
    <col min="15" max="15" width="15.28515625" customWidth="1"/>
    <col min="16" max="16" width="19.85546875" style="251" customWidth="1"/>
    <col min="19" max="22" width="14.28515625" customWidth="1"/>
    <col min="23" max="23" width="15.7109375" customWidth="1"/>
    <col min="24" max="24" width="25.140625" customWidth="1"/>
  </cols>
  <sheetData>
    <row r="1" spans="1:32" ht="24.95" customHeight="1" x14ac:dyDescent="0.3">
      <c r="A1" s="897" t="s">
        <v>1548</v>
      </c>
      <c r="B1" s="897"/>
      <c r="C1" s="897"/>
      <c r="D1" s="897"/>
      <c r="E1" s="897"/>
      <c r="F1" s="897"/>
    </row>
    <row r="2" spans="1:32" s="328" customFormat="1" ht="31.5" customHeight="1" x14ac:dyDescent="0.3">
      <c r="A2" s="896" t="s">
        <v>626</v>
      </c>
      <c r="B2" s="896"/>
      <c r="C2" s="896"/>
      <c r="D2" s="896"/>
      <c r="E2" s="896"/>
      <c r="F2" s="896"/>
      <c r="G2" s="334" t="s">
        <v>138</v>
      </c>
      <c r="L2" s="334"/>
      <c r="M2" s="334"/>
      <c r="N2" s="334"/>
      <c r="O2" s="334"/>
      <c r="P2" s="334"/>
      <c r="Q2" s="334"/>
      <c r="R2" s="334"/>
      <c r="S2" s="334"/>
      <c r="T2" s="334"/>
      <c r="U2" s="334"/>
      <c r="V2" s="334"/>
      <c r="W2" s="334"/>
      <c r="X2" s="334"/>
      <c r="Y2" s="334"/>
      <c r="Z2" s="334"/>
      <c r="AA2" s="334"/>
      <c r="AB2" s="334"/>
      <c r="AC2" s="334"/>
      <c r="AD2" s="334"/>
      <c r="AE2" s="334"/>
      <c r="AF2" s="334"/>
    </row>
    <row r="3" spans="1:32" s="328" customFormat="1" ht="29.25" customHeight="1" x14ac:dyDescent="0.2">
      <c r="A3" s="896"/>
      <c r="B3" s="896"/>
      <c r="C3" s="896"/>
      <c r="D3" s="896"/>
      <c r="E3" s="896"/>
      <c r="F3" s="896"/>
      <c r="G3" s="279"/>
      <c r="H3" s="279"/>
      <c r="I3" s="279"/>
      <c r="J3" s="279"/>
      <c r="K3" s="279"/>
      <c r="L3" s="279"/>
      <c r="M3" s="279"/>
      <c r="N3" s="279"/>
      <c r="O3" s="279"/>
      <c r="P3" s="279"/>
      <c r="Q3" s="279"/>
      <c r="R3" s="279"/>
      <c r="S3" s="279"/>
      <c r="T3" s="279"/>
      <c r="U3" s="279"/>
      <c r="V3" s="279"/>
      <c r="W3" s="279"/>
    </row>
    <row r="4" spans="1:32" s="66" customFormat="1" ht="23.25" customHeight="1" x14ac:dyDescent="0.25">
      <c r="A4" s="800" t="s">
        <v>100</v>
      </c>
      <c r="B4" s="800" t="s">
        <v>118</v>
      </c>
      <c r="C4" s="801" t="s">
        <v>88</v>
      </c>
      <c r="D4" s="801" t="s">
        <v>89</v>
      </c>
      <c r="E4" s="802" t="s">
        <v>473</v>
      </c>
      <c r="F4" s="801" t="s">
        <v>90</v>
      </c>
      <c r="G4" s="810" t="s">
        <v>104</v>
      </c>
      <c r="H4" s="800"/>
      <c r="I4" s="800"/>
      <c r="J4" s="800"/>
      <c r="K4" s="800"/>
      <c r="L4" s="800"/>
      <c r="M4" s="800"/>
      <c r="N4" s="800"/>
      <c r="O4" s="801" t="s">
        <v>105</v>
      </c>
      <c r="P4" s="801"/>
      <c r="Q4" s="800" t="s">
        <v>106</v>
      </c>
      <c r="R4" s="800"/>
      <c r="S4" s="800" t="s">
        <v>107</v>
      </c>
      <c r="T4" s="800" t="s">
        <v>108</v>
      </c>
      <c r="U4" s="800" t="s">
        <v>116</v>
      </c>
      <c r="V4" s="800" t="s">
        <v>115</v>
      </c>
      <c r="W4" s="801" t="s">
        <v>91</v>
      </c>
    </row>
    <row r="5" spans="1:32" s="66" customFormat="1" ht="15" customHeight="1" x14ac:dyDescent="0.25">
      <c r="A5" s="800"/>
      <c r="B5" s="800"/>
      <c r="C5" s="801"/>
      <c r="D5" s="801"/>
      <c r="E5" s="802"/>
      <c r="F5" s="801"/>
      <c r="G5" s="810" t="s">
        <v>109</v>
      </c>
      <c r="H5" s="800"/>
      <c r="I5" s="800" t="s">
        <v>110</v>
      </c>
      <c r="J5" s="800"/>
      <c r="K5" s="800" t="s">
        <v>111</v>
      </c>
      <c r="L5" s="800"/>
      <c r="M5" s="800" t="s">
        <v>112</v>
      </c>
      <c r="N5" s="800"/>
      <c r="O5" s="801"/>
      <c r="P5" s="801"/>
      <c r="Q5" s="800"/>
      <c r="R5" s="800"/>
      <c r="S5" s="800"/>
      <c r="T5" s="800"/>
      <c r="U5" s="800"/>
      <c r="V5" s="800"/>
      <c r="W5" s="801"/>
    </row>
    <row r="6" spans="1:32" s="67" customFormat="1" ht="24" customHeight="1" x14ac:dyDescent="0.25">
      <c r="A6" s="800"/>
      <c r="B6" s="800"/>
      <c r="C6" s="801"/>
      <c r="D6" s="801"/>
      <c r="E6" s="802"/>
      <c r="F6" s="801"/>
      <c r="G6" s="377" t="s">
        <v>113</v>
      </c>
      <c r="H6" s="248" t="s">
        <v>12</v>
      </c>
      <c r="I6" s="271" t="s">
        <v>113</v>
      </c>
      <c r="J6" s="248" t="s">
        <v>12</v>
      </c>
      <c r="K6" s="271" t="s">
        <v>113</v>
      </c>
      <c r="L6" s="248" t="s">
        <v>12</v>
      </c>
      <c r="M6" s="271" t="s">
        <v>113</v>
      </c>
      <c r="N6" s="248" t="s">
        <v>12</v>
      </c>
      <c r="O6" s="271" t="s">
        <v>113</v>
      </c>
      <c r="P6" s="248" t="s">
        <v>12</v>
      </c>
      <c r="Q6" s="271" t="s">
        <v>114</v>
      </c>
      <c r="R6" s="271" t="s">
        <v>85</v>
      </c>
      <c r="S6" s="800"/>
      <c r="T6" s="800"/>
      <c r="U6" s="800"/>
      <c r="V6" s="800"/>
      <c r="W6" s="801"/>
    </row>
    <row r="7" spans="1:32" s="299" customFormat="1" ht="24" customHeight="1" x14ac:dyDescent="0.25">
      <c r="A7" s="380"/>
      <c r="B7" s="380"/>
      <c r="C7" s="380"/>
      <c r="D7" s="380"/>
      <c r="E7" s="380"/>
      <c r="F7" s="380"/>
      <c r="G7" s="357"/>
      <c r="H7" s="356" t="s">
        <v>138</v>
      </c>
      <c r="I7" s="357"/>
      <c r="J7" s="357"/>
      <c r="K7" s="357"/>
      <c r="L7" s="357"/>
      <c r="M7" s="357"/>
      <c r="N7" s="357"/>
      <c r="O7" s="357"/>
      <c r="P7" s="357"/>
      <c r="Q7" s="357"/>
      <c r="R7" s="357"/>
      <c r="S7" s="357"/>
      <c r="T7" s="357"/>
      <c r="U7" s="357"/>
      <c r="V7" s="357"/>
      <c r="W7" s="358"/>
    </row>
    <row r="8" spans="1:32" s="299" customFormat="1" ht="24" customHeight="1" x14ac:dyDescent="0.25">
      <c r="A8" s="329"/>
      <c r="B8" s="329"/>
      <c r="C8" s="329"/>
      <c r="D8" s="329"/>
      <c r="E8" s="329"/>
      <c r="F8" s="329"/>
      <c r="G8" s="378"/>
      <c r="H8" s="253"/>
      <c r="I8" s="329"/>
      <c r="J8" s="253"/>
      <c r="K8" s="329"/>
      <c r="L8" s="253"/>
      <c r="M8" s="329"/>
      <c r="N8" s="253"/>
      <c r="O8" s="329"/>
      <c r="P8" s="253"/>
      <c r="Q8" s="329"/>
      <c r="R8" s="329"/>
      <c r="S8" s="329"/>
      <c r="T8" s="329"/>
      <c r="U8" s="329"/>
      <c r="V8" s="329"/>
      <c r="W8" s="329"/>
    </row>
    <row r="9" spans="1:32" ht="181.5" customHeight="1" x14ac:dyDescent="0.25">
      <c r="A9" s="822" t="s">
        <v>627</v>
      </c>
      <c r="B9" s="372" t="s">
        <v>628</v>
      </c>
      <c r="C9" s="375" t="s">
        <v>629</v>
      </c>
      <c r="D9" s="375" t="s">
        <v>630</v>
      </c>
      <c r="E9" s="498" t="s">
        <v>1789</v>
      </c>
      <c r="F9" s="498" t="s">
        <v>1790</v>
      </c>
      <c r="G9" s="502">
        <v>0.25</v>
      </c>
      <c r="H9" s="739">
        <v>0</v>
      </c>
      <c r="I9" s="740">
        <v>0.25</v>
      </c>
      <c r="J9" s="739"/>
      <c r="K9" s="740">
        <v>0.25</v>
      </c>
      <c r="L9" s="739"/>
      <c r="M9" s="740">
        <v>0.25</v>
      </c>
      <c r="N9" s="739"/>
      <c r="O9" s="442">
        <v>1</v>
      </c>
      <c r="P9" s="257"/>
      <c r="Q9" s="88"/>
      <c r="R9" s="88" t="s">
        <v>2126</v>
      </c>
      <c r="S9" s="76" t="s">
        <v>2180</v>
      </c>
      <c r="T9" s="88" t="s">
        <v>2181</v>
      </c>
      <c r="U9" s="88" t="s">
        <v>2182</v>
      </c>
      <c r="V9" s="88" t="s">
        <v>2183</v>
      </c>
      <c r="W9" s="88" t="s">
        <v>2184</v>
      </c>
      <c r="X9" s="763" t="s">
        <v>2261</v>
      </c>
    </row>
    <row r="10" spans="1:32" ht="297" customHeight="1" x14ac:dyDescent="0.25">
      <c r="A10" s="822"/>
      <c r="B10" s="372" t="s">
        <v>631</v>
      </c>
      <c r="C10" s="375" t="s">
        <v>632</v>
      </c>
      <c r="D10" s="375" t="s">
        <v>136</v>
      </c>
      <c r="E10" s="498" t="s">
        <v>1791</v>
      </c>
      <c r="F10" s="375" t="s">
        <v>2064</v>
      </c>
      <c r="G10" s="388"/>
      <c r="H10" s="266">
        <f>170500+554540+113000+260500+340000+1000000+345000+336800+160000+200000</f>
        <v>3480340</v>
      </c>
      <c r="I10" s="76"/>
      <c r="J10" s="266">
        <f>751236.37+376835.2+1800000+111177+120000</f>
        <v>3159248.5700000003</v>
      </c>
      <c r="K10" s="76"/>
      <c r="L10" s="266">
        <f>283532.18+5535000</f>
        <v>5818532.1799999997</v>
      </c>
      <c r="M10" s="76"/>
      <c r="N10" s="266">
        <v>90000000</v>
      </c>
      <c r="O10" s="331"/>
      <c r="P10" s="257">
        <f t="shared" ref="P10:P17" si="0">+H10+J10+L10+N10</f>
        <v>102458120.75</v>
      </c>
      <c r="Q10" s="76"/>
      <c r="R10" s="76" t="s">
        <v>2186</v>
      </c>
      <c r="S10" s="76" t="s">
        <v>2187</v>
      </c>
      <c r="T10" s="76" t="s">
        <v>2188</v>
      </c>
      <c r="U10" s="76" t="s">
        <v>2189</v>
      </c>
      <c r="V10" s="88" t="s">
        <v>2183</v>
      </c>
      <c r="W10" s="88" t="s">
        <v>2185</v>
      </c>
      <c r="X10" s="763" t="s">
        <v>2261</v>
      </c>
    </row>
    <row r="11" spans="1:32" ht="189" customHeight="1" x14ac:dyDescent="0.25">
      <c r="A11" s="822"/>
      <c r="B11" s="372" t="s">
        <v>633</v>
      </c>
      <c r="C11" s="375" t="s">
        <v>634</v>
      </c>
      <c r="D11" s="375" t="s">
        <v>635</v>
      </c>
      <c r="E11" s="499" t="s">
        <v>1792</v>
      </c>
      <c r="F11" s="499" t="s">
        <v>2067</v>
      </c>
      <c r="G11" s="389"/>
      <c r="H11" s="266">
        <f>45400+64000+75000</f>
        <v>184400</v>
      </c>
      <c r="I11" s="76"/>
      <c r="J11" s="266">
        <f>188680+380000+600000</f>
        <v>1168680</v>
      </c>
      <c r="K11" s="76"/>
      <c r="L11" s="266"/>
      <c r="M11" s="76"/>
      <c r="N11" s="266"/>
      <c r="O11" s="331"/>
      <c r="P11" s="257">
        <f t="shared" si="0"/>
        <v>1353080</v>
      </c>
      <c r="Q11" s="76"/>
      <c r="R11" s="76"/>
      <c r="S11" s="76" t="s">
        <v>2190</v>
      </c>
      <c r="T11" s="76" t="s">
        <v>2192</v>
      </c>
      <c r="U11" s="76" t="s">
        <v>2191</v>
      </c>
      <c r="V11" s="88" t="s">
        <v>2183</v>
      </c>
      <c r="W11" s="88" t="s">
        <v>2185</v>
      </c>
      <c r="X11" s="763" t="s">
        <v>2261</v>
      </c>
    </row>
    <row r="12" spans="1:32" ht="233.25" customHeight="1" x14ac:dyDescent="0.25">
      <c r="A12" s="822"/>
      <c r="B12" s="898" t="s">
        <v>636</v>
      </c>
      <c r="C12" s="499" t="s">
        <v>1571</v>
      </c>
      <c r="D12" s="499" t="s">
        <v>637</v>
      </c>
      <c r="E12" s="499" t="s">
        <v>1793</v>
      </c>
      <c r="F12" s="499" t="s">
        <v>1794</v>
      </c>
      <c r="G12" s="390"/>
      <c r="H12" s="266"/>
      <c r="I12" s="76"/>
      <c r="J12" s="266"/>
      <c r="K12" s="76"/>
      <c r="L12" s="266"/>
      <c r="M12" s="76"/>
      <c r="N12" s="266"/>
      <c r="O12" s="331"/>
      <c r="P12" s="257">
        <f t="shared" si="0"/>
        <v>0</v>
      </c>
      <c r="Q12" s="76"/>
      <c r="R12" s="76"/>
      <c r="S12" s="76"/>
      <c r="T12" s="76"/>
      <c r="U12" s="76"/>
      <c r="V12" s="76"/>
      <c r="W12" s="88"/>
    </row>
    <row r="13" spans="1:32" ht="213" customHeight="1" x14ac:dyDescent="0.25">
      <c r="A13" s="822"/>
      <c r="B13" s="899"/>
      <c r="C13" s="499" t="s">
        <v>1570</v>
      </c>
      <c r="D13" s="375"/>
      <c r="E13" s="499" t="s">
        <v>1795</v>
      </c>
      <c r="F13" s="499" t="s">
        <v>1796</v>
      </c>
      <c r="G13" s="390">
        <v>0.5</v>
      </c>
      <c r="H13" s="266"/>
      <c r="I13" s="76"/>
      <c r="J13" s="266"/>
      <c r="K13" s="76"/>
      <c r="L13" s="266"/>
      <c r="M13" s="76"/>
      <c r="N13" s="266"/>
      <c r="O13" s="331"/>
      <c r="P13" s="257">
        <f t="shared" si="0"/>
        <v>0</v>
      </c>
      <c r="Q13" s="76"/>
      <c r="R13" s="76"/>
      <c r="S13" s="76"/>
      <c r="T13" s="76"/>
      <c r="U13" s="76"/>
      <c r="V13" s="76"/>
      <c r="W13" s="88"/>
    </row>
    <row r="14" spans="1:32" ht="213" customHeight="1" x14ac:dyDescent="0.25">
      <c r="A14" s="822"/>
      <c r="B14" s="900"/>
      <c r="C14" s="540" t="s">
        <v>1893</v>
      </c>
      <c r="D14" s="375"/>
      <c r="E14" s="375"/>
      <c r="F14" s="375" t="s">
        <v>1569</v>
      </c>
      <c r="G14" s="390"/>
      <c r="H14" s="266"/>
      <c r="I14" s="76"/>
      <c r="J14" s="266"/>
      <c r="K14" s="76"/>
      <c r="L14" s="266"/>
      <c r="M14" s="76"/>
      <c r="N14" s="266"/>
      <c r="O14" s="331"/>
      <c r="P14" s="257">
        <f t="shared" si="0"/>
        <v>0</v>
      </c>
      <c r="Q14" s="76"/>
      <c r="R14" s="76"/>
      <c r="S14" s="76"/>
      <c r="T14" s="76"/>
      <c r="U14" s="76"/>
      <c r="V14" s="76"/>
      <c r="W14" s="88"/>
    </row>
    <row r="15" spans="1:32" ht="165.75" customHeight="1" x14ac:dyDescent="0.25">
      <c r="A15" s="822"/>
      <c r="B15" s="371" t="s">
        <v>638</v>
      </c>
      <c r="C15" s="375" t="s">
        <v>137</v>
      </c>
      <c r="D15" s="376" t="s">
        <v>639</v>
      </c>
      <c r="E15" s="375"/>
      <c r="F15" s="500" t="s">
        <v>1797</v>
      </c>
      <c r="G15" s="390">
        <v>0.25</v>
      </c>
      <c r="H15" s="501"/>
      <c r="I15" s="502">
        <v>0.25</v>
      </c>
      <c r="J15" s="501"/>
      <c r="K15" s="502">
        <v>0.25</v>
      </c>
      <c r="L15" s="501"/>
      <c r="M15" s="502">
        <v>0.25</v>
      </c>
      <c r="N15" s="501"/>
      <c r="O15" s="442">
        <v>1</v>
      </c>
      <c r="P15" s="257">
        <f t="shared" si="0"/>
        <v>0</v>
      </c>
      <c r="Q15" s="76"/>
      <c r="R15" s="76"/>
      <c r="S15" s="76"/>
      <c r="T15" s="76"/>
      <c r="U15" s="76"/>
      <c r="V15" s="76"/>
      <c r="W15" s="88"/>
    </row>
    <row r="16" spans="1:32" ht="220.5" customHeight="1" x14ac:dyDescent="0.25">
      <c r="A16" s="822"/>
      <c r="B16" s="822" t="s">
        <v>640</v>
      </c>
      <c r="C16" s="376" t="s">
        <v>641</v>
      </c>
      <c r="D16" s="499" t="s">
        <v>1572</v>
      </c>
      <c r="E16" s="499"/>
      <c r="F16" s="499" t="s">
        <v>1805</v>
      </c>
      <c r="G16" s="390">
        <v>0.25</v>
      </c>
      <c r="H16" s="501">
        <v>0</v>
      </c>
      <c r="I16" s="502">
        <v>0.25</v>
      </c>
      <c r="J16" s="501"/>
      <c r="K16" s="502">
        <v>0.25</v>
      </c>
      <c r="L16" s="501"/>
      <c r="M16" s="502">
        <v>0.25</v>
      </c>
      <c r="N16" s="501"/>
      <c r="O16" s="442">
        <v>1</v>
      </c>
      <c r="P16" s="257">
        <f t="shared" si="0"/>
        <v>0</v>
      </c>
      <c r="Q16" s="76"/>
      <c r="R16" s="76" t="s">
        <v>2165</v>
      </c>
      <c r="S16" s="76" t="s">
        <v>2194</v>
      </c>
      <c r="T16" s="76" t="s">
        <v>2195</v>
      </c>
      <c r="U16" s="76" t="s">
        <v>2167</v>
      </c>
      <c r="V16" s="76" t="s">
        <v>2073</v>
      </c>
      <c r="W16" s="88" t="s">
        <v>2193</v>
      </c>
      <c r="X16" s="763" t="s">
        <v>2261</v>
      </c>
    </row>
    <row r="17" spans="1:24" ht="214.5" customHeight="1" x14ac:dyDescent="0.25">
      <c r="A17" s="822"/>
      <c r="B17" s="822"/>
      <c r="C17" s="376" t="s">
        <v>642</v>
      </c>
      <c r="D17" s="375"/>
      <c r="E17" s="375"/>
      <c r="F17" s="503" t="s">
        <v>1804</v>
      </c>
      <c r="G17" s="390">
        <v>0.25</v>
      </c>
      <c r="H17" s="501">
        <v>0</v>
      </c>
      <c r="I17" s="502">
        <v>0.25</v>
      </c>
      <c r="J17" s="501"/>
      <c r="K17" s="502">
        <v>0.25</v>
      </c>
      <c r="L17" s="501"/>
      <c r="M17" s="502">
        <v>0.25</v>
      </c>
      <c r="N17" s="501"/>
      <c r="O17" s="442">
        <v>1</v>
      </c>
      <c r="P17" s="257">
        <f t="shared" si="0"/>
        <v>0</v>
      </c>
      <c r="Q17" s="76"/>
      <c r="R17" s="76" t="s">
        <v>2165</v>
      </c>
      <c r="S17" s="76" t="s">
        <v>2194</v>
      </c>
      <c r="T17" s="76" t="s">
        <v>2196</v>
      </c>
      <c r="U17" s="76" t="s">
        <v>2167</v>
      </c>
      <c r="V17" s="76" t="s">
        <v>2197</v>
      </c>
      <c r="W17" s="88" t="s">
        <v>2193</v>
      </c>
      <c r="X17" s="763" t="s">
        <v>2261</v>
      </c>
    </row>
    <row r="18" spans="1:24" ht="328.5" customHeight="1" x14ac:dyDescent="0.25">
      <c r="A18" s="490"/>
      <c r="B18" s="490"/>
      <c r="C18" s="376" t="s">
        <v>1894</v>
      </c>
      <c r="D18" s="375"/>
      <c r="E18" s="375"/>
      <c r="F18" s="552" t="s">
        <v>2005</v>
      </c>
      <c r="G18" s="390"/>
      <c r="H18" s="501">
        <f>3500000+3000000</f>
        <v>6500000</v>
      </c>
      <c r="I18" s="502"/>
      <c r="J18" s="501">
        <f>600000+1000000+325000+1231664.24+414292</f>
        <v>3570956.24</v>
      </c>
      <c r="K18" s="502"/>
      <c r="L18" s="501">
        <f>18000000+60000000+15000000+2000000+16000000+8500000</f>
        <v>119500000</v>
      </c>
      <c r="M18" s="502"/>
      <c r="N18" s="501">
        <v>9000000</v>
      </c>
      <c r="O18" s="442"/>
      <c r="P18" s="257">
        <f>+H18+J18+L18</f>
        <v>129570956.23999999</v>
      </c>
      <c r="Q18" s="76"/>
      <c r="R18" s="76" t="s">
        <v>2198</v>
      </c>
      <c r="S18" s="76" t="s">
        <v>2199</v>
      </c>
      <c r="T18" s="76" t="s">
        <v>2200</v>
      </c>
      <c r="U18" s="76" t="s">
        <v>2201</v>
      </c>
      <c r="V18" s="76" t="s">
        <v>2202</v>
      </c>
      <c r="W18" s="332" t="s">
        <v>2203</v>
      </c>
      <c r="X18" s="763" t="s">
        <v>2261</v>
      </c>
    </row>
    <row r="19" spans="1:24" ht="81.75" customHeight="1" x14ac:dyDescent="0.25">
      <c r="A19" s="391"/>
      <c r="B19" s="391"/>
      <c r="C19" s="376" t="s">
        <v>1888</v>
      </c>
      <c r="D19" s="375"/>
      <c r="E19" s="375"/>
      <c r="F19" s="499" t="s">
        <v>2010</v>
      </c>
      <c r="G19" s="389"/>
      <c r="H19" s="266">
        <f>8400+39900+33000+113200</f>
        <v>194500</v>
      </c>
      <c r="I19" s="76"/>
      <c r="J19" s="266">
        <f>63000+40000+202500</f>
        <v>305500</v>
      </c>
      <c r="K19" s="76"/>
      <c r="L19" s="266">
        <f>18000+18000</f>
        <v>36000</v>
      </c>
      <c r="M19" s="76"/>
      <c r="N19" s="266">
        <f>39000+132500</f>
        <v>171500</v>
      </c>
      <c r="O19" s="331"/>
      <c r="P19" s="257">
        <f>+H19+J19+L19+N19</f>
        <v>707500</v>
      </c>
      <c r="Q19" s="76"/>
      <c r="R19" s="76" t="s">
        <v>2198</v>
      </c>
      <c r="S19" s="76" t="s">
        <v>2199</v>
      </c>
      <c r="T19" s="76" t="s">
        <v>2200</v>
      </c>
      <c r="U19" s="76" t="s">
        <v>2201</v>
      </c>
      <c r="V19" s="76" t="s">
        <v>2202</v>
      </c>
      <c r="W19" s="332" t="s">
        <v>2203</v>
      </c>
      <c r="X19" s="763" t="s">
        <v>2261</v>
      </c>
    </row>
    <row r="20" spans="1:24" ht="81.75" customHeight="1" x14ac:dyDescent="0.25">
      <c r="A20" s="542"/>
      <c r="B20" s="542"/>
      <c r="C20" s="376"/>
      <c r="D20" s="375"/>
      <c r="E20" s="375"/>
      <c r="F20" s="375"/>
      <c r="G20" s="389"/>
      <c r="H20" s="266"/>
      <c r="I20" s="76"/>
      <c r="J20" s="266"/>
      <c r="K20" s="76"/>
      <c r="L20" s="266"/>
      <c r="M20" s="76"/>
      <c r="N20" s="266"/>
      <c r="O20" s="331"/>
      <c r="P20" s="257"/>
      <c r="Q20" s="76"/>
      <c r="R20" s="76"/>
      <c r="S20" s="76"/>
      <c r="T20" s="76"/>
      <c r="U20" s="76"/>
      <c r="V20" s="76"/>
      <c r="W20" s="332"/>
    </row>
    <row r="21" spans="1:24" s="299" customFormat="1" ht="15" customHeight="1" x14ac:dyDescent="0.25">
      <c r="A21" s="381"/>
      <c r="B21" s="381"/>
      <c r="C21" s="381" t="s">
        <v>139</v>
      </c>
      <c r="D21" s="381"/>
      <c r="E21" s="381"/>
      <c r="F21" s="381"/>
      <c r="G21" s="379">
        <f>SUM(G9:G17)</f>
        <v>1.5</v>
      </c>
      <c r="H21" s="250">
        <f>SUM(H9:H20)</f>
        <v>10359240</v>
      </c>
      <c r="I21" s="315">
        <f>SUM(I9:I17)</f>
        <v>1</v>
      </c>
      <c r="J21" s="250">
        <f>SUM(J9:J19)</f>
        <v>8204384.8100000005</v>
      </c>
      <c r="K21" s="315">
        <f>SUM(K9:K17)</f>
        <v>1</v>
      </c>
      <c r="L21" s="250">
        <f>SUM(L9:L19)</f>
        <v>125354532.18000001</v>
      </c>
      <c r="M21" s="315">
        <f>SUM(M9:M17)</f>
        <v>1</v>
      </c>
      <c r="N21" s="250">
        <f>SUM(N9:N19)</f>
        <v>99171500</v>
      </c>
      <c r="O21" s="315">
        <f>G21+I21+K21+M21</f>
        <v>4.5</v>
      </c>
      <c r="P21" s="257">
        <f>+H21+J21+L21+N21</f>
        <v>243089656.99000001</v>
      </c>
      <c r="Q21" s="315"/>
      <c r="R21" s="315"/>
      <c r="S21" s="315"/>
      <c r="T21" s="315"/>
      <c r="U21" s="315"/>
      <c r="V21" s="315"/>
      <c r="W21" s="333"/>
    </row>
    <row r="22" spans="1:24" s="299" customFormat="1" ht="24" customHeight="1" x14ac:dyDescent="0.25">
      <c r="H22" s="256"/>
      <c r="J22" s="256"/>
      <c r="L22" s="256"/>
      <c r="N22" s="256"/>
      <c r="P22" s="256"/>
    </row>
    <row r="23" spans="1:24" ht="234.75" customHeight="1" x14ac:dyDescent="0.25"/>
    <row r="24" spans="1:24" ht="225" customHeight="1" x14ac:dyDescent="0.25"/>
    <row r="25" spans="1:24" ht="85.5" customHeight="1" x14ac:dyDescent="0.25"/>
    <row r="26" spans="1:24" ht="78" customHeight="1" x14ac:dyDescent="0.25"/>
    <row r="27" spans="1:24" ht="146.25" customHeight="1" x14ac:dyDescent="0.25"/>
    <row r="28" spans="1:24" ht="103.5" customHeight="1" x14ac:dyDescent="0.25"/>
    <row r="29" spans="1:24" ht="93.75" customHeight="1" x14ac:dyDescent="0.25"/>
    <row r="30" spans="1:24" ht="154.5" customHeight="1" x14ac:dyDescent="0.25"/>
    <row r="31" spans="1:24" ht="153.75" customHeight="1" x14ac:dyDescent="0.25"/>
    <row r="32" spans="1:24" ht="138" customHeight="1" x14ac:dyDescent="0.25"/>
    <row r="33" spans="4:16" ht="139.5" customHeight="1" x14ac:dyDescent="0.25"/>
    <row r="34" spans="4:16" ht="99" customHeight="1" x14ac:dyDescent="0.25"/>
    <row r="35" spans="4:16" s="299" customFormat="1" ht="15" customHeight="1" x14ac:dyDescent="0.25">
      <c r="H35" s="256"/>
      <c r="J35" s="256"/>
      <c r="L35" s="256"/>
      <c r="N35" s="256"/>
      <c r="P35" s="256"/>
    </row>
    <row r="36" spans="4:16" s="299" customFormat="1" ht="12" x14ac:dyDescent="0.25">
      <c r="H36" s="256"/>
      <c r="J36" s="256"/>
      <c r="L36" s="256"/>
      <c r="N36" s="256"/>
      <c r="P36" s="256"/>
    </row>
    <row r="39" spans="4:16" x14ac:dyDescent="0.25">
      <c r="H39"/>
      <c r="J39"/>
      <c r="L39"/>
      <c r="N39"/>
      <c r="P39"/>
    </row>
    <row r="40" spans="4:16" x14ac:dyDescent="0.25">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ht="15.75" x14ac:dyDescent="0.25">
      <c r="D46" s="73"/>
      <c r="E46" s="35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45" spans="8:16" x14ac:dyDescent="0.25">
      <c r="H145"/>
      <c r="J145"/>
      <c r="L145"/>
      <c r="N145"/>
      <c r="P145"/>
    </row>
  </sheetData>
  <mergeCells count="23">
    <mergeCell ref="G5:H5"/>
    <mergeCell ref="A9:A17"/>
    <mergeCell ref="B16:B17"/>
    <mergeCell ref="A4:A6"/>
    <mergeCell ref="B4:B6"/>
    <mergeCell ref="C4:C6"/>
    <mergeCell ref="B12:B14"/>
    <mergeCell ref="A2:F3"/>
    <mergeCell ref="A1:F1"/>
    <mergeCell ref="U4:U6"/>
    <mergeCell ref="V4:V6"/>
    <mergeCell ref="W4:W6"/>
    <mergeCell ref="O4:P5"/>
    <mergeCell ref="Q4:R5"/>
    <mergeCell ref="S4:S6"/>
    <mergeCell ref="T4:T6"/>
    <mergeCell ref="E4:E6"/>
    <mergeCell ref="I5:J5"/>
    <mergeCell ref="K5:L5"/>
    <mergeCell ref="M5:N5"/>
    <mergeCell ref="D4:D6"/>
    <mergeCell ref="F4:F6"/>
    <mergeCell ref="G4:N4"/>
  </mergeCells>
  <printOptions horizontalCentered="1"/>
  <pageMargins left="0.70866141732283472" right="0.70866141732283472" top="0.74803149606299213" bottom="0.74803149606299213" header="0.31496062992125984" footer="0.31496062992125984"/>
  <pageSetup scale="90"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X16"/>
  <sheetViews>
    <sheetView topLeftCell="E10" zoomScale="40" zoomScaleNormal="40" workbookViewId="0">
      <selection activeCell="X8" sqref="X8"/>
    </sheetView>
  </sheetViews>
  <sheetFormatPr baseColWidth="10" defaultRowHeight="15" x14ac:dyDescent="0.25"/>
  <cols>
    <col min="1" max="1" width="33.5703125" customWidth="1"/>
    <col min="2" max="2" width="16.7109375" customWidth="1"/>
    <col min="3" max="3" width="18.28515625" customWidth="1"/>
    <col min="4" max="4" width="19.5703125" customWidth="1"/>
    <col min="5" max="5" width="10.5703125" customWidth="1"/>
    <col min="6" max="6" width="27.42578125" customWidth="1"/>
    <col min="7" max="7" width="15.28515625" customWidth="1"/>
    <col min="8" max="8" width="25.28515625" style="251" customWidth="1"/>
    <col min="9" max="9" width="15.28515625" customWidth="1"/>
    <col min="10" max="10" width="18.85546875" style="251" customWidth="1"/>
    <col min="12" max="12" width="14.85546875" style="251" bestFit="1" customWidth="1"/>
    <col min="14" max="14" width="14.85546875" style="251" bestFit="1" customWidth="1"/>
    <col min="15" max="15" width="15.28515625" customWidth="1"/>
    <col min="16" max="16" width="18.28515625" style="251" customWidth="1"/>
    <col min="19" max="22" width="14.140625" customWidth="1"/>
    <col min="23" max="23" width="17" customWidth="1"/>
    <col min="24" max="24" width="37.140625" customWidth="1"/>
  </cols>
  <sheetData>
    <row r="1" spans="1:24" ht="24.95" customHeight="1" x14ac:dyDescent="0.3">
      <c r="A1" s="897" t="s">
        <v>1549</v>
      </c>
      <c r="B1" s="897"/>
      <c r="C1" s="897"/>
      <c r="D1" s="897"/>
      <c r="E1" s="897"/>
      <c r="F1" s="897"/>
    </row>
    <row r="2" spans="1:24" ht="30" customHeight="1" x14ac:dyDescent="0.25">
      <c r="A2" s="901" t="s">
        <v>198</v>
      </c>
      <c r="B2" s="901"/>
      <c r="C2" s="901"/>
      <c r="D2" s="901"/>
      <c r="E2" s="901"/>
      <c r="F2" s="901"/>
      <c r="G2" s="525" t="s">
        <v>195</v>
      </c>
      <c r="J2" s="526"/>
      <c r="K2" s="526"/>
      <c r="L2" s="526"/>
      <c r="M2" s="526"/>
      <c r="N2" s="526"/>
      <c r="O2" s="526"/>
      <c r="P2" s="526"/>
      <c r="Q2" s="526"/>
      <c r="R2" s="526"/>
      <c r="S2" s="526"/>
      <c r="T2" s="526"/>
      <c r="U2" s="526"/>
      <c r="V2" s="526"/>
      <c r="W2" s="526"/>
    </row>
    <row r="3" spans="1:24" ht="30" customHeight="1" x14ac:dyDescent="0.25">
      <c r="A3" s="901"/>
      <c r="B3" s="901"/>
      <c r="C3" s="901"/>
      <c r="D3" s="901"/>
      <c r="E3" s="901"/>
      <c r="F3" s="901"/>
      <c r="G3" s="527"/>
      <c r="H3" s="527"/>
      <c r="I3" s="527"/>
      <c r="J3" s="527"/>
      <c r="K3" s="527"/>
      <c r="L3" s="527"/>
      <c r="M3" s="527"/>
      <c r="N3" s="527"/>
      <c r="O3" s="527"/>
      <c r="P3" s="527"/>
      <c r="Q3" s="527"/>
      <c r="R3" s="527"/>
      <c r="S3" s="527"/>
      <c r="T3" s="527"/>
      <c r="U3" s="527"/>
      <c r="V3" s="527"/>
      <c r="W3" s="527"/>
    </row>
    <row r="4" spans="1:24" ht="14.45" customHeight="1" x14ac:dyDescent="0.25">
      <c r="A4" s="888" t="s">
        <v>100</v>
      </c>
      <c r="B4" s="888" t="s">
        <v>118</v>
      </c>
      <c r="C4" s="902" t="s">
        <v>88</v>
      </c>
      <c r="D4" s="902" t="s">
        <v>89</v>
      </c>
      <c r="E4" s="877" t="s">
        <v>473</v>
      </c>
      <c r="F4" s="902" t="s">
        <v>90</v>
      </c>
      <c r="G4" s="396" t="s">
        <v>104</v>
      </c>
      <c r="H4" s="396"/>
      <c r="I4" s="396"/>
      <c r="J4" s="396"/>
      <c r="K4" s="396"/>
      <c r="L4" s="396"/>
      <c r="M4" s="396"/>
      <c r="N4" s="396"/>
      <c r="O4" s="397" t="s">
        <v>105</v>
      </c>
      <c r="P4" s="397"/>
      <c r="Q4" s="396" t="s">
        <v>106</v>
      </c>
      <c r="R4" s="396"/>
      <c r="S4" s="396" t="s">
        <v>107</v>
      </c>
      <c r="T4" s="396" t="s">
        <v>108</v>
      </c>
      <c r="U4" s="398" t="s">
        <v>116</v>
      </c>
      <c r="V4" s="398" t="s">
        <v>115</v>
      </c>
      <c r="W4" s="403" t="s">
        <v>91</v>
      </c>
    </row>
    <row r="5" spans="1:24" ht="14.45" customHeight="1" x14ac:dyDescent="0.25">
      <c r="A5" s="889"/>
      <c r="B5" s="889"/>
      <c r="C5" s="903"/>
      <c r="D5" s="903"/>
      <c r="E5" s="878"/>
      <c r="F5" s="903"/>
      <c r="G5" s="396" t="s">
        <v>109</v>
      </c>
      <c r="H5" s="396"/>
      <c r="I5" s="396" t="s">
        <v>110</v>
      </c>
      <c r="J5" s="396"/>
      <c r="K5" s="396" t="s">
        <v>111</v>
      </c>
      <c r="L5" s="396"/>
      <c r="M5" s="396" t="s">
        <v>112</v>
      </c>
      <c r="N5" s="396"/>
      <c r="O5" s="397"/>
      <c r="P5" s="397"/>
      <c r="Q5" s="396"/>
      <c r="R5" s="396"/>
      <c r="S5" s="396"/>
      <c r="T5" s="396"/>
      <c r="U5" s="399"/>
      <c r="V5" s="399"/>
      <c r="W5" s="403"/>
    </row>
    <row r="6" spans="1:24" ht="25.5" x14ac:dyDescent="0.25">
      <c r="A6" s="890"/>
      <c r="B6" s="890"/>
      <c r="C6" s="904"/>
      <c r="D6" s="904"/>
      <c r="E6" s="879"/>
      <c r="F6" s="904"/>
      <c r="G6" s="403" t="s">
        <v>113</v>
      </c>
      <c r="H6" s="248" t="s">
        <v>12</v>
      </c>
      <c r="I6" s="403" t="s">
        <v>113</v>
      </c>
      <c r="J6" s="248" t="s">
        <v>12</v>
      </c>
      <c r="K6" s="403" t="s">
        <v>113</v>
      </c>
      <c r="L6" s="248" t="s">
        <v>12</v>
      </c>
      <c r="M6" s="403" t="s">
        <v>113</v>
      </c>
      <c r="N6" s="248" t="s">
        <v>12</v>
      </c>
      <c r="O6" s="403" t="s">
        <v>113</v>
      </c>
      <c r="P6" s="248" t="s">
        <v>12</v>
      </c>
      <c r="Q6" s="403" t="s">
        <v>114</v>
      </c>
      <c r="R6" s="403" t="s">
        <v>85</v>
      </c>
      <c r="S6" s="396"/>
      <c r="T6" s="396"/>
      <c r="U6" s="400"/>
      <c r="V6" s="400"/>
      <c r="W6" s="403"/>
    </row>
    <row r="7" spans="1:24" ht="15.6" customHeight="1" x14ac:dyDescent="0.25">
      <c r="A7" s="528" t="s">
        <v>148</v>
      </c>
      <c r="B7" s="529"/>
      <c r="C7" s="529"/>
      <c r="D7" s="529"/>
      <c r="E7" s="529"/>
      <c r="F7" s="529"/>
      <c r="G7" s="529"/>
      <c r="H7" s="530" t="s">
        <v>148</v>
      </c>
      <c r="I7" s="529"/>
      <c r="J7" s="529"/>
      <c r="K7" s="529"/>
      <c r="L7" s="529"/>
      <c r="M7" s="529"/>
      <c r="N7" s="529"/>
      <c r="O7" s="529"/>
      <c r="P7" s="529"/>
      <c r="Q7" s="529"/>
      <c r="R7" s="529"/>
      <c r="S7" s="529"/>
      <c r="T7" s="529"/>
      <c r="U7" s="529"/>
      <c r="V7" s="529"/>
      <c r="W7" s="529"/>
    </row>
    <row r="8" spans="1:24" ht="334.5" customHeight="1" x14ac:dyDescent="0.25">
      <c r="A8" s="857" t="s">
        <v>140</v>
      </c>
      <c r="B8" s="401" t="s">
        <v>141</v>
      </c>
      <c r="C8" s="82" t="s">
        <v>142</v>
      </c>
      <c r="D8" s="82" t="s">
        <v>143</v>
      </c>
      <c r="E8" s="82" t="s">
        <v>683</v>
      </c>
      <c r="F8" s="82" t="s">
        <v>174</v>
      </c>
      <c r="G8" s="77">
        <v>0.25</v>
      </c>
      <c r="H8" s="255">
        <v>50000</v>
      </c>
      <c r="I8" s="77">
        <v>0.25</v>
      </c>
      <c r="J8" s="255">
        <v>50000</v>
      </c>
      <c r="K8" s="77">
        <v>0.25</v>
      </c>
      <c r="L8" s="255"/>
      <c r="M8" s="77">
        <v>0.25</v>
      </c>
      <c r="N8" s="519"/>
      <c r="O8" s="349">
        <v>1</v>
      </c>
      <c r="P8" s="257">
        <f>H8+J8+L8+N8</f>
        <v>100000</v>
      </c>
      <c r="Q8" s="81">
        <v>26</v>
      </c>
      <c r="R8" s="81" t="s">
        <v>164</v>
      </c>
      <c r="S8" s="73" t="s">
        <v>175</v>
      </c>
      <c r="T8" s="73" t="s">
        <v>173</v>
      </c>
      <c r="U8" s="73" t="s">
        <v>176</v>
      </c>
      <c r="V8" s="73" t="s">
        <v>177</v>
      </c>
      <c r="W8" s="82" t="s">
        <v>2204</v>
      </c>
      <c r="X8" s="763" t="s">
        <v>2261</v>
      </c>
    </row>
    <row r="9" spans="1:24" ht="240.75" customHeight="1" x14ac:dyDescent="0.25">
      <c r="A9" s="858"/>
      <c r="B9" s="511"/>
      <c r="C9" s="82"/>
      <c r="D9" s="88" t="s">
        <v>144</v>
      </c>
      <c r="E9" s="88"/>
      <c r="F9" s="88" t="s">
        <v>178</v>
      </c>
      <c r="G9" s="77">
        <v>0.25</v>
      </c>
      <c r="H9" s="255"/>
      <c r="I9" s="77">
        <v>0.25</v>
      </c>
      <c r="J9" s="255"/>
      <c r="K9" s="77">
        <v>0.25</v>
      </c>
      <c r="L9" s="255"/>
      <c r="M9" s="77">
        <v>0.25</v>
      </c>
      <c r="N9" s="519"/>
      <c r="O9" s="349">
        <v>1</v>
      </c>
      <c r="P9" s="257">
        <f>H9+J9+L9+N9</f>
        <v>0</v>
      </c>
      <c r="Q9" s="81">
        <v>18</v>
      </c>
      <c r="R9" s="81" t="s">
        <v>179</v>
      </c>
      <c r="S9" s="73" t="s">
        <v>2252</v>
      </c>
      <c r="T9" s="73" t="s">
        <v>180</v>
      </c>
      <c r="U9" s="73" t="s">
        <v>181</v>
      </c>
      <c r="V9" s="73" t="s">
        <v>169</v>
      </c>
      <c r="W9" s="82" t="s">
        <v>2204</v>
      </c>
      <c r="X9" s="763" t="s">
        <v>2261</v>
      </c>
    </row>
    <row r="10" spans="1:24" ht="233.25" customHeight="1" x14ac:dyDescent="0.25">
      <c r="A10" s="858"/>
      <c r="B10" s="401"/>
      <c r="C10" s="82"/>
      <c r="D10" s="82"/>
      <c r="E10" s="82"/>
      <c r="F10" s="82" t="s">
        <v>185</v>
      </c>
      <c r="G10" s="77">
        <v>0.25</v>
      </c>
      <c r="H10" s="255"/>
      <c r="I10" s="77">
        <v>0.25</v>
      </c>
      <c r="J10" s="255"/>
      <c r="K10" s="77">
        <v>0.25</v>
      </c>
      <c r="L10" s="255"/>
      <c r="M10" s="77">
        <v>0.25</v>
      </c>
      <c r="N10" s="519"/>
      <c r="O10" s="349">
        <v>1</v>
      </c>
      <c r="P10" s="257"/>
      <c r="Q10" s="73">
        <v>127</v>
      </c>
      <c r="R10" s="73" t="s">
        <v>186</v>
      </c>
      <c r="S10" s="741"/>
      <c r="T10" s="741"/>
      <c r="U10" s="741"/>
      <c r="V10" s="741"/>
      <c r="W10" s="742"/>
    </row>
    <row r="11" spans="1:24" ht="126" customHeight="1" x14ac:dyDescent="0.25">
      <c r="A11" s="858"/>
      <c r="B11" s="401"/>
      <c r="C11" s="82"/>
      <c r="D11" s="82"/>
      <c r="E11" s="82"/>
      <c r="F11" s="82" t="s">
        <v>185</v>
      </c>
      <c r="G11" s="77">
        <v>0.25</v>
      </c>
      <c r="H11" s="255"/>
      <c r="I11" s="77">
        <v>0.25</v>
      </c>
      <c r="J11" s="255"/>
      <c r="K11" s="77">
        <v>0.25</v>
      </c>
      <c r="L11" s="255"/>
      <c r="M11" s="77">
        <v>0.25</v>
      </c>
      <c r="N11" s="519"/>
      <c r="O11" s="349">
        <v>1</v>
      </c>
      <c r="P11" s="257"/>
      <c r="Q11" s="73">
        <v>127</v>
      </c>
      <c r="R11" s="73" t="s">
        <v>186</v>
      </c>
      <c r="S11" s="741"/>
      <c r="T11" s="741"/>
      <c r="U11" s="741"/>
      <c r="V11" s="741"/>
      <c r="W11" s="743"/>
    </row>
    <row r="12" spans="1:24" ht="346.5" customHeight="1" x14ac:dyDescent="0.25">
      <c r="A12" s="859"/>
      <c r="B12" s="857" t="s">
        <v>145</v>
      </c>
      <c r="C12" s="82" t="s">
        <v>146</v>
      </c>
      <c r="D12" s="82" t="s">
        <v>147</v>
      </c>
      <c r="E12" s="82"/>
      <c r="F12" s="76" t="s">
        <v>1879</v>
      </c>
      <c r="G12" s="77">
        <v>0.25</v>
      </c>
      <c r="H12" s="255"/>
      <c r="I12" s="77">
        <v>0.25</v>
      </c>
      <c r="J12" s="255"/>
      <c r="K12" s="77">
        <v>0.25</v>
      </c>
      <c r="L12" s="255"/>
      <c r="M12" s="77">
        <v>0.25</v>
      </c>
      <c r="N12" s="519"/>
      <c r="O12" s="349">
        <v>1</v>
      </c>
      <c r="P12" s="257"/>
      <c r="Q12" s="81"/>
      <c r="R12" s="744"/>
      <c r="S12" s="741"/>
      <c r="T12" s="741"/>
      <c r="U12" s="741"/>
      <c r="V12" s="741"/>
      <c r="W12" s="741"/>
    </row>
    <row r="13" spans="1:24" ht="112.5" customHeight="1" x14ac:dyDescent="0.25">
      <c r="A13" s="401"/>
      <c r="B13" s="858"/>
      <c r="C13" s="82"/>
      <c r="D13" s="82"/>
      <c r="E13" s="82"/>
      <c r="F13" s="82" t="s">
        <v>182</v>
      </c>
      <c r="G13" s="77">
        <v>0.25</v>
      </c>
      <c r="H13" s="255"/>
      <c r="I13" s="77">
        <v>0.25</v>
      </c>
      <c r="J13" s="255"/>
      <c r="K13" s="77">
        <v>0.25</v>
      </c>
      <c r="L13" s="255"/>
      <c r="M13" s="77">
        <v>0.25</v>
      </c>
      <c r="N13" s="519"/>
      <c r="O13" s="349">
        <v>1</v>
      </c>
      <c r="P13" s="257"/>
      <c r="Q13" s="81">
        <v>481</v>
      </c>
      <c r="R13" s="741"/>
      <c r="S13" s="741"/>
      <c r="T13" s="741"/>
      <c r="U13" s="741"/>
      <c r="V13" s="741"/>
      <c r="W13" s="742"/>
    </row>
    <row r="14" spans="1:24" ht="95.25" customHeight="1" x14ac:dyDescent="0.25">
      <c r="A14" s="401"/>
      <c r="B14" s="859"/>
      <c r="C14" s="82"/>
      <c r="D14" s="82"/>
      <c r="E14" s="82"/>
      <c r="F14" s="89"/>
      <c r="G14" s="81"/>
      <c r="H14" s="255"/>
      <c r="I14" s="81"/>
      <c r="J14" s="255"/>
      <c r="K14" s="81"/>
      <c r="L14" s="255"/>
      <c r="M14" s="81"/>
      <c r="N14" s="255"/>
      <c r="O14" s="331"/>
      <c r="P14" s="257"/>
      <c r="Q14" s="81"/>
      <c r="R14" s="744"/>
      <c r="S14" s="745"/>
      <c r="T14" s="745"/>
      <c r="U14" s="745"/>
      <c r="V14" s="745"/>
      <c r="W14" s="745"/>
    </row>
    <row r="15" spans="1:24" ht="15.6" customHeight="1" x14ac:dyDescent="0.25">
      <c r="A15" s="531" t="s">
        <v>149</v>
      </c>
      <c r="B15" s="532"/>
      <c r="C15" s="532"/>
      <c r="D15" s="532"/>
      <c r="E15" s="532"/>
      <c r="F15" s="532"/>
      <c r="G15" s="533">
        <f t="shared" ref="G15:N15" si="0">SUM(G8:G14)</f>
        <v>1.5</v>
      </c>
      <c r="H15" s="252">
        <f t="shared" si="0"/>
        <v>50000</v>
      </c>
      <c r="I15" s="533">
        <f t="shared" si="0"/>
        <v>1.5</v>
      </c>
      <c r="J15" s="252">
        <f t="shared" si="0"/>
        <v>50000</v>
      </c>
      <c r="K15" s="533">
        <f t="shared" si="0"/>
        <v>1.5</v>
      </c>
      <c r="L15" s="252">
        <f t="shared" si="0"/>
        <v>0</v>
      </c>
      <c r="M15" s="533">
        <f t="shared" si="0"/>
        <v>1.5</v>
      </c>
      <c r="N15" s="252">
        <f t="shared" si="0"/>
        <v>0</v>
      </c>
      <c r="O15" s="533">
        <f>G15+I15+K15+M15</f>
        <v>6</v>
      </c>
      <c r="P15" s="252">
        <f>H15+J15+L15+N15</f>
        <v>100000</v>
      </c>
      <c r="Q15" s="315"/>
      <c r="R15" s="315"/>
      <c r="S15" s="315"/>
      <c r="T15" s="315"/>
      <c r="U15" s="315"/>
      <c r="V15" s="315"/>
      <c r="W15" s="315"/>
    </row>
    <row r="16" spans="1:24" ht="15.6" customHeight="1" x14ac:dyDescent="0.25">
      <c r="A16" s="534" t="s">
        <v>150</v>
      </c>
      <c r="B16" s="535"/>
      <c r="C16" s="535"/>
      <c r="D16" s="535"/>
      <c r="E16" s="535"/>
      <c r="F16" s="535"/>
      <c r="G16" s="536">
        <f>G15+'[13]Gestion Administrativa'!G117</f>
        <v>1.5</v>
      </c>
      <c r="H16" s="259">
        <f>H15+'[13]Gestion Administrativa'!H117</f>
        <v>50000</v>
      </c>
      <c r="I16" s="536">
        <f>I15+'[13]Gestion Administrativa'!I117</f>
        <v>1.5</v>
      </c>
      <c r="J16" s="259">
        <f>J15+'[13]Gestion Administrativa'!J117</f>
        <v>50000</v>
      </c>
      <c r="K16" s="536">
        <f>K15+'[13]Gestion Administrativa'!K117</f>
        <v>1.5</v>
      </c>
      <c r="L16" s="259">
        <f>L15+'[13]Gestion Administrativa'!L117</f>
        <v>0</v>
      </c>
      <c r="M16" s="536">
        <f>M15+'[13]Gestion Administrativa'!M117</f>
        <v>1.5</v>
      </c>
      <c r="N16" s="259">
        <f>N15+'[13]Gestion Administrativa'!N117</f>
        <v>0</v>
      </c>
      <c r="O16" s="537">
        <f>G16+I16+K16+M16</f>
        <v>6</v>
      </c>
      <c r="P16" s="260">
        <f>H16+J16+L16+N16</f>
        <v>100000</v>
      </c>
      <c r="Q16" s="538"/>
      <c r="R16" s="538"/>
      <c r="S16" s="538"/>
      <c r="T16" s="538"/>
      <c r="U16" s="538"/>
      <c r="V16" s="538"/>
      <c r="W16" s="538"/>
    </row>
  </sheetData>
  <mergeCells count="10">
    <mergeCell ref="A8:A12"/>
    <mergeCell ref="B12:B14"/>
    <mergeCell ref="A1:F1"/>
    <mergeCell ref="A2:F3"/>
    <mergeCell ref="A4:A6"/>
    <mergeCell ref="B4:B6"/>
    <mergeCell ref="C4:C6"/>
    <mergeCell ref="D4:D6"/>
    <mergeCell ref="E4:E6"/>
    <mergeCell ref="F4:F6"/>
  </mergeCells>
  <printOptions horizontalCentered="1" verticalCentered="1"/>
  <pageMargins left="0.70866141732283472" right="0.70866141732283472" top="0.35433070866141736" bottom="0.55118110236220474" header="0" footer="0.31496062992125984"/>
  <pageSetup scale="90"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4"/>
  <sheetViews>
    <sheetView showGridLines="0" zoomScale="80" zoomScaleNormal="80" workbookViewId="0">
      <pane xSplit="3" ySplit="10" topLeftCell="R581" activePane="bottomRight" state="frozen"/>
      <selection pane="topRight" activeCell="D1" sqref="D1"/>
      <selection pane="bottomLeft" activeCell="A11" sqref="A11"/>
      <selection pane="bottomRight" activeCell="B554" sqref="B554"/>
    </sheetView>
  </sheetViews>
  <sheetFormatPr baseColWidth="10" defaultColWidth="11.5703125" defaultRowHeight="15" x14ac:dyDescent="0.25"/>
  <cols>
    <col min="1" max="1" width="4.5703125" style="95" customWidth="1"/>
    <col min="2" max="2" width="26.28515625" style="85" bestFit="1" customWidth="1"/>
    <col min="3" max="3" width="89.42578125" style="95" bestFit="1" customWidth="1"/>
    <col min="4" max="21" width="32" style="186" customWidth="1"/>
    <col min="22" max="31" width="17.85546875" style="186" customWidth="1"/>
    <col min="32" max="32" width="19.5703125" style="186" customWidth="1"/>
    <col min="33" max="34" width="17.85546875" style="186" customWidth="1"/>
    <col min="35" max="35" width="18.7109375" style="186" customWidth="1"/>
    <col min="36" max="37" width="17.85546875" style="186" customWidth="1"/>
    <col min="38" max="38" width="18.28515625" style="186" customWidth="1"/>
    <col min="39" max="16384" width="11.5703125" style="95"/>
  </cols>
  <sheetData>
    <row r="1" spans="1:576" ht="26.25" x14ac:dyDescent="0.25">
      <c r="A1" s="198"/>
      <c r="B1" s="201"/>
      <c r="C1" s="192" t="s">
        <v>332</v>
      </c>
      <c r="D1" s="192" t="s">
        <v>701</v>
      </c>
      <c r="E1" s="192" t="s">
        <v>703</v>
      </c>
      <c r="F1" s="192" t="s">
        <v>705</v>
      </c>
      <c r="G1" s="192" t="s">
        <v>707</v>
      </c>
      <c r="H1" s="192" t="s">
        <v>709</v>
      </c>
      <c r="I1" s="192" t="s">
        <v>711</v>
      </c>
      <c r="J1" s="192" t="s">
        <v>333</v>
      </c>
      <c r="K1" s="192" t="s">
        <v>714</v>
      </c>
      <c r="L1" s="192" t="s">
        <v>334</v>
      </c>
      <c r="M1" s="192" t="s">
        <v>716</v>
      </c>
      <c r="N1" s="192" t="s">
        <v>718</v>
      </c>
      <c r="O1" s="192" t="s">
        <v>720</v>
      </c>
      <c r="P1" s="192" t="s">
        <v>335</v>
      </c>
      <c r="Q1" s="192" t="s">
        <v>721</v>
      </c>
      <c r="R1" s="192" t="s">
        <v>724</v>
      </c>
      <c r="S1" s="192" t="s">
        <v>336</v>
      </c>
      <c r="T1" s="192" t="s">
        <v>726</v>
      </c>
      <c r="U1" s="192" t="s">
        <v>337</v>
      </c>
      <c r="V1" s="192" t="s">
        <v>727</v>
      </c>
      <c r="W1" s="192" t="s">
        <v>728</v>
      </c>
      <c r="X1" s="192" t="s">
        <v>732</v>
      </c>
      <c r="Y1" s="192" t="s">
        <v>329</v>
      </c>
      <c r="Z1" s="192" t="s">
        <v>747</v>
      </c>
      <c r="AA1" s="201"/>
      <c r="AB1" s="192" t="s">
        <v>749</v>
      </c>
      <c r="AC1" s="192" t="s">
        <v>339</v>
      </c>
      <c r="AD1" s="192" t="s">
        <v>751</v>
      </c>
      <c r="AE1" s="192" t="s">
        <v>753</v>
      </c>
      <c r="AF1" s="192" t="s">
        <v>340</v>
      </c>
      <c r="AG1" s="192" t="s">
        <v>755</v>
      </c>
      <c r="AH1" s="192" t="s">
        <v>757</v>
      </c>
      <c r="AI1" s="192" t="s">
        <v>341</v>
      </c>
      <c r="AJ1" s="192" t="s">
        <v>758</v>
      </c>
      <c r="AK1" s="192" t="s">
        <v>760</v>
      </c>
      <c r="AL1" s="192" t="s">
        <v>761</v>
      </c>
      <c r="AM1" s="192" t="s">
        <v>762</v>
      </c>
      <c r="AN1" s="192" t="s">
        <v>764</v>
      </c>
      <c r="AO1" s="192" t="s">
        <v>766</v>
      </c>
      <c r="AP1" s="192" t="s">
        <v>767</v>
      </c>
      <c r="AQ1" s="192" t="s">
        <v>342</v>
      </c>
      <c r="AR1" s="192" t="s">
        <v>769</v>
      </c>
      <c r="AS1" s="192" t="s">
        <v>771</v>
      </c>
      <c r="AT1" s="192" t="s">
        <v>773</v>
      </c>
      <c r="AU1" s="192" t="s">
        <v>775</v>
      </c>
      <c r="AV1" s="192" t="s">
        <v>777</v>
      </c>
      <c r="AW1" s="192" t="s">
        <v>779</v>
      </c>
      <c r="AX1" s="192" t="s">
        <v>781</v>
      </c>
      <c r="AY1" s="192" t="s">
        <v>783</v>
      </c>
      <c r="AZ1" s="201"/>
      <c r="BA1" s="192" t="s">
        <v>344</v>
      </c>
      <c r="BB1" s="192" t="s">
        <v>805</v>
      </c>
      <c r="BC1" s="192" t="s">
        <v>345</v>
      </c>
      <c r="BD1" s="192" t="s">
        <v>807</v>
      </c>
      <c r="BE1" s="192" t="s">
        <v>809</v>
      </c>
      <c r="BF1" s="201"/>
      <c r="BG1" s="192" t="s">
        <v>347</v>
      </c>
      <c r="BH1" s="192" t="s">
        <v>811</v>
      </c>
      <c r="BI1" s="192" t="s">
        <v>348</v>
      </c>
      <c r="BJ1" s="192" t="s">
        <v>813</v>
      </c>
      <c r="BK1" s="192" t="s">
        <v>815</v>
      </c>
      <c r="BL1" s="192" t="s">
        <v>817</v>
      </c>
      <c r="BM1" s="201"/>
      <c r="BN1" s="192" t="s">
        <v>823</v>
      </c>
      <c r="BO1" s="192" t="s">
        <v>825</v>
      </c>
      <c r="BP1" s="192" t="s">
        <v>350</v>
      </c>
      <c r="BQ1" s="192" t="s">
        <v>819</v>
      </c>
      <c r="BR1" s="192" t="s">
        <v>821</v>
      </c>
      <c r="BS1" s="192" t="s">
        <v>351</v>
      </c>
      <c r="BT1" s="192" t="s">
        <v>827</v>
      </c>
      <c r="BU1" s="192" t="s">
        <v>352</v>
      </c>
      <c r="BV1" s="192" t="s">
        <v>828</v>
      </c>
      <c r="BW1" s="189"/>
      <c r="BX1" s="201"/>
      <c r="BY1" s="192" t="s">
        <v>353</v>
      </c>
      <c r="BZ1" s="192" t="s">
        <v>733</v>
      </c>
      <c r="CA1" s="192" t="s">
        <v>735</v>
      </c>
      <c r="CB1" s="192" t="s">
        <v>737</v>
      </c>
      <c r="CC1" s="192" t="s">
        <v>354</v>
      </c>
      <c r="CD1" s="192" t="s">
        <v>739</v>
      </c>
      <c r="CE1" s="192" t="s">
        <v>741</v>
      </c>
      <c r="CF1" s="192" t="s">
        <v>743</v>
      </c>
      <c r="CG1" s="192" t="s">
        <v>745</v>
      </c>
      <c r="CH1" s="189"/>
      <c r="CI1" s="201"/>
      <c r="CJ1" s="192" t="s">
        <v>355</v>
      </c>
      <c r="CK1" s="192" t="s">
        <v>785</v>
      </c>
      <c r="CL1" s="192" t="s">
        <v>787</v>
      </c>
      <c r="CM1" s="192" t="s">
        <v>789</v>
      </c>
      <c r="CN1" s="192" t="s">
        <v>791</v>
      </c>
      <c r="CO1" s="192" t="s">
        <v>793</v>
      </c>
      <c r="CP1" s="192" t="s">
        <v>795</v>
      </c>
      <c r="CQ1" s="192" t="s">
        <v>797</v>
      </c>
      <c r="CR1" s="192" t="s">
        <v>799</v>
      </c>
      <c r="CS1" s="192" t="s">
        <v>801</v>
      </c>
      <c r="CT1" s="192" t="s">
        <v>803</v>
      </c>
      <c r="CU1" s="189"/>
      <c r="CV1" s="201"/>
      <c r="CW1" s="192" t="s">
        <v>829</v>
      </c>
      <c r="CX1" s="192" t="s">
        <v>830</v>
      </c>
      <c r="CY1" s="192" t="s">
        <v>832</v>
      </c>
      <c r="CZ1" s="192" t="s">
        <v>358</v>
      </c>
      <c r="DA1" s="192" t="s">
        <v>834</v>
      </c>
      <c r="DB1" s="192" t="s">
        <v>836</v>
      </c>
      <c r="DC1" s="192" t="s">
        <v>838</v>
      </c>
      <c r="DD1" s="192" t="s">
        <v>840</v>
      </c>
      <c r="DE1" s="192" t="s">
        <v>842</v>
      </c>
      <c r="DF1" s="192" t="s">
        <v>844</v>
      </c>
      <c r="DG1" s="201"/>
      <c r="DH1" s="192" t="s">
        <v>360</v>
      </c>
      <c r="DI1" s="192" t="s">
        <v>846</v>
      </c>
      <c r="DJ1" s="192" t="s">
        <v>361</v>
      </c>
      <c r="DK1" s="192" t="s">
        <v>848</v>
      </c>
      <c r="DL1" s="192" t="s">
        <v>850</v>
      </c>
      <c r="DM1" s="192" t="s">
        <v>852</v>
      </c>
      <c r="DN1" s="192" t="s">
        <v>854</v>
      </c>
      <c r="DO1" s="192" t="s">
        <v>856</v>
      </c>
      <c r="DP1" s="192" t="s">
        <v>858</v>
      </c>
      <c r="DQ1" s="192" t="s">
        <v>860</v>
      </c>
      <c r="DR1" s="192" t="s">
        <v>362</v>
      </c>
      <c r="DS1" s="192" t="s">
        <v>862</v>
      </c>
      <c r="DT1" s="192" t="s">
        <v>864</v>
      </c>
      <c r="DU1" s="192" t="s">
        <v>866</v>
      </c>
      <c r="DV1" s="201"/>
      <c r="DW1" s="192" t="s">
        <v>868</v>
      </c>
      <c r="DX1" s="192" t="s">
        <v>364</v>
      </c>
      <c r="DY1" s="192" t="s">
        <v>870</v>
      </c>
      <c r="DZ1" s="192" t="s">
        <v>365</v>
      </c>
      <c r="EA1" s="192" t="s">
        <v>872</v>
      </c>
      <c r="EB1" s="192" t="s">
        <v>874</v>
      </c>
      <c r="EC1" s="192" t="s">
        <v>876</v>
      </c>
      <c r="ED1" s="192" t="s">
        <v>878</v>
      </c>
      <c r="EE1" s="192" t="s">
        <v>880</v>
      </c>
      <c r="EF1" s="192" t="s">
        <v>882</v>
      </c>
      <c r="EG1" s="192" t="s">
        <v>884</v>
      </c>
      <c r="EH1" s="192" t="s">
        <v>886</v>
      </c>
      <c r="EI1" s="192" t="s">
        <v>888</v>
      </c>
      <c r="EJ1" s="192" t="s">
        <v>890</v>
      </c>
      <c r="EK1" s="192" t="s">
        <v>892</v>
      </c>
      <c r="EL1" s="201"/>
      <c r="EM1" s="192" t="s">
        <v>894</v>
      </c>
      <c r="EN1" s="192" t="s">
        <v>367</v>
      </c>
      <c r="EO1" s="192" t="s">
        <v>896</v>
      </c>
      <c r="EP1" s="192" t="s">
        <v>898</v>
      </c>
      <c r="EQ1" s="192" t="s">
        <v>368</v>
      </c>
      <c r="ER1" s="192" t="s">
        <v>900</v>
      </c>
      <c r="ES1" s="192" t="s">
        <v>902</v>
      </c>
      <c r="ET1" s="192" t="s">
        <v>369</v>
      </c>
      <c r="EU1" s="192" t="s">
        <v>904</v>
      </c>
      <c r="EV1" s="192" t="s">
        <v>906</v>
      </c>
      <c r="EW1" s="192" t="s">
        <v>908</v>
      </c>
      <c r="EX1" s="192" t="s">
        <v>370</v>
      </c>
      <c r="EY1" s="192" t="s">
        <v>910</v>
      </c>
      <c r="EZ1" s="192" t="s">
        <v>912</v>
      </c>
      <c r="FA1" s="201"/>
      <c r="FB1" s="192" t="s">
        <v>372</v>
      </c>
      <c r="FC1" s="192" t="s">
        <v>914</v>
      </c>
      <c r="FD1" s="192" t="s">
        <v>916</v>
      </c>
      <c r="FE1" s="192" t="s">
        <v>918</v>
      </c>
      <c r="FF1" s="192" t="s">
        <v>920</v>
      </c>
      <c r="FG1" s="192" t="s">
        <v>373</v>
      </c>
      <c r="FH1" s="192" t="s">
        <v>922</v>
      </c>
      <c r="FI1" s="192" t="s">
        <v>924</v>
      </c>
      <c r="FJ1" s="192" t="s">
        <v>926</v>
      </c>
      <c r="FK1" s="192" t="s">
        <v>928</v>
      </c>
      <c r="FL1" s="192" t="s">
        <v>930</v>
      </c>
      <c r="FM1" s="192" t="s">
        <v>374</v>
      </c>
      <c r="FN1" s="192" t="s">
        <v>933</v>
      </c>
      <c r="FO1" s="192" t="s">
        <v>375</v>
      </c>
      <c r="FP1" s="192" t="s">
        <v>936</v>
      </c>
      <c r="FQ1" s="192" t="s">
        <v>937</v>
      </c>
      <c r="FR1" s="192" t="s">
        <v>939</v>
      </c>
      <c r="FS1" s="192" t="s">
        <v>376</v>
      </c>
      <c r="FT1" s="192" t="s">
        <v>942</v>
      </c>
      <c r="FU1" s="192" t="s">
        <v>943</v>
      </c>
      <c r="FV1" s="192" t="s">
        <v>945</v>
      </c>
      <c r="FW1" s="192" t="s">
        <v>377</v>
      </c>
      <c r="FX1" s="192" t="s">
        <v>948</v>
      </c>
      <c r="FY1" s="192" t="s">
        <v>950</v>
      </c>
      <c r="FZ1" s="192" t="s">
        <v>952</v>
      </c>
      <c r="GA1" s="201"/>
      <c r="GB1" s="192" t="s">
        <v>379</v>
      </c>
      <c r="GC1" s="192" t="s">
        <v>380</v>
      </c>
      <c r="GD1" s="201"/>
      <c r="GE1" s="192" t="s">
        <v>382</v>
      </c>
      <c r="GF1" s="192" t="s">
        <v>975</v>
      </c>
      <c r="GG1" s="192" t="s">
        <v>977</v>
      </c>
      <c r="GH1" s="192" t="s">
        <v>979</v>
      </c>
      <c r="GI1" s="192" t="s">
        <v>981</v>
      </c>
      <c r="GJ1" s="192" t="s">
        <v>983</v>
      </c>
      <c r="GK1" s="201"/>
      <c r="GL1" s="192" t="s">
        <v>384</v>
      </c>
      <c r="GM1" s="192" t="s">
        <v>985</v>
      </c>
      <c r="GN1" s="192" t="s">
        <v>987</v>
      </c>
      <c r="GO1" s="192" t="s">
        <v>989</v>
      </c>
      <c r="GP1" s="192" t="s">
        <v>991</v>
      </c>
      <c r="GQ1" s="192" t="s">
        <v>993</v>
      </c>
      <c r="GR1" s="192" t="s">
        <v>995</v>
      </c>
      <c r="GS1" s="189"/>
      <c r="GT1" s="201"/>
      <c r="GU1" s="192" t="s">
        <v>385</v>
      </c>
      <c r="GV1" s="192" t="s">
        <v>954</v>
      </c>
      <c r="GW1" s="192" t="s">
        <v>956</v>
      </c>
      <c r="GX1" s="192" t="s">
        <v>958</v>
      </c>
      <c r="GY1" s="192" t="s">
        <v>960</v>
      </c>
      <c r="GZ1" s="192" t="s">
        <v>962</v>
      </c>
      <c r="HA1" s="192" t="s">
        <v>964</v>
      </c>
      <c r="HB1" s="201"/>
      <c r="HC1" s="192" t="s">
        <v>386</v>
      </c>
      <c r="HD1" s="192" t="s">
        <v>966</v>
      </c>
      <c r="HE1" s="192" t="s">
        <v>968</v>
      </c>
      <c r="HF1" s="192" t="s">
        <v>969</v>
      </c>
      <c r="HG1" s="192" t="s">
        <v>387</v>
      </c>
      <c r="HH1" s="192" t="s">
        <v>972</v>
      </c>
      <c r="HI1" s="192" t="s">
        <v>973</v>
      </c>
      <c r="HJ1" s="189"/>
      <c r="HK1" s="201"/>
      <c r="HL1" s="192" t="s">
        <v>390</v>
      </c>
      <c r="HM1" s="192" t="s">
        <v>997</v>
      </c>
      <c r="HN1" s="192" t="s">
        <v>999</v>
      </c>
      <c r="HO1" s="192" t="s">
        <v>1001</v>
      </c>
      <c r="HP1" s="192" t="s">
        <v>1003</v>
      </c>
      <c r="HQ1" s="192" t="s">
        <v>391</v>
      </c>
      <c r="HR1" s="192" t="s">
        <v>1006</v>
      </c>
      <c r="HS1" s="201"/>
      <c r="HT1" s="192" t="s">
        <v>1008</v>
      </c>
      <c r="HU1" s="192" t="s">
        <v>1010</v>
      </c>
      <c r="HV1" s="192" t="s">
        <v>393</v>
      </c>
      <c r="HW1" s="192" t="s">
        <v>1013</v>
      </c>
      <c r="HX1" s="192" t="s">
        <v>1015</v>
      </c>
      <c r="HY1" s="192" t="s">
        <v>1016</v>
      </c>
      <c r="HZ1" s="192" t="s">
        <v>1018</v>
      </c>
      <c r="IA1" s="201"/>
      <c r="IB1" s="192" t="s">
        <v>1020</v>
      </c>
      <c r="IC1" s="192" t="s">
        <v>1022</v>
      </c>
      <c r="ID1" s="192" t="s">
        <v>1024</v>
      </c>
      <c r="IE1" s="192" t="s">
        <v>395</v>
      </c>
      <c r="IF1" s="192" t="s">
        <v>1026</v>
      </c>
      <c r="IG1" s="192" t="s">
        <v>1028</v>
      </c>
      <c r="IH1" s="192" t="s">
        <v>396</v>
      </c>
      <c r="II1" s="192" t="s">
        <v>1030</v>
      </c>
      <c r="IJ1" s="192" t="s">
        <v>1032</v>
      </c>
      <c r="IK1" s="192" t="s">
        <v>397</v>
      </c>
      <c r="IL1" s="192" t="s">
        <v>1034</v>
      </c>
      <c r="IM1" s="192" t="s">
        <v>1036</v>
      </c>
      <c r="IN1" s="192" t="s">
        <v>1038</v>
      </c>
      <c r="IO1" s="192" t="s">
        <v>1040</v>
      </c>
      <c r="IP1" s="192" t="s">
        <v>398</v>
      </c>
      <c r="IQ1" s="192" t="s">
        <v>1042</v>
      </c>
      <c r="IR1" s="201"/>
      <c r="IS1" s="192" t="s">
        <v>1050</v>
      </c>
      <c r="IT1" s="192" t="s">
        <v>1052</v>
      </c>
      <c r="IU1" s="192" t="s">
        <v>400</v>
      </c>
      <c r="IV1" s="192" t="s">
        <v>1054</v>
      </c>
      <c r="IW1" s="192" t="s">
        <v>1056</v>
      </c>
      <c r="IX1" s="192" t="s">
        <v>1058</v>
      </c>
      <c r="IY1" s="201"/>
      <c r="IZ1" s="192" t="s">
        <v>1060</v>
      </c>
      <c r="JA1" s="192" t="s">
        <v>402</v>
      </c>
      <c r="JB1" s="192" t="s">
        <v>1063</v>
      </c>
      <c r="JC1" s="192" t="s">
        <v>1065</v>
      </c>
      <c r="JD1" s="192" t="s">
        <v>1067</v>
      </c>
      <c r="JE1" s="192" t="s">
        <v>1069</v>
      </c>
      <c r="JF1" s="192" t="s">
        <v>1071</v>
      </c>
      <c r="JG1" s="192" t="s">
        <v>1073</v>
      </c>
      <c r="JH1" s="192" t="s">
        <v>403</v>
      </c>
      <c r="JI1" s="192" t="s">
        <v>1076</v>
      </c>
      <c r="JJ1" s="192" t="s">
        <v>1078</v>
      </c>
      <c r="JK1" s="192" t="s">
        <v>1080</v>
      </c>
      <c r="JL1" s="192" t="s">
        <v>1082</v>
      </c>
      <c r="JM1" s="192" t="s">
        <v>1084</v>
      </c>
      <c r="JN1" s="192" t="s">
        <v>1086</v>
      </c>
      <c r="JO1" s="192" t="s">
        <v>1088</v>
      </c>
      <c r="JP1" s="192" t="s">
        <v>1090</v>
      </c>
      <c r="JQ1" s="192" t="s">
        <v>404</v>
      </c>
      <c r="JR1" s="192" t="s">
        <v>1093</v>
      </c>
      <c r="JS1" s="192" t="s">
        <v>1095</v>
      </c>
      <c r="JT1" s="192" t="s">
        <v>1097</v>
      </c>
      <c r="JU1" s="192" t="s">
        <v>1099</v>
      </c>
      <c r="JV1" s="192" t="s">
        <v>1100</v>
      </c>
      <c r="JW1" s="192" t="s">
        <v>1102</v>
      </c>
      <c r="JX1" s="192" t="s">
        <v>1104</v>
      </c>
      <c r="JY1" s="192" t="s">
        <v>1106</v>
      </c>
      <c r="JZ1" s="192" t="s">
        <v>1108</v>
      </c>
      <c r="KA1" s="192" t="s">
        <v>1110</v>
      </c>
      <c r="KB1" s="192" t="s">
        <v>1112</v>
      </c>
      <c r="KC1" s="192" t="s">
        <v>1114</v>
      </c>
      <c r="KD1" s="192" t="s">
        <v>1116</v>
      </c>
      <c r="KE1" s="192" t="s">
        <v>1118</v>
      </c>
      <c r="KF1" s="192" t="s">
        <v>1120</v>
      </c>
      <c r="KG1" s="192" t="s">
        <v>1122</v>
      </c>
      <c r="KH1" s="192" t="s">
        <v>1124</v>
      </c>
      <c r="KI1" s="192" t="s">
        <v>1126</v>
      </c>
      <c r="KJ1" s="192" t="s">
        <v>1128</v>
      </c>
      <c r="KK1" s="192" t="s">
        <v>1130</v>
      </c>
      <c r="KL1" s="192" t="s">
        <v>1132</v>
      </c>
      <c r="KM1" s="192" t="s">
        <v>1134</v>
      </c>
      <c r="KN1" s="192" t="s">
        <v>1136</v>
      </c>
      <c r="KO1" s="192" t="s">
        <v>1138</v>
      </c>
      <c r="KP1" s="192" t="s">
        <v>1140</v>
      </c>
      <c r="KQ1" s="192" t="s">
        <v>1142</v>
      </c>
      <c r="KR1" s="201"/>
      <c r="KS1" s="192" t="s">
        <v>1144</v>
      </c>
      <c r="KT1" s="192" t="s">
        <v>406</v>
      </c>
      <c r="KU1" s="192" t="s">
        <v>1147</v>
      </c>
      <c r="KV1" s="192" t="s">
        <v>1149</v>
      </c>
      <c r="KW1" s="192" t="s">
        <v>1151</v>
      </c>
      <c r="KX1" s="192" t="s">
        <v>1153</v>
      </c>
      <c r="KY1" s="192" t="s">
        <v>407</v>
      </c>
      <c r="KZ1" s="192" t="s">
        <v>1156</v>
      </c>
      <c r="LA1" s="192" t="s">
        <v>1158</v>
      </c>
      <c r="LB1" s="192" t="s">
        <v>1160</v>
      </c>
      <c r="LC1" s="192" t="s">
        <v>1162</v>
      </c>
      <c r="LD1" s="192" t="s">
        <v>1164</v>
      </c>
      <c r="LE1" s="192" t="s">
        <v>1166</v>
      </c>
      <c r="LF1" s="192" t="s">
        <v>1168</v>
      </c>
      <c r="LG1" s="189"/>
      <c r="LH1" s="201"/>
      <c r="LI1" s="192" t="s">
        <v>408</v>
      </c>
      <c r="LJ1" s="192" t="s">
        <v>1044</v>
      </c>
      <c r="LK1" s="192" t="s">
        <v>1046</v>
      </c>
      <c r="LL1" s="192" t="s">
        <v>1048</v>
      </c>
      <c r="LM1" s="189"/>
      <c r="LN1" s="201"/>
      <c r="LO1" s="192" t="s">
        <v>411</v>
      </c>
      <c r="LP1" s="192" t="s">
        <v>412</v>
      </c>
      <c r="LQ1" s="201"/>
      <c r="LR1" s="192" t="s">
        <v>414</v>
      </c>
      <c r="LS1" s="192" t="s">
        <v>1188</v>
      </c>
      <c r="LT1" s="192" t="s">
        <v>1190</v>
      </c>
      <c r="LU1" s="192" t="s">
        <v>1191</v>
      </c>
      <c r="LV1" s="192" t="s">
        <v>1193</v>
      </c>
      <c r="LW1" s="192" t="s">
        <v>1194</v>
      </c>
      <c r="LX1" s="192" t="s">
        <v>1196</v>
      </c>
      <c r="LY1" s="192" t="s">
        <v>1198</v>
      </c>
      <c r="LZ1" s="192" t="s">
        <v>1200</v>
      </c>
      <c r="MA1" s="192" t="s">
        <v>1202</v>
      </c>
      <c r="MB1" s="192" t="s">
        <v>415</v>
      </c>
      <c r="MC1" s="192" t="s">
        <v>1205</v>
      </c>
      <c r="MD1" s="192" t="s">
        <v>1206</v>
      </c>
      <c r="ME1" s="192" t="s">
        <v>1208</v>
      </c>
      <c r="MF1" s="192" t="s">
        <v>416</v>
      </c>
      <c r="MG1" s="192" t="s">
        <v>1211</v>
      </c>
      <c r="MH1" s="192" t="s">
        <v>1212</v>
      </c>
      <c r="MI1" s="192" t="s">
        <v>1214</v>
      </c>
      <c r="MJ1" s="192" t="s">
        <v>1216</v>
      </c>
      <c r="MK1" s="192" t="s">
        <v>417</v>
      </c>
      <c r="ML1" s="192" t="s">
        <v>1219</v>
      </c>
      <c r="MM1" s="192" t="s">
        <v>1221</v>
      </c>
      <c r="MN1" s="192" t="s">
        <v>1223</v>
      </c>
      <c r="MO1" s="192" t="s">
        <v>1225</v>
      </c>
      <c r="MP1" s="192" t="s">
        <v>418</v>
      </c>
      <c r="MQ1" s="192" t="s">
        <v>1228</v>
      </c>
      <c r="MR1" s="192" t="s">
        <v>1230</v>
      </c>
      <c r="MS1" s="192" t="s">
        <v>1232</v>
      </c>
      <c r="MT1" s="192" t="s">
        <v>1234</v>
      </c>
      <c r="MU1" s="192" t="s">
        <v>1236</v>
      </c>
      <c r="MV1" s="192" t="s">
        <v>1238</v>
      </c>
      <c r="MW1" s="192" t="s">
        <v>1240</v>
      </c>
      <c r="MX1" s="192" t="s">
        <v>1242</v>
      </c>
      <c r="MY1" s="192" t="s">
        <v>1244</v>
      </c>
      <c r="MZ1" s="192" t="s">
        <v>1246</v>
      </c>
      <c r="NA1" s="192" t="s">
        <v>1248</v>
      </c>
      <c r="NB1" s="192" t="s">
        <v>1249</v>
      </c>
      <c r="NC1" s="201"/>
      <c r="ND1" s="192" t="s">
        <v>420</v>
      </c>
      <c r="NE1" s="192" t="s">
        <v>1251</v>
      </c>
      <c r="NF1" s="192" t="s">
        <v>1253</v>
      </c>
      <c r="NG1" s="192" t="s">
        <v>1255</v>
      </c>
      <c r="NH1" s="192" t="s">
        <v>1257</v>
      </c>
      <c r="NI1" s="201"/>
      <c r="NJ1" s="192" t="s">
        <v>422</v>
      </c>
      <c r="NK1" s="192" t="s">
        <v>1258</v>
      </c>
      <c r="NL1" s="192" t="s">
        <v>423</v>
      </c>
      <c r="NM1" s="192" t="s">
        <v>1260</v>
      </c>
      <c r="NN1" s="192" t="s">
        <v>1262</v>
      </c>
      <c r="NO1" s="192" t="s">
        <v>424</v>
      </c>
      <c r="NP1" s="192" t="s">
        <v>1264</v>
      </c>
      <c r="NQ1" s="192" t="s">
        <v>1266</v>
      </c>
      <c r="NR1" s="189"/>
      <c r="NS1" s="201"/>
      <c r="NT1" s="192" t="s">
        <v>425</v>
      </c>
      <c r="NU1" s="192" t="s">
        <v>1170</v>
      </c>
      <c r="NV1" s="192" t="s">
        <v>1172</v>
      </c>
      <c r="NW1" s="192" t="s">
        <v>1174</v>
      </c>
      <c r="NX1" s="192" t="s">
        <v>1176</v>
      </c>
      <c r="NY1" s="192" t="s">
        <v>426</v>
      </c>
      <c r="NZ1" s="192" t="s">
        <v>1178</v>
      </c>
      <c r="OA1" s="192" t="s">
        <v>427</v>
      </c>
      <c r="OB1" s="192" t="s">
        <v>1180</v>
      </c>
      <c r="OC1" s="201"/>
      <c r="OD1" s="192" t="s">
        <v>1182</v>
      </c>
      <c r="OE1" s="192" t="s">
        <v>428</v>
      </c>
      <c r="OF1" s="189"/>
      <c r="OG1" s="201"/>
      <c r="OH1" s="192" t="s">
        <v>1184</v>
      </c>
      <c r="OI1" s="192" t="s">
        <v>1186</v>
      </c>
      <c r="OJ1" s="192" t="s">
        <v>429</v>
      </c>
      <c r="OK1" s="189"/>
      <c r="OL1" s="201"/>
      <c r="OM1" s="192" t="s">
        <v>432</v>
      </c>
      <c r="ON1" s="192" t="s">
        <v>1268</v>
      </c>
      <c r="OO1" s="192" t="s">
        <v>1270</v>
      </c>
      <c r="OP1" s="192" t="s">
        <v>433</v>
      </c>
      <c r="OQ1" s="192" t="s">
        <v>434</v>
      </c>
      <c r="OR1" s="192" t="s">
        <v>1368</v>
      </c>
      <c r="OS1" s="192" t="s">
        <v>1370</v>
      </c>
      <c r="OT1" s="192" t="s">
        <v>1372</v>
      </c>
      <c r="OU1" s="192" t="s">
        <v>1374</v>
      </c>
      <c r="OV1" s="192" t="s">
        <v>1376</v>
      </c>
      <c r="OW1" s="201"/>
      <c r="OX1" s="192" t="s">
        <v>436</v>
      </c>
      <c r="OY1" s="192" t="s">
        <v>1378</v>
      </c>
      <c r="OZ1" s="192" t="s">
        <v>1380</v>
      </c>
      <c r="PA1" s="192" t="s">
        <v>1382</v>
      </c>
      <c r="PB1" s="192" t="s">
        <v>1384</v>
      </c>
      <c r="PC1" s="192" t="s">
        <v>1386</v>
      </c>
      <c r="PD1" s="192" t="s">
        <v>1388</v>
      </c>
      <c r="PE1" s="201"/>
      <c r="PF1" s="192" t="s">
        <v>1390</v>
      </c>
      <c r="PG1" s="192" t="s">
        <v>438</v>
      </c>
      <c r="PH1" s="201"/>
      <c r="PI1" s="192" t="s">
        <v>440</v>
      </c>
      <c r="PJ1" s="192" t="s">
        <v>1420</v>
      </c>
      <c r="PK1" s="192" t="s">
        <v>1422</v>
      </c>
      <c r="PL1" s="201"/>
      <c r="PM1" s="192" t="s">
        <v>442</v>
      </c>
      <c r="PN1" s="192" t="s">
        <v>1424</v>
      </c>
      <c r="PO1" s="192" t="s">
        <v>1425</v>
      </c>
      <c r="PP1" s="192" t="s">
        <v>1426</v>
      </c>
      <c r="PQ1" s="192" t="s">
        <v>1427</v>
      </c>
      <c r="PR1" s="192" t="s">
        <v>1429</v>
      </c>
      <c r="PS1" s="192" t="s">
        <v>1430</v>
      </c>
      <c r="PT1" s="192" t="s">
        <v>1432</v>
      </c>
      <c r="PU1" s="192" t="s">
        <v>1433</v>
      </c>
      <c r="PV1" s="189"/>
      <c r="PW1" s="201"/>
      <c r="PX1" s="192" t="s">
        <v>443</v>
      </c>
      <c r="PY1" s="192" t="s">
        <v>1272</v>
      </c>
      <c r="PZ1" s="192" t="s">
        <v>1274</v>
      </c>
      <c r="QA1" s="192" t="s">
        <v>1276</v>
      </c>
      <c r="QB1" s="192" t="s">
        <v>1278</v>
      </c>
      <c r="QC1" s="192" t="s">
        <v>1280</v>
      </c>
      <c r="QD1" s="192" t="s">
        <v>1282</v>
      </c>
      <c r="QE1" s="192" t="s">
        <v>1284</v>
      </c>
      <c r="QF1" s="192" t="s">
        <v>1286</v>
      </c>
      <c r="QG1" s="192" t="s">
        <v>1288</v>
      </c>
      <c r="QH1" s="192" t="s">
        <v>1290</v>
      </c>
      <c r="QI1" s="192" t="s">
        <v>1292</v>
      </c>
      <c r="QJ1" s="192" t="s">
        <v>1294</v>
      </c>
      <c r="QK1" s="192" t="s">
        <v>1296</v>
      </c>
      <c r="QL1" s="192" t="s">
        <v>1298</v>
      </c>
      <c r="QM1" s="192" t="s">
        <v>1300</v>
      </c>
      <c r="QN1" s="192" t="s">
        <v>1302</v>
      </c>
      <c r="QO1" s="192" t="s">
        <v>1304</v>
      </c>
      <c r="QP1" s="192" t="s">
        <v>1306</v>
      </c>
      <c r="QQ1" s="192" t="s">
        <v>1308</v>
      </c>
      <c r="QR1" s="192" t="s">
        <v>1310</v>
      </c>
      <c r="QS1" s="192" t="s">
        <v>1312</v>
      </c>
      <c r="QT1" s="192" t="s">
        <v>1314</v>
      </c>
      <c r="QU1" s="192" t="s">
        <v>444</v>
      </c>
      <c r="QV1" s="192" t="s">
        <v>1317</v>
      </c>
      <c r="QW1" s="192" t="s">
        <v>1319</v>
      </c>
      <c r="QX1" s="192" t="s">
        <v>1320</v>
      </c>
      <c r="QY1" s="192" t="s">
        <v>1322</v>
      </c>
      <c r="QZ1" s="192" t="s">
        <v>1324</v>
      </c>
      <c r="RA1" s="192" t="s">
        <v>1326</v>
      </c>
      <c r="RB1" s="192" t="s">
        <v>1328</v>
      </c>
      <c r="RC1" s="192" t="s">
        <v>1330</v>
      </c>
      <c r="RD1" s="192" t="s">
        <v>1332</v>
      </c>
      <c r="RE1" s="192" t="s">
        <v>1334</v>
      </c>
      <c r="RF1" s="192" t="s">
        <v>1336</v>
      </c>
      <c r="RG1" s="192" t="s">
        <v>1338</v>
      </c>
      <c r="RH1" s="192" t="s">
        <v>1340</v>
      </c>
      <c r="RI1" s="192" t="s">
        <v>1342</v>
      </c>
      <c r="RJ1" s="192" t="s">
        <v>1344</v>
      </c>
      <c r="RK1" s="192" t="s">
        <v>1346</v>
      </c>
      <c r="RL1" s="192" t="s">
        <v>1348</v>
      </c>
      <c r="RM1" s="192" t="s">
        <v>1350</v>
      </c>
      <c r="RN1" s="192" t="s">
        <v>1352</v>
      </c>
      <c r="RO1" s="192" t="s">
        <v>1354</v>
      </c>
      <c r="RP1" s="192" t="s">
        <v>1356</v>
      </c>
      <c r="RQ1" s="192" t="s">
        <v>1358</v>
      </c>
      <c r="RR1" s="192" t="s">
        <v>1360</v>
      </c>
      <c r="RS1" s="192" t="s">
        <v>1362</v>
      </c>
      <c r="RT1" s="192" t="s">
        <v>1364</v>
      </c>
      <c r="RU1" s="192" t="s">
        <v>1366</v>
      </c>
      <c r="RV1" s="189"/>
      <c r="RW1" s="201"/>
      <c r="RX1" s="192" t="s">
        <v>445</v>
      </c>
      <c r="RY1" s="192" t="s">
        <v>1392</v>
      </c>
      <c r="RZ1" s="192" t="s">
        <v>1394</v>
      </c>
      <c r="SA1" s="192" t="s">
        <v>1396</v>
      </c>
      <c r="SB1" s="192" t="s">
        <v>1398</v>
      </c>
      <c r="SC1" s="192" t="s">
        <v>1400</v>
      </c>
      <c r="SD1" s="192" t="s">
        <v>1402</v>
      </c>
      <c r="SE1" s="192" t="s">
        <v>1404</v>
      </c>
      <c r="SF1" s="192" t="s">
        <v>1406</v>
      </c>
      <c r="SG1" s="192" t="s">
        <v>1408</v>
      </c>
      <c r="SH1" s="192" t="s">
        <v>1410</v>
      </c>
      <c r="SI1" s="192" t="s">
        <v>1412</v>
      </c>
      <c r="SJ1" s="192" t="s">
        <v>1414</v>
      </c>
      <c r="SK1" s="192" t="s">
        <v>1416</v>
      </c>
      <c r="SL1" s="192" t="s">
        <v>1418</v>
      </c>
      <c r="SM1" s="189"/>
      <c r="SN1" s="201"/>
      <c r="SO1" s="192" t="s">
        <v>448</v>
      </c>
      <c r="SP1" s="192" t="s">
        <v>1435</v>
      </c>
      <c r="SQ1" s="192" t="s">
        <v>1437</v>
      </c>
      <c r="SR1" s="192" t="s">
        <v>449</v>
      </c>
      <c r="SS1" s="192" t="s">
        <v>1439</v>
      </c>
      <c r="ST1" s="192" t="s">
        <v>1441</v>
      </c>
      <c r="SU1" s="192" t="s">
        <v>1443</v>
      </c>
      <c r="SV1" s="192" t="s">
        <v>1445</v>
      </c>
      <c r="SW1" s="201"/>
      <c r="SX1" s="192" t="s">
        <v>451</v>
      </c>
      <c r="SY1" s="192" t="s">
        <v>1447</v>
      </c>
      <c r="SZ1" s="192" t="s">
        <v>1449</v>
      </c>
      <c r="TA1" s="192" t="s">
        <v>1451</v>
      </c>
      <c r="TB1" s="192" t="s">
        <v>1453</v>
      </c>
      <c r="TC1" s="192" t="s">
        <v>1455</v>
      </c>
      <c r="TD1" s="192" t="s">
        <v>1457</v>
      </c>
      <c r="TE1" s="192" t="s">
        <v>1459</v>
      </c>
      <c r="TF1" s="192" t="s">
        <v>1461</v>
      </c>
      <c r="TG1" s="192" t="s">
        <v>1463</v>
      </c>
      <c r="TH1" s="192" t="s">
        <v>1465</v>
      </c>
      <c r="TI1" s="192" t="s">
        <v>1467</v>
      </c>
      <c r="TJ1" s="192" t="s">
        <v>1469</v>
      </c>
      <c r="TK1" s="192" t="s">
        <v>1471</v>
      </c>
      <c r="TL1" s="192" t="s">
        <v>1473</v>
      </c>
      <c r="TM1" s="192" t="s">
        <v>1475</v>
      </c>
      <c r="TN1" s="189"/>
      <c r="TO1" s="201"/>
      <c r="TP1" s="192" t="s">
        <v>454</v>
      </c>
      <c r="TQ1" s="192" t="s">
        <v>1477</v>
      </c>
      <c r="TR1" s="192" t="s">
        <v>1479</v>
      </c>
      <c r="TS1" s="192" t="s">
        <v>1481</v>
      </c>
      <c r="TT1" s="192" t="s">
        <v>1483</v>
      </c>
      <c r="TU1" s="192" t="s">
        <v>1485</v>
      </c>
      <c r="TV1" s="192" t="s">
        <v>455</v>
      </c>
      <c r="TW1" s="192" t="s">
        <v>1487</v>
      </c>
      <c r="TX1" s="192" t="s">
        <v>1489</v>
      </c>
      <c r="TY1" s="192" t="s">
        <v>1491</v>
      </c>
      <c r="TZ1" s="192" t="s">
        <v>1493</v>
      </c>
      <c r="UA1" s="192" t="s">
        <v>1495</v>
      </c>
      <c r="UB1" s="192" t="s">
        <v>1497</v>
      </c>
      <c r="UC1" s="201"/>
      <c r="UD1" s="192" t="s">
        <v>457</v>
      </c>
      <c r="UE1" s="189"/>
      <c r="UF1" s="201"/>
      <c r="UG1" s="192" t="s">
        <v>458</v>
      </c>
      <c r="UH1" s="192" t="s">
        <v>1499</v>
      </c>
      <c r="UI1" s="192" t="s">
        <v>1501</v>
      </c>
      <c r="UJ1" s="192" t="s">
        <v>1502</v>
      </c>
      <c r="UK1" s="192" t="s">
        <v>1504</v>
      </c>
      <c r="UL1" s="192" t="s">
        <v>1506</v>
      </c>
      <c r="UM1" s="192" t="s">
        <v>1508</v>
      </c>
      <c r="UN1" s="192" t="s">
        <v>1510</v>
      </c>
      <c r="UO1" s="192" t="s">
        <v>1512</v>
      </c>
      <c r="UP1" s="192" t="s">
        <v>1514</v>
      </c>
      <c r="UQ1" s="192" t="s">
        <v>1516</v>
      </c>
      <c r="UR1" s="192" t="s">
        <v>1518</v>
      </c>
      <c r="US1" s="192" t="s">
        <v>1520</v>
      </c>
      <c r="UT1" s="192" t="s">
        <v>1522</v>
      </c>
      <c r="UU1" s="192" t="s">
        <v>1524</v>
      </c>
      <c r="UV1" s="192" t="s">
        <v>1526</v>
      </c>
      <c r="UW1" s="192" t="s">
        <v>1528</v>
      </c>
      <c r="UX1" s="189"/>
      <c r="UY1" s="192" t="s">
        <v>1532</v>
      </c>
      <c r="UZ1" s="192" t="s">
        <v>1534</v>
      </c>
      <c r="VA1" s="192" t="s">
        <v>1536</v>
      </c>
      <c r="VB1" s="192" t="s">
        <v>1538</v>
      </c>
      <c r="VC1" s="192" t="s">
        <v>1540</v>
      </c>
      <c r="VD1" s="195"/>
    </row>
    <row r="2" spans="1:576" s="132" customFormat="1" x14ac:dyDescent="0.25">
      <c r="K2" s="170"/>
      <c r="V2" s="132" t="s">
        <v>206</v>
      </c>
      <c r="W2" s="132" t="s">
        <v>207</v>
      </c>
    </row>
    <row r="3" spans="1:576" x14ac:dyDescent="0.25">
      <c r="B3" s="98"/>
      <c r="C3" s="99" t="s">
        <v>326</v>
      </c>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9"/>
    </row>
    <row r="4" spans="1:576" x14ac:dyDescent="0.25">
      <c r="B4" s="95"/>
      <c r="C4" s="99" t="s">
        <v>86</v>
      </c>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99"/>
    </row>
    <row r="5" spans="1:576" x14ac:dyDescent="0.25">
      <c r="B5" s="101"/>
      <c r="C5" s="99" t="s">
        <v>325</v>
      </c>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99"/>
    </row>
    <row r="6" spans="1:576" x14ac:dyDescent="0.25">
      <c r="B6" s="95"/>
      <c r="C6" s="99" t="s">
        <v>87</v>
      </c>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99"/>
    </row>
    <row r="7" spans="1:576" ht="29.25" thickBot="1" x14ac:dyDescent="0.3">
      <c r="K7" s="222"/>
      <c r="L7" s="222"/>
      <c r="M7" s="222"/>
      <c r="N7" s="223" t="s">
        <v>474</v>
      </c>
      <c r="O7" s="222"/>
      <c r="P7" s="222"/>
      <c r="Q7" s="222"/>
      <c r="R7" s="222"/>
      <c r="S7" s="222"/>
      <c r="T7" s="222"/>
      <c r="U7" s="222"/>
    </row>
    <row r="8" spans="1:576" ht="105.75" thickBot="1" x14ac:dyDescent="0.3">
      <c r="B8" s="204" t="s">
        <v>210</v>
      </c>
      <c r="C8" s="205" t="s">
        <v>209</v>
      </c>
      <c r="D8" s="206" t="s">
        <v>206</v>
      </c>
      <c r="E8" s="206" t="s">
        <v>207</v>
      </c>
      <c r="F8" s="206" t="s">
        <v>327</v>
      </c>
      <c r="G8" s="206" t="s">
        <v>544</v>
      </c>
      <c r="H8" s="206" t="s">
        <v>546</v>
      </c>
      <c r="I8" s="221" t="s">
        <v>547</v>
      </c>
      <c r="J8" s="206" t="s">
        <v>545</v>
      </c>
      <c r="K8" s="221" t="s">
        <v>201</v>
      </c>
      <c r="L8" s="221" t="s">
        <v>187</v>
      </c>
      <c r="M8" s="221" t="s">
        <v>558</v>
      </c>
      <c r="N8" s="221" t="s">
        <v>202</v>
      </c>
      <c r="O8" s="221" t="s">
        <v>166</v>
      </c>
      <c r="P8" s="221" t="s">
        <v>559</v>
      </c>
      <c r="Q8" s="221" t="s">
        <v>203</v>
      </c>
      <c r="R8" s="221" t="s">
        <v>560</v>
      </c>
      <c r="S8" s="221" t="s">
        <v>561</v>
      </c>
      <c r="T8" s="221" t="s">
        <v>204</v>
      </c>
      <c r="U8" s="221" t="s">
        <v>562</v>
      </c>
      <c r="V8" s="221" t="s">
        <v>475</v>
      </c>
      <c r="W8" s="221" t="s">
        <v>493</v>
      </c>
      <c r="X8" s="221" t="s">
        <v>476</v>
      </c>
      <c r="Y8" s="221" t="s">
        <v>490</v>
      </c>
      <c r="Z8" s="221" t="s">
        <v>477</v>
      </c>
      <c r="AA8" s="221" t="s">
        <v>478</v>
      </c>
      <c r="AB8" s="221" t="s">
        <v>479</v>
      </c>
      <c r="AC8" s="221" t="s">
        <v>489</v>
      </c>
      <c r="AD8" s="221" t="s">
        <v>480</v>
      </c>
      <c r="AE8" s="221" t="s">
        <v>481</v>
      </c>
      <c r="AF8" s="221" t="s">
        <v>482</v>
      </c>
      <c r="AG8" s="221" t="s">
        <v>488</v>
      </c>
      <c r="AH8" s="221" t="s">
        <v>483</v>
      </c>
      <c r="AI8" s="221" t="s">
        <v>484</v>
      </c>
      <c r="AJ8" s="221" t="s">
        <v>485</v>
      </c>
      <c r="AK8" s="221" t="s">
        <v>487</v>
      </c>
      <c r="AL8" s="221" t="s">
        <v>486</v>
      </c>
    </row>
    <row r="9" spans="1:576" x14ac:dyDescent="0.25">
      <c r="B9" s="198" t="s">
        <v>330</v>
      </c>
      <c r="C9" s="199" t="s">
        <v>211</v>
      </c>
      <c r="D9" s="200">
        <f>D10+D35+D60+D66+D73</f>
        <v>0</v>
      </c>
      <c r="E9" s="200">
        <f>E10+E35+E60+E66+E73</f>
        <v>33397201.520000003</v>
      </c>
      <c r="F9" s="200">
        <f t="shared" ref="F9:F38" si="0">D9+E9</f>
        <v>33397201.520000003</v>
      </c>
      <c r="G9" s="200">
        <f>G10+G35+G60+G66+G73</f>
        <v>0</v>
      </c>
      <c r="H9" s="200">
        <f t="shared" ref="H9:H38" si="1">F9-G9</f>
        <v>33397201.520000003</v>
      </c>
      <c r="I9" s="200">
        <f>I10+I35+I60+I66+I73</f>
        <v>0</v>
      </c>
      <c r="J9" s="200">
        <f t="shared" ref="J9:J34" si="2">F9-I9</f>
        <v>33397201.520000003</v>
      </c>
      <c r="K9" s="200">
        <f t="shared" ref="K9:AJ9" si="3">K10+K35+K60+K66+K73</f>
        <v>969246.06500000006</v>
      </c>
      <c r="L9" s="200">
        <f t="shared" si="3"/>
        <v>8000</v>
      </c>
      <c r="M9" s="200">
        <f t="shared" si="3"/>
        <v>0</v>
      </c>
      <c r="N9" s="200">
        <f t="shared" si="3"/>
        <v>19583486.934999999</v>
      </c>
      <c r="O9" s="200">
        <f t="shared" si="3"/>
        <v>1500</v>
      </c>
      <c r="P9" s="200">
        <f t="shared" si="3"/>
        <v>5407500</v>
      </c>
      <c r="Q9" s="200">
        <f t="shared" si="3"/>
        <v>0</v>
      </c>
      <c r="R9" s="200">
        <f t="shared" si="3"/>
        <v>34000</v>
      </c>
      <c r="S9" s="200">
        <f t="shared" si="3"/>
        <v>3500</v>
      </c>
      <c r="T9" s="200">
        <f t="shared" si="3"/>
        <v>0</v>
      </c>
      <c r="U9" s="200">
        <f t="shared" si="3"/>
        <v>7389968.5200000005</v>
      </c>
      <c r="V9" s="200">
        <f t="shared" si="3"/>
        <v>32719226.520000003</v>
      </c>
      <c r="W9" s="200">
        <f t="shared" si="3"/>
        <v>630000</v>
      </c>
      <c r="X9" s="200">
        <f t="shared" si="3"/>
        <v>0</v>
      </c>
      <c r="Y9" s="200">
        <f t="shared" ref="Y9:Y38" si="4">V9+W9+X9</f>
        <v>33349226.520000003</v>
      </c>
      <c r="Z9" s="200">
        <f t="shared" si="3"/>
        <v>0</v>
      </c>
      <c r="AA9" s="200">
        <f t="shared" si="3"/>
        <v>11975</v>
      </c>
      <c r="AB9" s="200">
        <f t="shared" si="3"/>
        <v>0</v>
      </c>
      <c r="AC9" s="200">
        <f t="shared" ref="AC9:AC38" si="5">Z9+AA9+AB9</f>
        <v>11975</v>
      </c>
      <c r="AD9" s="200">
        <f t="shared" si="3"/>
        <v>0</v>
      </c>
      <c r="AE9" s="200">
        <f t="shared" si="3"/>
        <v>0</v>
      </c>
      <c r="AF9" s="200">
        <f t="shared" si="3"/>
        <v>36000</v>
      </c>
      <c r="AG9" s="200">
        <f t="shared" ref="AG9:AG38" si="6">AD9+AE9+AF9</f>
        <v>36000</v>
      </c>
      <c r="AH9" s="200">
        <f t="shared" si="3"/>
        <v>0</v>
      </c>
      <c r="AI9" s="200">
        <f t="shared" si="3"/>
        <v>0</v>
      </c>
      <c r="AJ9" s="200">
        <f t="shared" si="3"/>
        <v>0</v>
      </c>
      <c r="AK9" s="200">
        <f t="shared" ref="AK9:AK38" si="7">AH9+AI9+AJ9</f>
        <v>0</v>
      </c>
      <c r="AL9" s="200">
        <f t="shared" ref="AL9:AL38" si="8">Y9+AC9+AG9+AK9</f>
        <v>33397201.520000003</v>
      </c>
    </row>
    <row r="10" spans="1:576" x14ac:dyDescent="0.25">
      <c r="B10" s="201" t="s">
        <v>331</v>
      </c>
      <c r="C10" s="202" t="s">
        <v>212</v>
      </c>
      <c r="D10" s="203">
        <f>SUM(D11:D34)</f>
        <v>0</v>
      </c>
      <c r="E10" s="203">
        <f>SUM(E11:E34)</f>
        <v>32645902.280000005</v>
      </c>
      <c r="F10" s="203">
        <f t="shared" si="0"/>
        <v>32645902.280000005</v>
      </c>
      <c r="G10" s="203">
        <f>SUM(G11:G34)</f>
        <v>0</v>
      </c>
      <c r="H10" s="203">
        <f t="shared" si="1"/>
        <v>32645902.280000005</v>
      </c>
      <c r="I10" s="203">
        <f>SUM(I11:I34)</f>
        <v>0</v>
      </c>
      <c r="J10" s="203">
        <f t="shared" si="2"/>
        <v>32645902.280000005</v>
      </c>
      <c r="K10" s="203">
        <f t="shared" ref="K10:AJ10" si="9">SUM(K11:K34)</f>
        <v>969246.06500000006</v>
      </c>
      <c r="L10" s="203">
        <f t="shared" si="9"/>
        <v>8000</v>
      </c>
      <c r="M10" s="203">
        <f t="shared" si="9"/>
        <v>0</v>
      </c>
      <c r="N10" s="203">
        <f t="shared" si="9"/>
        <v>18832187.695</v>
      </c>
      <c r="O10" s="203">
        <f t="shared" si="9"/>
        <v>1500</v>
      </c>
      <c r="P10" s="203">
        <f t="shared" si="9"/>
        <v>5407500</v>
      </c>
      <c r="Q10" s="203">
        <f t="shared" si="9"/>
        <v>0</v>
      </c>
      <c r="R10" s="203">
        <f t="shared" si="9"/>
        <v>34000</v>
      </c>
      <c r="S10" s="203">
        <f t="shared" si="9"/>
        <v>3500</v>
      </c>
      <c r="T10" s="203">
        <f t="shared" si="9"/>
        <v>0</v>
      </c>
      <c r="U10" s="203">
        <f t="shared" si="9"/>
        <v>7389968.5200000005</v>
      </c>
      <c r="V10" s="203">
        <f t="shared" si="9"/>
        <v>32597927.280000005</v>
      </c>
      <c r="W10" s="203">
        <f t="shared" si="9"/>
        <v>0</v>
      </c>
      <c r="X10" s="203">
        <f t="shared" si="9"/>
        <v>0</v>
      </c>
      <c r="Y10" s="203">
        <f t="shared" si="4"/>
        <v>32597927.280000005</v>
      </c>
      <c r="Z10" s="203">
        <f t="shared" si="9"/>
        <v>0</v>
      </c>
      <c r="AA10" s="203">
        <f t="shared" si="9"/>
        <v>11975</v>
      </c>
      <c r="AB10" s="203">
        <f t="shared" si="9"/>
        <v>0</v>
      </c>
      <c r="AC10" s="203">
        <f t="shared" si="5"/>
        <v>11975</v>
      </c>
      <c r="AD10" s="203">
        <f t="shared" si="9"/>
        <v>0</v>
      </c>
      <c r="AE10" s="203">
        <f t="shared" si="9"/>
        <v>0</v>
      </c>
      <c r="AF10" s="203">
        <f t="shared" si="9"/>
        <v>36000</v>
      </c>
      <c r="AG10" s="203">
        <f t="shared" si="6"/>
        <v>36000</v>
      </c>
      <c r="AH10" s="203">
        <f t="shared" si="9"/>
        <v>0</v>
      </c>
      <c r="AI10" s="203">
        <f t="shared" si="9"/>
        <v>0</v>
      </c>
      <c r="AJ10" s="203">
        <f t="shared" si="9"/>
        <v>0</v>
      </c>
      <c r="AK10" s="203">
        <f t="shared" si="7"/>
        <v>0</v>
      </c>
      <c r="AL10" s="203">
        <f t="shared" si="8"/>
        <v>32645902.280000005</v>
      </c>
    </row>
    <row r="11" spans="1:576" x14ac:dyDescent="0.25">
      <c r="B11" s="192" t="s">
        <v>332</v>
      </c>
      <c r="C11" s="193" t="s">
        <v>213</v>
      </c>
      <c r="D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 s="194">
        <f t="shared" si="0"/>
        <v>0</v>
      </c>
      <c r="G11" s="194"/>
      <c r="H11" s="194">
        <f t="shared" si="1"/>
        <v>0</v>
      </c>
      <c r="I11" s="194"/>
      <c r="J11" s="194">
        <f t="shared" si="2"/>
        <v>0</v>
      </c>
      <c r="K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194">
        <f t="shared" si="4"/>
        <v>0</v>
      </c>
      <c r="Z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194">
        <f t="shared" si="5"/>
        <v>0</v>
      </c>
      <c r="AD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194">
        <f t="shared" si="6"/>
        <v>0</v>
      </c>
      <c r="AH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194">
        <f t="shared" si="7"/>
        <v>0</v>
      </c>
      <c r="AL11" s="194">
        <f t="shared" si="8"/>
        <v>0</v>
      </c>
    </row>
    <row r="12" spans="1:576" x14ac:dyDescent="0.25">
      <c r="B12" s="192" t="s">
        <v>701</v>
      </c>
      <c r="C12" s="193" t="s">
        <v>702</v>
      </c>
      <c r="D1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28855791.000000004</v>
      </c>
      <c r="F12" s="194">
        <f t="shared" si="0"/>
        <v>28855791.000000004</v>
      </c>
      <c r="G12" s="194"/>
      <c r="H12" s="194">
        <f t="shared" si="1"/>
        <v>28855791.000000004</v>
      </c>
      <c r="I12" s="194"/>
      <c r="J12" s="194">
        <f t="shared" si="2"/>
        <v>28855791.000000004</v>
      </c>
      <c r="K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16725822.48</v>
      </c>
      <c r="O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4740000</v>
      </c>
      <c r="Q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7389968.5200000005</v>
      </c>
      <c r="V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28855791.000000004</v>
      </c>
      <c r="W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194">
        <f t="shared" si="4"/>
        <v>28855791.000000004</v>
      </c>
      <c r="Z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194">
        <f t="shared" si="5"/>
        <v>0</v>
      </c>
      <c r="AD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194">
        <f t="shared" si="6"/>
        <v>0</v>
      </c>
      <c r="AH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194">
        <f t="shared" si="7"/>
        <v>0</v>
      </c>
      <c r="AL12" s="194">
        <f t="shared" si="8"/>
        <v>28855791.000000004</v>
      </c>
    </row>
    <row r="13" spans="1:576" x14ac:dyDescent="0.25">
      <c r="B13" s="192" t="s">
        <v>703</v>
      </c>
      <c r="C13" s="193" t="s">
        <v>704</v>
      </c>
      <c r="D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47975</v>
      </c>
      <c r="F13" s="194">
        <f t="shared" si="0"/>
        <v>47975</v>
      </c>
      <c r="G13" s="194"/>
      <c r="H13" s="194">
        <f t="shared" si="1"/>
        <v>47975</v>
      </c>
      <c r="I13" s="194"/>
      <c r="J13" s="194">
        <f t="shared" si="2"/>
        <v>47975</v>
      </c>
      <c r="K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v>
      </c>
      <c r="L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M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475</v>
      </c>
      <c r="O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v>
      </c>
      <c r="P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34000</v>
      </c>
      <c r="S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3500</v>
      </c>
      <c r="T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194">
        <f t="shared" si="4"/>
        <v>0</v>
      </c>
      <c r="Z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11975</v>
      </c>
      <c r="AB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194">
        <f t="shared" si="5"/>
        <v>11975</v>
      </c>
      <c r="AD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36000</v>
      </c>
      <c r="AG13" s="194">
        <f t="shared" si="6"/>
        <v>36000</v>
      </c>
      <c r="AH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194">
        <f t="shared" si="7"/>
        <v>0</v>
      </c>
      <c r="AL13" s="194">
        <f t="shared" si="8"/>
        <v>47975</v>
      </c>
    </row>
    <row r="14" spans="1:576" x14ac:dyDescent="0.25">
      <c r="B14" s="192" t="s">
        <v>705</v>
      </c>
      <c r="C14" s="193" t="s">
        <v>706</v>
      </c>
      <c r="D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194">
        <f t="shared" si="0"/>
        <v>0</v>
      </c>
      <c r="G14" s="194"/>
      <c r="H14" s="194">
        <f t="shared" si="1"/>
        <v>0</v>
      </c>
      <c r="I14" s="194"/>
      <c r="J14" s="194">
        <f t="shared" si="2"/>
        <v>0</v>
      </c>
      <c r="K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194">
        <f t="shared" si="4"/>
        <v>0</v>
      </c>
      <c r="Z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194">
        <f t="shared" si="5"/>
        <v>0</v>
      </c>
      <c r="AD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194">
        <f t="shared" si="6"/>
        <v>0</v>
      </c>
      <c r="AH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194">
        <f t="shared" si="7"/>
        <v>0</v>
      </c>
      <c r="AL14" s="194">
        <f t="shared" si="8"/>
        <v>0</v>
      </c>
    </row>
    <row r="15" spans="1:576" x14ac:dyDescent="0.25">
      <c r="B15" s="192" t="s">
        <v>707</v>
      </c>
      <c r="C15" s="193" t="s">
        <v>708</v>
      </c>
      <c r="D1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194">
        <f t="shared" si="0"/>
        <v>0</v>
      </c>
      <c r="G15" s="194"/>
      <c r="H15" s="194">
        <f t="shared" si="1"/>
        <v>0</v>
      </c>
      <c r="I15" s="194"/>
      <c r="J15" s="194">
        <f t="shared" si="2"/>
        <v>0</v>
      </c>
      <c r="K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194">
        <f t="shared" si="4"/>
        <v>0</v>
      </c>
      <c r="Z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194">
        <f t="shared" si="5"/>
        <v>0</v>
      </c>
      <c r="AD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194">
        <f t="shared" si="6"/>
        <v>0</v>
      </c>
      <c r="AH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194">
        <f t="shared" si="7"/>
        <v>0</v>
      </c>
      <c r="AL15" s="194">
        <f t="shared" si="8"/>
        <v>0</v>
      </c>
    </row>
    <row r="16" spans="1:576" x14ac:dyDescent="0.25">
      <c r="B16" s="192" t="s">
        <v>709</v>
      </c>
      <c r="C16" s="193" t="s">
        <v>710</v>
      </c>
      <c r="D1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194">
        <f t="shared" si="0"/>
        <v>0</v>
      </c>
      <c r="G16" s="194"/>
      <c r="H16" s="194">
        <f t="shared" si="1"/>
        <v>0</v>
      </c>
      <c r="I16" s="194"/>
      <c r="J16" s="194">
        <f t="shared" si="2"/>
        <v>0</v>
      </c>
      <c r="K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194">
        <f t="shared" si="4"/>
        <v>0</v>
      </c>
      <c r="Z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194">
        <f t="shared" si="5"/>
        <v>0</v>
      </c>
      <c r="AD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194">
        <f t="shared" si="6"/>
        <v>0</v>
      </c>
      <c r="AH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194">
        <f t="shared" si="7"/>
        <v>0</v>
      </c>
      <c r="AL16" s="194">
        <f t="shared" si="8"/>
        <v>0</v>
      </c>
    </row>
    <row r="17" spans="2:38" x14ac:dyDescent="0.25">
      <c r="B17" s="192" t="s">
        <v>711</v>
      </c>
      <c r="C17" s="193" t="s">
        <v>712</v>
      </c>
      <c r="D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194">
        <f t="shared" si="0"/>
        <v>0</v>
      </c>
      <c r="G17" s="194"/>
      <c r="H17" s="194">
        <f t="shared" si="1"/>
        <v>0</v>
      </c>
      <c r="I17" s="194"/>
      <c r="J17" s="194">
        <f t="shared" si="2"/>
        <v>0</v>
      </c>
      <c r="K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194">
        <f t="shared" si="4"/>
        <v>0</v>
      </c>
      <c r="Z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194">
        <f t="shared" si="5"/>
        <v>0</v>
      </c>
      <c r="AD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194">
        <f t="shared" si="6"/>
        <v>0</v>
      </c>
      <c r="AH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194">
        <f t="shared" si="7"/>
        <v>0</v>
      </c>
      <c r="AL17" s="194">
        <f t="shared" si="8"/>
        <v>0</v>
      </c>
    </row>
    <row r="18" spans="2:38" x14ac:dyDescent="0.25">
      <c r="B18" s="192" t="s">
        <v>333</v>
      </c>
      <c r="C18" s="193" t="s">
        <v>214</v>
      </c>
      <c r="D1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120000</v>
      </c>
      <c r="F18" s="194">
        <f t="shared" si="0"/>
        <v>120000</v>
      </c>
      <c r="G18" s="194"/>
      <c r="H18" s="194">
        <f t="shared" si="1"/>
        <v>120000</v>
      </c>
      <c r="I18" s="194"/>
      <c r="J18" s="194">
        <f t="shared" si="2"/>
        <v>120000</v>
      </c>
      <c r="K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45000</v>
      </c>
      <c r="L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75000</v>
      </c>
      <c r="Q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120000</v>
      </c>
      <c r="W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194">
        <f t="shared" si="4"/>
        <v>120000</v>
      </c>
      <c r="Z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194">
        <f t="shared" si="5"/>
        <v>0</v>
      </c>
      <c r="AD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194">
        <f t="shared" si="6"/>
        <v>0</v>
      </c>
      <c r="AH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194">
        <f t="shared" si="7"/>
        <v>0</v>
      </c>
      <c r="AL18" s="194">
        <f t="shared" si="8"/>
        <v>120000</v>
      </c>
    </row>
    <row r="19" spans="2:38" x14ac:dyDescent="0.25">
      <c r="B19" s="192" t="s">
        <v>714</v>
      </c>
      <c r="C19" s="193" t="s">
        <v>713</v>
      </c>
      <c r="D1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194">
        <f t="shared" si="0"/>
        <v>0</v>
      </c>
      <c r="G19" s="194"/>
      <c r="H19" s="194">
        <f t="shared" si="1"/>
        <v>0</v>
      </c>
      <c r="I19" s="194"/>
      <c r="J19" s="194">
        <f t="shared" si="2"/>
        <v>0</v>
      </c>
      <c r="K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194">
        <f t="shared" si="4"/>
        <v>0</v>
      </c>
      <c r="Z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194">
        <f t="shared" si="5"/>
        <v>0</v>
      </c>
      <c r="AD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194">
        <f t="shared" si="6"/>
        <v>0</v>
      </c>
      <c r="AH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194">
        <f t="shared" si="7"/>
        <v>0</v>
      </c>
      <c r="AL19" s="194">
        <f t="shared" si="8"/>
        <v>0</v>
      </c>
    </row>
    <row r="20" spans="2:38" x14ac:dyDescent="0.25">
      <c r="B20" s="192" t="s">
        <v>334</v>
      </c>
      <c r="C20" s="193" t="s">
        <v>215</v>
      </c>
      <c r="D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194">
        <f t="shared" si="0"/>
        <v>0</v>
      </c>
      <c r="G20" s="194"/>
      <c r="H20" s="194">
        <f t="shared" si="1"/>
        <v>0</v>
      </c>
      <c r="I20" s="194"/>
      <c r="J20" s="194">
        <f t="shared" si="2"/>
        <v>0</v>
      </c>
      <c r="K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194">
        <f t="shared" si="4"/>
        <v>0</v>
      </c>
      <c r="Z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194">
        <f t="shared" si="5"/>
        <v>0</v>
      </c>
      <c r="AD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194">
        <f t="shared" si="6"/>
        <v>0</v>
      </c>
      <c r="AH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194">
        <f t="shared" si="7"/>
        <v>0</v>
      </c>
      <c r="AL20" s="194">
        <f t="shared" si="8"/>
        <v>0</v>
      </c>
    </row>
    <row r="21" spans="2:38" x14ac:dyDescent="0.25">
      <c r="B21" s="192" t="s">
        <v>716</v>
      </c>
      <c r="C21" s="193" t="s">
        <v>715</v>
      </c>
      <c r="D2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194">
        <f t="shared" si="0"/>
        <v>0</v>
      </c>
      <c r="G21" s="194"/>
      <c r="H21" s="194">
        <f t="shared" si="1"/>
        <v>0</v>
      </c>
      <c r="I21" s="194"/>
      <c r="J21" s="194">
        <f t="shared" si="2"/>
        <v>0</v>
      </c>
      <c r="K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194">
        <f t="shared" si="4"/>
        <v>0</v>
      </c>
      <c r="Z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194">
        <f t="shared" si="5"/>
        <v>0</v>
      </c>
      <c r="AD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194">
        <f t="shared" si="6"/>
        <v>0</v>
      </c>
      <c r="AH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194">
        <f t="shared" si="7"/>
        <v>0</v>
      </c>
      <c r="AL21" s="194">
        <f t="shared" si="8"/>
        <v>0</v>
      </c>
    </row>
    <row r="22" spans="2:38" x14ac:dyDescent="0.25">
      <c r="B22" s="192" t="s">
        <v>718</v>
      </c>
      <c r="C22" s="193" t="s">
        <v>717</v>
      </c>
      <c r="D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194">
        <f t="shared" si="0"/>
        <v>0</v>
      </c>
      <c r="G22" s="194"/>
      <c r="H22" s="194">
        <f t="shared" si="1"/>
        <v>0</v>
      </c>
      <c r="I22" s="194"/>
      <c r="J22" s="194">
        <f t="shared" si="2"/>
        <v>0</v>
      </c>
      <c r="K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194">
        <f t="shared" si="4"/>
        <v>0</v>
      </c>
      <c r="Z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194">
        <f t="shared" si="5"/>
        <v>0</v>
      </c>
      <c r="AD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194">
        <f t="shared" si="6"/>
        <v>0</v>
      </c>
      <c r="AH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194">
        <f t="shared" si="7"/>
        <v>0</v>
      </c>
      <c r="AL22" s="194">
        <f t="shared" si="8"/>
        <v>0</v>
      </c>
    </row>
    <row r="23" spans="2:38" x14ac:dyDescent="0.25">
      <c r="B23" s="192" t="s">
        <v>720</v>
      </c>
      <c r="C23" s="193" t="s">
        <v>719</v>
      </c>
      <c r="D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 s="194">
        <f t="shared" si="0"/>
        <v>0</v>
      </c>
      <c r="G23" s="194"/>
      <c r="H23" s="194">
        <f t="shared" si="1"/>
        <v>0</v>
      </c>
      <c r="I23" s="194"/>
      <c r="J23" s="194">
        <f t="shared" si="2"/>
        <v>0</v>
      </c>
      <c r="K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194">
        <f t="shared" si="4"/>
        <v>0</v>
      </c>
      <c r="Z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194">
        <f t="shared" si="5"/>
        <v>0</v>
      </c>
      <c r="AD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194">
        <f t="shared" si="6"/>
        <v>0</v>
      </c>
      <c r="AH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194">
        <f t="shared" si="7"/>
        <v>0</v>
      </c>
      <c r="AL23" s="194">
        <f t="shared" si="8"/>
        <v>0</v>
      </c>
    </row>
    <row r="24" spans="2:38" x14ac:dyDescent="0.25">
      <c r="B24" s="192" t="s">
        <v>335</v>
      </c>
      <c r="C24" s="193" t="s">
        <v>216</v>
      </c>
      <c r="D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3617082.1450000005</v>
      </c>
      <c r="F24" s="194">
        <f t="shared" si="0"/>
        <v>3617082.1450000005</v>
      </c>
      <c r="G24" s="194"/>
      <c r="H24" s="194">
        <f t="shared" si="1"/>
        <v>3617082.1450000005</v>
      </c>
      <c r="I24" s="194"/>
      <c r="J24" s="194">
        <f t="shared" si="2"/>
        <v>3617082.1450000005</v>
      </c>
      <c r="K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923746.06500000006</v>
      </c>
      <c r="L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2100836.0799999996</v>
      </c>
      <c r="O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592500</v>
      </c>
      <c r="Q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3617082.1450000005</v>
      </c>
      <c r="W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194">
        <f t="shared" si="4"/>
        <v>3617082.1450000005</v>
      </c>
      <c r="Z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 s="194">
        <f t="shared" si="5"/>
        <v>0</v>
      </c>
      <c r="AD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194">
        <f t="shared" si="6"/>
        <v>0</v>
      </c>
      <c r="AH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194">
        <f t="shared" si="7"/>
        <v>0</v>
      </c>
      <c r="AL24" s="194">
        <f t="shared" si="8"/>
        <v>3617082.1450000005</v>
      </c>
    </row>
    <row r="25" spans="2:38" x14ac:dyDescent="0.25">
      <c r="B25" s="192" t="s">
        <v>721</v>
      </c>
      <c r="C25" s="193" t="s">
        <v>722</v>
      </c>
      <c r="D2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 s="194">
        <f t="shared" si="0"/>
        <v>0</v>
      </c>
      <c r="G25" s="194"/>
      <c r="H25" s="194">
        <f t="shared" si="1"/>
        <v>0</v>
      </c>
      <c r="I25" s="194"/>
      <c r="J25" s="194">
        <f t="shared" si="2"/>
        <v>0</v>
      </c>
      <c r="K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194">
        <f t="shared" si="4"/>
        <v>0</v>
      </c>
      <c r="Z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 s="194">
        <f t="shared" si="5"/>
        <v>0</v>
      </c>
      <c r="AD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194">
        <f t="shared" si="6"/>
        <v>0</v>
      </c>
      <c r="AH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194">
        <f t="shared" si="7"/>
        <v>0</v>
      </c>
      <c r="AL25" s="194">
        <f t="shared" si="8"/>
        <v>0</v>
      </c>
    </row>
    <row r="26" spans="2:38" x14ac:dyDescent="0.25">
      <c r="B26" s="192" t="s">
        <v>724</v>
      </c>
      <c r="C26" s="193" t="s">
        <v>723</v>
      </c>
      <c r="D2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5054.1350000000002</v>
      </c>
      <c r="F26" s="194">
        <f t="shared" si="0"/>
        <v>5054.1350000000002</v>
      </c>
      <c r="G26" s="194"/>
      <c r="H26" s="194">
        <f t="shared" si="1"/>
        <v>5054.1350000000002</v>
      </c>
      <c r="I26" s="194"/>
      <c r="J26" s="194">
        <f t="shared" si="2"/>
        <v>5054.1350000000002</v>
      </c>
      <c r="K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5054.1350000000002</v>
      </c>
      <c r="O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5054.1350000000002</v>
      </c>
      <c r="W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194">
        <f t="shared" si="4"/>
        <v>5054.1350000000002</v>
      </c>
      <c r="Z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194">
        <f t="shared" si="5"/>
        <v>0</v>
      </c>
      <c r="AD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194">
        <f t="shared" si="6"/>
        <v>0</v>
      </c>
      <c r="AH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 s="194">
        <f t="shared" si="7"/>
        <v>0</v>
      </c>
      <c r="AL26" s="194">
        <f t="shared" si="8"/>
        <v>5054.1350000000002</v>
      </c>
    </row>
    <row r="27" spans="2:38" x14ac:dyDescent="0.25">
      <c r="B27" s="192" t="s">
        <v>336</v>
      </c>
      <c r="C27" s="193" t="s">
        <v>217</v>
      </c>
      <c r="D2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194">
        <f t="shared" si="0"/>
        <v>0</v>
      </c>
      <c r="G27" s="194"/>
      <c r="H27" s="194">
        <f t="shared" si="1"/>
        <v>0</v>
      </c>
      <c r="I27" s="194"/>
      <c r="J27" s="194">
        <f t="shared" si="2"/>
        <v>0</v>
      </c>
      <c r="K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194">
        <f t="shared" si="4"/>
        <v>0</v>
      </c>
      <c r="Z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194">
        <f t="shared" si="5"/>
        <v>0</v>
      </c>
      <c r="AD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194">
        <f t="shared" si="6"/>
        <v>0</v>
      </c>
      <c r="AH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194">
        <f t="shared" si="7"/>
        <v>0</v>
      </c>
      <c r="AL27" s="194">
        <f t="shared" si="8"/>
        <v>0</v>
      </c>
    </row>
    <row r="28" spans="2:38" x14ac:dyDescent="0.25">
      <c r="B28" s="192" t="s">
        <v>726</v>
      </c>
      <c r="C28" s="193" t="s">
        <v>725</v>
      </c>
      <c r="D2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194">
        <f t="shared" si="0"/>
        <v>0</v>
      </c>
      <c r="G28" s="194"/>
      <c r="H28" s="194">
        <f t="shared" si="1"/>
        <v>0</v>
      </c>
      <c r="I28" s="194"/>
      <c r="J28" s="194">
        <f t="shared" si="2"/>
        <v>0</v>
      </c>
      <c r="K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194">
        <f t="shared" si="4"/>
        <v>0</v>
      </c>
      <c r="Z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194">
        <f t="shared" si="5"/>
        <v>0</v>
      </c>
      <c r="AD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194">
        <f t="shared" si="6"/>
        <v>0</v>
      </c>
      <c r="AH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194">
        <f t="shared" si="7"/>
        <v>0</v>
      </c>
      <c r="AL28" s="194">
        <f t="shared" si="8"/>
        <v>0</v>
      </c>
    </row>
    <row r="29" spans="2:38" x14ac:dyDescent="0.25">
      <c r="B29" s="192" t="s">
        <v>337</v>
      </c>
      <c r="C29" s="193" t="s">
        <v>218</v>
      </c>
      <c r="D2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194">
        <f t="shared" si="0"/>
        <v>0</v>
      </c>
      <c r="G29" s="194"/>
      <c r="H29" s="194">
        <f t="shared" si="1"/>
        <v>0</v>
      </c>
      <c r="I29" s="194"/>
      <c r="J29" s="194">
        <f t="shared" si="2"/>
        <v>0</v>
      </c>
      <c r="K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194">
        <f t="shared" si="4"/>
        <v>0</v>
      </c>
      <c r="Z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194">
        <f t="shared" si="5"/>
        <v>0</v>
      </c>
      <c r="AD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194">
        <f t="shared" si="6"/>
        <v>0</v>
      </c>
      <c r="AH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194">
        <f t="shared" si="7"/>
        <v>0</v>
      </c>
      <c r="AL29" s="194">
        <f t="shared" si="8"/>
        <v>0</v>
      </c>
    </row>
    <row r="30" spans="2:38" x14ac:dyDescent="0.25">
      <c r="B30" s="192" t="s">
        <v>727</v>
      </c>
      <c r="C30" s="193" t="s">
        <v>729</v>
      </c>
      <c r="D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194">
        <f t="shared" si="0"/>
        <v>0</v>
      </c>
      <c r="G30" s="194"/>
      <c r="H30" s="194">
        <f t="shared" si="1"/>
        <v>0</v>
      </c>
      <c r="I30" s="194"/>
      <c r="J30" s="194">
        <f t="shared" si="2"/>
        <v>0</v>
      </c>
      <c r="K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194">
        <f t="shared" si="4"/>
        <v>0</v>
      </c>
      <c r="Z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194">
        <f t="shared" si="5"/>
        <v>0</v>
      </c>
      <c r="AD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194">
        <f t="shared" si="6"/>
        <v>0</v>
      </c>
      <c r="AH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194">
        <f t="shared" si="7"/>
        <v>0</v>
      </c>
      <c r="AL30" s="194">
        <f t="shared" si="8"/>
        <v>0</v>
      </c>
    </row>
    <row r="31" spans="2:38" x14ac:dyDescent="0.25">
      <c r="B31" s="192" t="s">
        <v>728</v>
      </c>
      <c r="C31" s="193" t="s">
        <v>730</v>
      </c>
      <c r="D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194">
        <f t="shared" si="0"/>
        <v>0</v>
      </c>
      <c r="G31" s="194"/>
      <c r="H31" s="194">
        <f t="shared" si="1"/>
        <v>0</v>
      </c>
      <c r="I31" s="194"/>
      <c r="J31" s="194">
        <f t="shared" si="2"/>
        <v>0</v>
      </c>
      <c r="K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194">
        <f t="shared" si="4"/>
        <v>0</v>
      </c>
      <c r="Z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194">
        <f t="shared" si="5"/>
        <v>0</v>
      </c>
      <c r="AD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194">
        <f t="shared" si="6"/>
        <v>0</v>
      </c>
      <c r="AH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194">
        <f t="shared" si="7"/>
        <v>0</v>
      </c>
      <c r="AL31" s="194">
        <f t="shared" si="8"/>
        <v>0</v>
      </c>
    </row>
    <row r="32" spans="2:38" x14ac:dyDescent="0.25">
      <c r="B32" s="192" t="s">
        <v>732</v>
      </c>
      <c r="C32" s="193" t="s">
        <v>731</v>
      </c>
      <c r="D3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194">
        <f t="shared" si="0"/>
        <v>0</v>
      </c>
      <c r="G32" s="194"/>
      <c r="H32" s="194">
        <f t="shared" si="1"/>
        <v>0</v>
      </c>
      <c r="I32" s="194"/>
      <c r="J32" s="194">
        <f t="shared" si="2"/>
        <v>0</v>
      </c>
      <c r="K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194">
        <f t="shared" si="4"/>
        <v>0</v>
      </c>
      <c r="Z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194">
        <f t="shared" si="5"/>
        <v>0</v>
      </c>
      <c r="AD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194">
        <f t="shared" si="6"/>
        <v>0</v>
      </c>
      <c r="AH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194">
        <f t="shared" si="7"/>
        <v>0</v>
      </c>
      <c r="AL32" s="194">
        <f t="shared" si="8"/>
        <v>0</v>
      </c>
    </row>
    <row r="33" spans="2:38" x14ac:dyDescent="0.25">
      <c r="B33" s="192" t="s">
        <v>329</v>
      </c>
      <c r="C33" s="193" t="s">
        <v>219</v>
      </c>
      <c r="D3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194">
        <f t="shared" si="0"/>
        <v>0</v>
      </c>
      <c r="G33" s="194"/>
      <c r="H33" s="194">
        <f t="shared" si="1"/>
        <v>0</v>
      </c>
      <c r="I33" s="194"/>
      <c r="J33" s="194">
        <f t="shared" si="2"/>
        <v>0</v>
      </c>
      <c r="K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194">
        <f t="shared" si="4"/>
        <v>0</v>
      </c>
      <c r="Z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194">
        <f t="shared" si="5"/>
        <v>0</v>
      </c>
      <c r="AD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194">
        <f t="shared" si="6"/>
        <v>0</v>
      </c>
      <c r="AH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194">
        <f t="shared" si="7"/>
        <v>0</v>
      </c>
      <c r="AL33" s="194">
        <f t="shared" si="8"/>
        <v>0</v>
      </c>
    </row>
    <row r="34" spans="2:38" x14ac:dyDescent="0.25">
      <c r="B34" s="192" t="s">
        <v>747</v>
      </c>
      <c r="C34" s="193" t="s">
        <v>748</v>
      </c>
      <c r="D3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194">
        <f t="shared" si="0"/>
        <v>0</v>
      </c>
      <c r="G34" s="194"/>
      <c r="H34" s="194">
        <f t="shared" si="1"/>
        <v>0</v>
      </c>
      <c r="I34" s="194"/>
      <c r="J34" s="194">
        <f t="shared" si="2"/>
        <v>0</v>
      </c>
      <c r="K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194">
        <f t="shared" si="4"/>
        <v>0</v>
      </c>
      <c r="Z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194">
        <f t="shared" si="5"/>
        <v>0</v>
      </c>
      <c r="AD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194">
        <f t="shared" si="6"/>
        <v>0</v>
      </c>
      <c r="AH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194">
        <f t="shared" si="7"/>
        <v>0</v>
      </c>
      <c r="AL34" s="194">
        <f t="shared" si="8"/>
        <v>0</v>
      </c>
    </row>
    <row r="35" spans="2:38" x14ac:dyDescent="0.25">
      <c r="B35" s="201" t="s">
        <v>338</v>
      </c>
      <c r="C35" s="202" t="s">
        <v>220</v>
      </c>
      <c r="D35" s="203">
        <f>SUM(D36:D59)</f>
        <v>0</v>
      </c>
      <c r="E35" s="203">
        <f>SUM(E36:E59)</f>
        <v>751299.24</v>
      </c>
      <c r="F35" s="203">
        <f t="shared" si="0"/>
        <v>751299.24</v>
      </c>
      <c r="G35" s="203">
        <f>SUM(G36:G59)</f>
        <v>0</v>
      </c>
      <c r="H35" s="203">
        <f t="shared" si="1"/>
        <v>751299.24</v>
      </c>
      <c r="I35" s="203">
        <f t="shared" ref="I35:X35" si="10">SUM(I36:I59)</f>
        <v>0</v>
      </c>
      <c r="J35" s="203">
        <f t="shared" si="10"/>
        <v>751299.24</v>
      </c>
      <c r="K35" s="203">
        <f t="shared" si="10"/>
        <v>0</v>
      </c>
      <c r="L35" s="203">
        <f t="shared" si="10"/>
        <v>0</v>
      </c>
      <c r="M35" s="203">
        <f t="shared" si="10"/>
        <v>0</v>
      </c>
      <c r="N35" s="203">
        <f t="shared" si="10"/>
        <v>751299.24</v>
      </c>
      <c r="O35" s="203">
        <f t="shared" si="10"/>
        <v>0</v>
      </c>
      <c r="P35" s="203">
        <f t="shared" si="10"/>
        <v>0</v>
      </c>
      <c r="Q35" s="203">
        <f t="shared" si="10"/>
        <v>0</v>
      </c>
      <c r="R35" s="203">
        <f t="shared" si="10"/>
        <v>0</v>
      </c>
      <c r="S35" s="203">
        <f t="shared" si="10"/>
        <v>0</v>
      </c>
      <c r="T35" s="203">
        <f t="shared" si="10"/>
        <v>0</v>
      </c>
      <c r="U35" s="203">
        <f t="shared" si="10"/>
        <v>0</v>
      </c>
      <c r="V35" s="203">
        <f t="shared" si="10"/>
        <v>121299.24</v>
      </c>
      <c r="W35" s="203">
        <f t="shared" si="10"/>
        <v>630000</v>
      </c>
      <c r="X35" s="203">
        <f t="shared" si="10"/>
        <v>0</v>
      </c>
      <c r="Y35" s="203">
        <f t="shared" si="4"/>
        <v>751299.24</v>
      </c>
      <c r="Z35" s="203">
        <f>SUM(Z36:Z59)</f>
        <v>0</v>
      </c>
      <c r="AA35" s="203">
        <f>SUM(AA36:AA59)</f>
        <v>0</v>
      </c>
      <c r="AB35" s="203">
        <f>SUM(AB36:AB59)</f>
        <v>0</v>
      </c>
      <c r="AC35" s="203">
        <f t="shared" si="5"/>
        <v>0</v>
      </c>
      <c r="AD35" s="203">
        <f>SUM(AD36:AD59)</f>
        <v>0</v>
      </c>
      <c r="AE35" s="203">
        <f>SUM(AE36:AE59)</f>
        <v>0</v>
      </c>
      <c r="AF35" s="203">
        <f>SUM(AF36:AF59)</f>
        <v>0</v>
      </c>
      <c r="AG35" s="203">
        <f t="shared" si="6"/>
        <v>0</v>
      </c>
      <c r="AH35" s="203">
        <f>SUM(AH36:AH59)</f>
        <v>0</v>
      </c>
      <c r="AI35" s="203">
        <f>SUM(AI36:AI59)</f>
        <v>0</v>
      </c>
      <c r="AJ35" s="203">
        <f>SUM(AJ36:AJ59)</f>
        <v>0</v>
      </c>
      <c r="AK35" s="203">
        <f t="shared" si="7"/>
        <v>0</v>
      </c>
      <c r="AL35" s="203">
        <f t="shared" si="8"/>
        <v>751299.24</v>
      </c>
    </row>
    <row r="36" spans="2:38" x14ac:dyDescent="0.25">
      <c r="B36" s="192" t="s">
        <v>749</v>
      </c>
      <c r="C36" s="193" t="s">
        <v>750</v>
      </c>
      <c r="D3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121299.24</v>
      </c>
      <c r="F36" s="194">
        <f t="shared" si="0"/>
        <v>121299.24</v>
      </c>
      <c r="G36" s="194"/>
      <c r="H36" s="194">
        <f t="shared" si="1"/>
        <v>121299.24</v>
      </c>
      <c r="I36" s="194"/>
      <c r="J36" s="194">
        <f>F36-I36</f>
        <v>121299.24</v>
      </c>
      <c r="K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121299.24</v>
      </c>
      <c r="O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121299.24</v>
      </c>
      <c r="W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194">
        <f t="shared" si="4"/>
        <v>121299.24</v>
      </c>
      <c r="Z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194">
        <f t="shared" si="5"/>
        <v>0</v>
      </c>
      <c r="AD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194">
        <f t="shared" si="6"/>
        <v>0</v>
      </c>
      <c r="AH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194">
        <f t="shared" si="7"/>
        <v>0</v>
      </c>
      <c r="AL36" s="194">
        <f t="shared" si="8"/>
        <v>121299.24</v>
      </c>
    </row>
    <row r="37" spans="2:38" x14ac:dyDescent="0.25">
      <c r="B37" s="192" t="s">
        <v>339</v>
      </c>
      <c r="C37" s="193" t="s">
        <v>221</v>
      </c>
      <c r="D3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194">
        <f t="shared" si="0"/>
        <v>0</v>
      </c>
      <c r="G37" s="194"/>
      <c r="H37" s="194">
        <f t="shared" si="1"/>
        <v>0</v>
      </c>
      <c r="I37" s="194"/>
      <c r="J37" s="194">
        <f>F37-I37</f>
        <v>0</v>
      </c>
      <c r="K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194">
        <f t="shared" si="4"/>
        <v>0</v>
      </c>
      <c r="Z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194">
        <f t="shared" si="5"/>
        <v>0</v>
      </c>
      <c r="AD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194">
        <f t="shared" si="6"/>
        <v>0</v>
      </c>
      <c r="AH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194">
        <f t="shared" si="7"/>
        <v>0</v>
      </c>
      <c r="AL37" s="194">
        <f t="shared" si="8"/>
        <v>0</v>
      </c>
    </row>
    <row r="38" spans="2:38" x14ac:dyDescent="0.25">
      <c r="B38" s="192" t="s">
        <v>751</v>
      </c>
      <c r="C38" s="193" t="s">
        <v>752</v>
      </c>
      <c r="D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194">
        <f t="shared" si="0"/>
        <v>0</v>
      </c>
      <c r="G38" s="194"/>
      <c r="H38" s="194">
        <f t="shared" si="1"/>
        <v>0</v>
      </c>
      <c r="I38" s="194"/>
      <c r="J38" s="194">
        <f>F38-I38</f>
        <v>0</v>
      </c>
      <c r="K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194">
        <f t="shared" si="4"/>
        <v>0</v>
      </c>
      <c r="Z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194">
        <f t="shared" si="5"/>
        <v>0</v>
      </c>
      <c r="AD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194">
        <f t="shared" si="6"/>
        <v>0</v>
      </c>
      <c r="AH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194">
        <f t="shared" si="7"/>
        <v>0</v>
      </c>
      <c r="AL38" s="194">
        <f t="shared" si="8"/>
        <v>0</v>
      </c>
    </row>
    <row r="39" spans="2:38" x14ac:dyDescent="0.25">
      <c r="B39" s="192" t="s">
        <v>753</v>
      </c>
      <c r="C39" s="193" t="s">
        <v>754</v>
      </c>
      <c r="D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194">
        <f t="shared" ref="F39:F59" si="11">D39+E39</f>
        <v>0</v>
      </c>
      <c r="G39" s="194"/>
      <c r="H39" s="194">
        <f t="shared" ref="H39:H59" si="12">F39-G39</f>
        <v>0</v>
      </c>
      <c r="I39" s="194"/>
      <c r="J39" s="194">
        <f t="shared" ref="J39:J59" si="13">F39-I39</f>
        <v>0</v>
      </c>
      <c r="K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194">
        <f t="shared" ref="Y39:Y59" si="14">V39+W39+X39</f>
        <v>0</v>
      </c>
      <c r="Z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194">
        <f t="shared" ref="AC39:AC59" si="15">Z39+AA39+AB39</f>
        <v>0</v>
      </c>
      <c r="AD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194">
        <f t="shared" ref="AG39:AG59" si="16">AD39+AE39+AF39</f>
        <v>0</v>
      </c>
      <c r="AH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194">
        <f t="shared" ref="AK39:AK59" si="17">AH39+AI39+AJ39</f>
        <v>0</v>
      </c>
      <c r="AL39" s="194">
        <f t="shared" ref="AL39:AL59" si="18">Y39+AC39+AG39+AK39</f>
        <v>0</v>
      </c>
    </row>
    <row r="40" spans="2:38" x14ac:dyDescent="0.25">
      <c r="B40" s="192" t="s">
        <v>340</v>
      </c>
      <c r="C40" s="193" t="s">
        <v>222</v>
      </c>
      <c r="D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194">
        <f t="shared" si="11"/>
        <v>0</v>
      </c>
      <c r="G40" s="194"/>
      <c r="H40" s="194">
        <f t="shared" si="12"/>
        <v>0</v>
      </c>
      <c r="I40" s="194"/>
      <c r="J40" s="194">
        <f t="shared" si="13"/>
        <v>0</v>
      </c>
      <c r="K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194">
        <f t="shared" si="14"/>
        <v>0</v>
      </c>
      <c r="Z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194">
        <f t="shared" si="15"/>
        <v>0</v>
      </c>
      <c r="AD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194">
        <f t="shared" si="16"/>
        <v>0</v>
      </c>
      <c r="AH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194">
        <f t="shared" si="17"/>
        <v>0</v>
      </c>
      <c r="AL40" s="194">
        <f t="shared" si="18"/>
        <v>0</v>
      </c>
    </row>
    <row r="41" spans="2:38" x14ac:dyDescent="0.25">
      <c r="B41" s="192" t="s">
        <v>755</v>
      </c>
      <c r="C41" s="193" t="s">
        <v>756</v>
      </c>
      <c r="D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194">
        <f>D41+E41</f>
        <v>0</v>
      </c>
      <c r="G41" s="194"/>
      <c r="H41" s="194">
        <f>F41-G41</f>
        <v>0</v>
      </c>
      <c r="I41" s="194"/>
      <c r="J41" s="194">
        <f>F41-I41</f>
        <v>0</v>
      </c>
      <c r="K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194">
        <f>V41+W41+X41</f>
        <v>0</v>
      </c>
      <c r="Z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194">
        <f>Z41+AA41+AB41</f>
        <v>0</v>
      </c>
      <c r="AD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194">
        <f>AD41+AE41+AF41</f>
        <v>0</v>
      </c>
      <c r="AH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194">
        <f>AH41+AI41+AJ41</f>
        <v>0</v>
      </c>
      <c r="AL41" s="194">
        <f>Y41+AC41+AG41+AK41</f>
        <v>0</v>
      </c>
    </row>
    <row r="42" spans="2:38" x14ac:dyDescent="0.25">
      <c r="B42" s="192" t="s">
        <v>757</v>
      </c>
      <c r="C42" s="193" t="s">
        <v>723</v>
      </c>
      <c r="D4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194">
        <f t="shared" si="11"/>
        <v>0</v>
      </c>
      <c r="G42" s="194"/>
      <c r="H42" s="194">
        <f t="shared" si="12"/>
        <v>0</v>
      </c>
      <c r="I42" s="194"/>
      <c r="J42" s="194">
        <f t="shared" si="13"/>
        <v>0</v>
      </c>
      <c r="K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194">
        <f t="shared" si="14"/>
        <v>0</v>
      </c>
      <c r="Z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194">
        <f t="shared" si="15"/>
        <v>0</v>
      </c>
      <c r="AD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194">
        <f t="shared" si="16"/>
        <v>0</v>
      </c>
      <c r="AH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194">
        <f t="shared" si="17"/>
        <v>0</v>
      </c>
      <c r="AL42" s="194">
        <f t="shared" si="18"/>
        <v>0</v>
      </c>
    </row>
    <row r="43" spans="2:38" x14ac:dyDescent="0.25">
      <c r="B43" s="192" t="s">
        <v>341</v>
      </c>
      <c r="C43" s="193" t="s">
        <v>223</v>
      </c>
      <c r="D4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194">
        <f>D43+E43</f>
        <v>0</v>
      </c>
      <c r="G43" s="194"/>
      <c r="H43" s="194">
        <f>F43-G43</f>
        <v>0</v>
      </c>
      <c r="I43" s="194"/>
      <c r="J43" s="194">
        <f>F43-I43</f>
        <v>0</v>
      </c>
      <c r="K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194">
        <f>V43+W43+X43</f>
        <v>0</v>
      </c>
      <c r="Z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194">
        <f>Z43+AA43+AB43</f>
        <v>0</v>
      </c>
      <c r="AD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194">
        <f>AD43+AE43+AF43</f>
        <v>0</v>
      </c>
      <c r="AH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194">
        <f>AH43+AI43+AJ43</f>
        <v>0</v>
      </c>
      <c r="AL43" s="194">
        <f>Y43+AC43+AG43+AK43</f>
        <v>0</v>
      </c>
    </row>
    <row r="44" spans="2:38" x14ac:dyDescent="0.25">
      <c r="B44" s="192" t="s">
        <v>758</v>
      </c>
      <c r="C44" s="193" t="s">
        <v>759</v>
      </c>
      <c r="D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194">
        <f t="shared" si="11"/>
        <v>0</v>
      </c>
      <c r="G44" s="194"/>
      <c r="H44" s="194">
        <f t="shared" si="12"/>
        <v>0</v>
      </c>
      <c r="I44" s="194"/>
      <c r="J44" s="194">
        <f t="shared" si="13"/>
        <v>0</v>
      </c>
      <c r="K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194">
        <f t="shared" si="14"/>
        <v>0</v>
      </c>
      <c r="Z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194">
        <f t="shared" si="15"/>
        <v>0</v>
      </c>
      <c r="AD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194">
        <f t="shared" si="16"/>
        <v>0</v>
      </c>
      <c r="AH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194">
        <f t="shared" si="17"/>
        <v>0</v>
      </c>
      <c r="AL44" s="194">
        <f t="shared" si="18"/>
        <v>0</v>
      </c>
    </row>
    <row r="45" spans="2:38" x14ac:dyDescent="0.25">
      <c r="B45" s="192" t="s">
        <v>760</v>
      </c>
      <c r="C45" s="193" t="s">
        <v>730</v>
      </c>
      <c r="D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194">
        <f>D45+E45</f>
        <v>0</v>
      </c>
      <c r="G45" s="194"/>
      <c r="H45" s="194">
        <f>F45-G45</f>
        <v>0</v>
      </c>
      <c r="I45" s="194"/>
      <c r="J45" s="194">
        <f>F45-I45</f>
        <v>0</v>
      </c>
      <c r="K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194">
        <f>V45+W45+X45</f>
        <v>0</v>
      </c>
      <c r="Z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194">
        <f>Z45+AA45+AB45</f>
        <v>0</v>
      </c>
      <c r="AD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194">
        <f>AD45+AE45+AF45</f>
        <v>0</v>
      </c>
      <c r="AH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194">
        <f>AH45+AI45+AJ45</f>
        <v>0</v>
      </c>
      <c r="AL45" s="194">
        <f>Y45+AC45+AG45+AK45</f>
        <v>0</v>
      </c>
    </row>
    <row r="46" spans="2:38" x14ac:dyDescent="0.25">
      <c r="B46" s="192" t="s">
        <v>761</v>
      </c>
      <c r="C46" s="193" t="s">
        <v>731</v>
      </c>
      <c r="D4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194">
        <f t="shared" si="11"/>
        <v>0</v>
      </c>
      <c r="G46" s="194"/>
      <c r="H46" s="194">
        <f t="shared" si="12"/>
        <v>0</v>
      </c>
      <c r="I46" s="194"/>
      <c r="J46" s="194">
        <f t="shared" si="13"/>
        <v>0</v>
      </c>
      <c r="K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194">
        <f t="shared" si="14"/>
        <v>0</v>
      </c>
      <c r="Z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194">
        <f t="shared" si="15"/>
        <v>0</v>
      </c>
      <c r="AD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194">
        <f t="shared" si="16"/>
        <v>0</v>
      </c>
      <c r="AH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194">
        <f t="shared" si="17"/>
        <v>0</v>
      </c>
      <c r="AL46" s="194">
        <f t="shared" si="18"/>
        <v>0</v>
      </c>
    </row>
    <row r="47" spans="2:38" x14ac:dyDescent="0.25">
      <c r="B47" s="192" t="s">
        <v>762</v>
      </c>
      <c r="C47" s="193" t="s">
        <v>763</v>
      </c>
      <c r="D4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194">
        <f>D47+E47</f>
        <v>0</v>
      </c>
      <c r="G47" s="194"/>
      <c r="H47" s="194">
        <f>F47-G47</f>
        <v>0</v>
      </c>
      <c r="I47" s="194"/>
      <c r="J47" s="194">
        <f>F47-I47</f>
        <v>0</v>
      </c>
      <c r="K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194">
        <f>V47+W47+X47</f>
        <v>0</v>
      </c>
      <c r="Z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194">
        <f>Z47+AA47+AB47</f>
        <v>0</v>
      </c>
      <c r="AD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194">
        <f>AD47+AE47+AF47</f>
        <v>0</v>
      </c>
      <c r="AH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194">
        <f>AH47+AI47+AJ47</f>
        <v>0</v>
      </c>
      <c r="AL47" s="194">
        <f>Y47+AC47+AG47+AK47</f>
        <v>0</v>
      </c>
    </row>
    <row r="48" spans="2:38" x14ac:dyDescent="0.25">
      <c r="B48" s="192" t="s">
        <v>764</v>
      </c>
      <c r="C48" s="193" t="s">
        <v>765</v>
      </c>
      <c r="D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194">
        <f t="shared" si="11"/>
        <v>0</v>
      </c>
      <c r="G48" s="194"/>
      <c r="H48" s="194">
        <f t="shared" si="12"/>
        <v>0</v>
      </c>
      <c r="I48" s="194"/>
      <c r="J48" s="194">
        <f t="shared" si="13"/>
        <v>0</v>
      </c>
      <c r="K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194">
        <f t="shared" si="14"/>
        <v>0</v>
      </c>
      <c r="Z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194">
        <f t="shared" si="15"/>
        <v>0</v>
      </c>
      <c r="AD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194">
        <f t="shared" si="16"/>
        <v>0</v>
      </c>
      <c r="AH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194">
        <f t="shared" si="17"/>
        <v>0</v>
      </c>
      <c r="AL48" s="194">
        <f t="shared" si="18"/>
        <v>0</v>
      </c>
    </row>
    <row r="49" spans="2:38" x14ac:dyDescent="0.25">
      <c r="B49" s="192" t="s">
        <v>766</v>
      </c>
      <c r="C49" s="193" t="s">
        <v>738</v>
      </c>
      <c r="D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194">
        <f>D49+E49</f>
        <v>0</v>
      </c>
      <c r="G49" s="194"/>
      <c r="H49" s="194">
        <f>F49-G49</f>
        <v>0</v>
      </c>
      <c r="I49" s="194"/>
      <c r="J49" s="194">
        <f>F49-I49</f>
        <v>0</v>
      </c>
      <c r="K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194">
        <f>V49+W49+X49</f>
        <v>0</v>
      </c>
      <c r="Z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194">
        <f>Z49+AA49+AB49</f>
        <v>0</v>
      </c>
      <c r="AD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194">
        <f>AD49+AE49+AF49</f>
        <v>0</v>
      </c>
      <c r="AH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194">
        <f>AH49+AI49+AJ49</f>
        <v>0</v>
      </c>
      <c r="AL49" s="194">
        <f>Y49+AC49+AG49+AK49</f>
        <v>0</v>
      </c>
    </row>
    <row r="50" spans="2:38" x14ac:dyDescent="0.25">
      <c r="B50" s="192" t="s">
        <v>767</v>
      </c>
      <c r="C50" s="193" t="s">
        <v>768</v>
      </c>
      <c r="D5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194">
        <f t="shared" si="11"/>
        <v>0</v>
      </c>
      <c r="G50" s="194"/>
      <c r="H50" s="194">
        <f t="shared" si="12"/>
        <v>0</v>
      </c>
      <c r="I50" s="194"/>
      <c r="J50" s="194">
        <f t="shared" si="13"/>
        <v>0</v>
      </c>
      <c r="K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194">
        <f t="shared" si="14"/>
        <v>0</v>
      </c>
      <c r="Z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194">
        <f t="shared" si="15"/>
        <v>0</v>
      </c>
      <c r="AD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194">
        <f t="shared" si="16"/>
        <v>0</v>
      </c>
      <c r="AH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194">
        <f t="shared" si="17"/>
        <v>0</v>
      </c>
      <c r="AL50" s="194">
        <f t="shared" si="18"/>
        <v>0</v>
      </c>
    </row>
    <row r="51" spans="2:38" x14ac:dyDescent="0.25">
      <c r="B51" s="192" t="s">
        <v>342</v>
      </c>
      <c r="C51" s="193" t="s">
        <v>224</v>
      </c>
      <c r="D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 s="194">
        <f t="shared" si="11"/>
        <v>0</v>
      </c>
      <c r="G51" s="194"/>
      <c r="H51" s="194">
        <f t="shared" si="12"/>
        <v>0</v>
      </c>
      <c r="I51" s="194"/>
      <c r="J51" s="194">
        <f t="shared" si="13"/>
        <v>0</v>
      </c>
      <c r="K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194">
        <f t="shared" si="14"/>
        <v>0</v>
      </c>
      <c r="Z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194">
        <f t="shared" si="15"/>
        <v>0</v>
      </c>
      <c r="AD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194">
        <f t="shared" si="16"/>
        <v>0</v>
      </c>
      <c r="AH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194">
        <f t="shared" si="17"/>
        <v>0</v>
      </c>
      <c r="AL51" s="194">
        <f t="shared" si="18"/>
        <v>0</v>
      </c>
    </row>
    <row r="52" spans="2:38" x14ac:dyDescent="0.25">
      <c r="B52" s="192" t="s">
        <v>769</v>
      </c>
      <c r="C52" s="193" t="s">
        <v>770</v>
      </c>
      <c r="D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 s="194">
        <f>D52+E52</f>
        <v>0</v>
      </c>
      <c r="G52" s="194"/>
      <c r="H52" s="194">
        <f>F52-G52</f>
        <v>0</v>
      </c>
      <c r="I52" s="194"/>
      <c r="J52" s="194">
        <f>F52-I52</f>
        <v>0</v>
      </c>
      <c r="K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194">
        <f>V52+W52+X52</f>
        <v>0</v>
      </c>
      <c r="Z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194">
        <f>Z52+AA52+AB52</f>
        <v>0</v>
      </c>
      <c r="AD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194">
        <f>AD52+AE52+AF52</f>
        <v>0</v>
      </c>
      <c r="AH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194">
        <f>AH52+AI52+AJ52</f>
        <v>0</v>
      </c>
      <c r="AL52" s="194">
        <f>Y52+AC52+AG52+AK52</f>
        <v>0</v>
      </c>
    </row>
    <row r="53" spans="2:38" x14ac:dyDescent="0.25">
      <c r="B53" s="192" t="s">
        <v>771</v>
      </c>
      <c r="C53" s="193" t="s">
        <v>772</v>
      </c>
      <c r="D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194">
        <f t="shared" si="11"/>
        <v>0</v>
      </c>
      <c r="G53" s="194"/>
      <c r="H53" s="194">
        <f t="shared" si="12"/>
        <v>0</v>
      </c>
      <c r="I53" s="194"/>
      <c r="J53" s="194">
        <f t="shared" si="13"/>
        <v>0</v>
      </c>
      <c r="K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194">
        <f t="shared" si="14"/>
        <v>0</v>
      </c>
      <c r="Z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194">
        <f t="shared" si="15"/>
        <v>0</v>
      </c>
      <c r="AD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194">
        <f t="shared" si="16"/>
        <v>0</v>
      </c>
      <c r="AH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194">
        <f t="shared" si="17"/>
        <v>0</v>
      </c>
      <c r="AL53" s="194">
        <f t="shared" si="18"/>
        <v>0</v>
      </c>
    </row>
    <row r="54" spans="2:38" x14ac:dyDescent="0.25">
      <c r="B54" s="192" t="s">
        <v>773</v>
      </c>
      <c r="C54" s="193" t="s">
        <v>774</v>
      </c>
      <c r="D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194">
        <f>D54+E54</f>
        <v>0</v>
      </c>
      <c r="G54" s="194"/>
      <c r="H54" s="194">
        <f>F54-G54</f>
        <v>0</v>
      </c>
      <c r="I54" s="194"/>
      <c r="J54" s="194">
        <f>F54-I54</f>
        <v>0</v>
      </c>
      <c r="K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194">
        <f>V54+W54+X54</f>
        <v>0</v>
      </c>
      <c r="Z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194">
        <f>Z54+AA54+AB54</f>
        <v>0</v>
      </c>
      <c r="AD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194">
        <f>AD54+AE54+AF54</f>
        <v>0</v>
      </c>
      <c r="AH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194">
        <f>AH54+AI54+AJ54</f>
        <v>0</v>
      </c>
      <c r="AL54" s="194">
        <f>Y54+AC54+AG54+AK54</f>
        <v>0</v>
      </c>
    </row>
    <row r="55" spans="2:38" x14ac:dyDescent="0.25">
      <c r="B55" s="192" t="s">
        <v>775</v>
      </c>
      <c r="C55" s="193" t="s">
        <v>776</v>
      </c>
      <c r="D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194">
        <f t="shared" si="11"/>
        <v>0</v>
      </c>
      <c r="G55" s="194"/>
      <c r="H55" s="194">
        <f t="shared" si="12"/>
        <v>0</v>
      </c>
      <c r="I55" s="194"/>
      <c r="J55" s="194">
        <f t="shared" si="13"/>
        <v>0</v>
      </c>
      <c r="K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194">
        <f t="shared" si="14"/>
        <v>0</v>
      </c>
      <c r="Z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194">
        <f t="shared" si="15"/>
        <v>0</v>
      </c>
      <c r="AD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194">
        <f t="shared" si="16"/>
        <v>0</v>
      </c>
      <c r="AH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194">
        <f t="shared" si="17"/>
        <v>0</v>
      </c>
      <c r="AL55" s="194">
        <f t="shared" si="18"/>
        <v>0</v>
      </c>
    </row>
    <row r="56" spans="2:38" x14ac:dyDescent="0.25">
      <c r="B56" s="192" t="s">
        <v>777</v>
      </c>
      <c r="C56" s="193" t="s">
        <v>778</v>
      </c>
      <c r="D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194">
        <f>D56+E56</f>
        <v>0</v>
      </c>
      <c r="G56" s="194"/>
      <c r="H56" s="194">
        <f>F56-G56</f>
        <v>0</v>
      </c>
      <c r="I56" s="194"/>
      <c r="J56" s="194">
        <f>F56-I56</f>
        <v>0</v>
      </c>
      <c r="K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194">
        <f>V56+W56+X56</f>
        <v>0</v>
      </c>
      <c r="Z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194">
        <f>Z56+AA56+AB56</f>
        <v>0</v>
      </c>
      <c r="AD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194">
        <f>AD56+AE56+AF56</f>
        <v>0</v>
      </c>
      <c r="AH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194">
        <f>AH56+AI56+AJ56</f>
        <v>0</v>
      </c>
      <c r="AL56" s="194">
        <f>Y56+AC56+AG56+AK56</f>
        <v>0</v>
      </c>
    </row>
    <row r="57" spans="2:38" x14ac:dyDescent="0.25">
      <c r="B57" s="192" t="s">
        <v>779</v>
      </c>
      <c r="C57" s="193" t="s">
        <v>780</v>
      </c>
      <c r="D5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630000</v>
      </c>
      <c r="F57" s="194">
        <f t="shared" si="11"/>
        <v>630000</v>
      </c>
      <c r="G57" s="194"/>
      <c r="H57" s="194">
        <f t="shared" si="12"/>
        <v>630000</v>
      </c>
      <c r="I57" s="194"/>
      <c r="J57" s="194">
        <f t="shared" si="13"/>
        <v>630000</v>
      </c>
      <c r="K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630000</v>
      </c>
      <c r="O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630000</v>
      </c>
      <c r="X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194">
        <f t="shared" si="14"/>
        <v>630000</v>
      </c>
      <c r="Z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194">
        <f t="shared" si="15"/>
        <v>0</v>
      </c>
      <c r="AD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194">
        <f t="shared" si="16"/>
        <v>0</v>
      </c>
      <c r="AH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194">
        <f t="shared" si="17"/>
        <v>0</v>
      </c>
      <c r="AL57" s="194">
        <f t="shared" si="18"/>
        <v>630000</v>
      </c>
    </row>
    <row r="58" spans="2:38" x14ac:dyDescent="0.25">
      <c r="B58" s="192" t="s">
        <v>781</v>
      </c>
      <c r="C58" s="193" t="s">
        <v>782</v>
      </c>
      <c r="D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194">
        <f>D58+E58</f>
        <v>0</v>
      </c>
      <c r="G58" s="194"/>
      <c r="H58" s="194">
        <f>F58-G58</f>
        <v>0</v>
      </c>
      <c r="I58" s="194"/>
      <c r="J58" s="194">
        <f>F58-I58</f>
        <v>0</v>
      </c>
      <c r="K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194">
        <f>V58+W58+X58</f>
        <v>0</v>
      </c>
      <c r="Z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194">
        <f>Z58+AA58+AB58</f>
        <v>0</v>
      </c>
      <c r="AD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194">
        <f>AD58+AE58+AF58</f>
        <v>0</v>
      </c>
      <c r="AH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194">
        <f>AH58+AI58+AJ58</f>
        <v>0</v>
      </c>
      <c r="AL58" s="194">
        <f>Y58+AC58+AG58+AK58</f>
        <v>0</v>
      </c>
    </row>
    <row r="59" spans="2:38" x14ac:dyDescent="0.25">
      <c r="B59" s="192" t="s">
        <v>783</v>
      </c>
      <c r="C59" s="193" t="s">
        <v>784</v>
      </c>
      <c r="D5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194">
        <f t="shared" si="11"/>
        <v>0</v>
      </c>
      <c r="G59" s="194"/>
      <c r="H59" s="194">
        <f t="shared" si="12"/>
        <v>0</v>
      </c>
      <c r="I59" s="194"/>
      <c r="J59" s="194">
        <f t="shared" si="13"/>
        <v>0</v>
      </c>
      <c r="K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194">
        <f t="shared" si="14"/>
        <v>0</v>
      </c>
      <c r="Z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194">
        <f t="shared" si="15"/>
        <v>0</v>
      </c>
      <c r="AD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194">
        <f t="shared" si="16"/>
        <v>0</v>
      </c>
      <c r="AH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194">
        <f t="shared" si="17"/>
        <v>0</v>
      </c>
      <c r="AL59" s="194">
        <f t="shared" si="18"/>
        <v>0</v>
      </c>
    </row>
    <row r="60" spans="2:38" x14ac:dyDescent="0.25">
      <c r="B60" s="201" t="s">
        <v>343</v>
      </c>
      <c r="C60" s="202" t="s">
        <v>225</v>
      </c>
      <c r="D60" s="203">
        <f>SUM(D61:D65)</f>
        <v>0</v>
      </c>
      <c r="E60" s="203">
        <f>SUM(E61:E65)</f>
        <v>0</v>
      </c>
      <c r="F60" s="203">
        <f t="shared" ref="F60:F66" si="19">D60+E60</f>
        <v>0</v>
      </c>
      <c r="G60" s="203">
        <f>SUM(G61:G65)</f>
        <v>0</v>
      </c>
      <c r="H60" s="203">
        <f t="shared" ref="H60:H66" si="20">F60-G60</f>
        <v>0</v>
      </c>
      <c r="I60" s="203">
        <f>SUM(I61:I65)</f>
        <v>0</v>
      </c>
      <c r="J60" s="203">
        <f t="shared" ref="J60:J66" si="21">F60-I60</f>
        <v>0</v>
      </c>
      <c r="K60" s="203">
        <f t="shared" ref="K60:X60" si="22">SUM(K61:K65)</f>
        <v>0</v>
      </c>
      <c r="L60" s="203">
        <f t="shared" si="22"/>
        <v>0</v>
      </c>
      <c r="M60" s="203">
        <f t="shared" si="22"/>
        <v>0</v>
      </c>
      <c r="N60" s="203">
        <f t="shared" si="22"/>
        <v>0</v>
      </c>
      <c r="O60" s="203">
        <f t="shared" si="22"/>
        <v>0</v>
      </c>
      <c r="P60" s="203">
        <f t="shared" si="22"/>
        <v>0</v>
      </c>
      <c r="Q60" s="203">
        <f t="shared" si="22"/>
        <v>0</v>
      </c>
      <c r="R60" s="203">
        <f t="shared" si="22"/>
        <v>0</v>
      </c>
      <c r="S60" s="203">
        <f t="shared" si="22"/>
        <v>0</v>
      </c>
      <c r="T60" s="203">
        <f t="shared" si="22"/>
        <v>0</v>
      </c>
      <c r="U60" s="203">
        <f t="shared" si="22"/>
        <v>0</v>
      </c>
      <c r="V60" s="203">
        <f t="shared" si="22"/>
        <v>0</v>
      </c>
      <c r="W60" s="203">
        <f t="shared" si="22"/>
        <v>0</v>
      </c>
      <c r="X60" s="203">
        <f t="shared" si="22"/>
        <v>0</v>
      </c>
      <c r="Y60" s="203">
        <f t="shared" ref="Y60:Y66" si="23">V60+W60+X60</f>
        <v>0</v>
      </c>
      <c r="Z60" s="203">
        <f>SUM(Z61:Z65)</f>
        <v>0</v>
      </c>
      <c r="AA60" s="203">
        <f>SUM(AA61:AA65)</f>
        <v>0</v>
      </c>
      <c r="AB60" s="203">
        <f>SUM(AB61:AB65)</f>
        <v>0</v>
      </c>
      <c r="AC60" s="203">
        <f t="shared" ref="AC60:AC66" si="24">Z60+AA60+AB60</f>
        <v>0</v>
      </c>
      <c r="AD60" s="203">
        <f>SUM(AD61:AD65)</f>
        <v>0</v>
      </c>
      <c r="AE60" s="203">
        <f>SUM(AE61:AE65)</f>
        <v>0</v>
      </c>
      <c r="AF60" s="203">
        <f>SUM(AF61:AF65)</f>
        <v>0</v>
      </c>
      <c r="AG60" s="203">
        <f t="shared" ref="AG60:AG66" si="25">AD60+AE60+AF60</f>
        <v>0</v>
      </c>
      <c r="AH60" s="203">
        <f>SUM(AH61:AH65)</f>
        <v>0</v>
      </c>
      <c r="AI60" s="203">
        <f>SUM(AI61:AI65)</f>
        <v>0</v>
      </c>
      <c r="AJ60" s="203">
        <f>SUM(AJ61:AJ65)</f>
        <v>0</v>
      </c>
      <c r="AK60" s="203">
        <f t="shared" ref="AK60:AK66" si="26">AH60+AI60+AJ60</f>
        <v>0</v>
      </c>
      <c r="AL60" s="203">
        <f t="shared" ref="AL60:AL66" si="27">Y60+AC60+AG60+AK60</f>
        <v>0</v>
      </c>
    </row>
    <row r="61" spans="2:38" x14ac:dyDescent="0.25">
      <c r="B61" s="192" t="s">
        <v>344</v>
      </c>
      <c r="C61" s="193" t="s">
        <v>226</v>
      </c>
      <c r="D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194">
        <f t="shared" si="19"/>
        <v>0</v>
      </c>
      <c r="G61" s="194"/>
      <c r="H61" s="194">
        <f t="shared" si="20"/>
        <v>0</v>
      </c>
      <c r="I61" s="194"/>
      <c r="J61" s="194">
        <f t="shared" si="21"/>
        <v>0</v>
      </c>
      <c r="K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194">
        <f t="shared" si="23"/>
        <v>0</v>
      </c>
      <c r="Z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194">
        <f t="shared" si="24"/>
        <v>0</v>
      </c>
      <c r="AD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194">
        <f t="shared" si="25"/>
        <v>0</v>
      </c>
      <c r="AH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194">
        <f t="shared" si="26"/>
        <v>0</v>
      </c>
      <c r="AL61" s="194">
        <f t="shared" si="27"/>
        <v>0</v>
      </c>
    </row>
    <row r="62" spans="2:38" x14ac:dyDescent="0.25">
      <c r="B62" s="192" t="s">
        <v>805</v>
      </c>
      <c r="C62" s="193" t="s">
        <v>806</v>
      </c>
      <c r="D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194">
        <f t="shared" si="19"/>
        <v>0</v>
      </c>
      <c r="G62" s="194"/>
      <c r="H62" s="194">
        <f t="shared" si="20"/>
        <v>0</v>
      </c>
      <c r="I62" s="194"/>
      <c r="J62" s="194">
        <f t="shared" si="21"/>
        <v>0</v>
      </c>
      <c r="K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194">
        <f t="shared" si="23"/>
        <v>0</v>
      </c>
      <c r="Z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194">
        <f t="shared" si="24"/>
        <v>0</v>
      </c>
      <c r="AD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194">
        <f t="shared" si="25"/>
        <v>0</v>
      </c>
      <c r="AH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194">
        <f t="shared" si="26"/>
        <v>0</v>
      </c>
      <c r="AL62" s="194">
        <f t="shared" si="27"/>
        <v>0</v>
      </c>
    </row>
    <row r="63" spans="2:38" x14ac:dyDescent="0.25">
      <c r="B63" s="192" t="s">
        <v>345</v>
      </c>
      <c r="C63" s="193" t="s">
        <v>227</v>
      </c>
      <c r="D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194">
        <f t="shared" si="19"/>
        <v>0</v>
      </c>
      <c r="G63" s="194"/>
      <c r="H63" s="194">
        <f t="shared" si="20"/>
        <v>0</v>
      </c>
      <c r="I63" s="194"/>
      <c r="J63" s="194">
        <f t="shared" si="21"/>
        <v>0</v>
      </c>
      <c r="K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194">
        <f t="shared" si="23"/>
        <v>0</v>
      </c>
      <c r="Z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194">
        <f t="shared" si="24"/>
        <v>0</v>
      </c>
      <c r="AD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194">
        <f t="shared" si="25"/>
        <v>0</v>
      </c>
      <c r="AH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194">
        <f t="shared" si="26"/>
        <v>0</v>
      </c>
      <c r="AL63" s="194">
        <f t="shared" si="27"/>
        <v>0</v>
      </c>
    </row>
    <row r="64" spans="2:38" x14ac:dyDescent="0.25">
      <c r="B64" s="192" t="s">
        <v>807</v>
      </c>
      <c r="C64" s="193" t="s">
        <v>808</v>
      </c>
      <c r="D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194">
        <f t="shared" si="19"/>
        <v>0</v>
      </c>
      <c r="G64" s="194"/>
      <c r="H64" s="194">
        <f t="shared" si="20"/>
        <v>0</v>
      </c>
      <c r="I64" s="194"/>
      <c r="J64" s="194">
        <f t="shared" si="21"/>
        <v>0</v>
      </c>
      <c r="K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194">
        <f t="shared" si="23"/>
        <v>0</v>
      </c>
      <c r="Z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194">
        <f t="shared" si="24"/>
        <v>0</v>
      </c>
      <c r="AD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194">
        <f t="shared" si="25"/>
        <v>0</v>
      </c>
      <c r="AH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194">
        <f t="shared" si="26"/>
        <v>0</v>
      </c>
      <c r="AL64" s="194">
        <f t="shared" si="27"/>
        <v>0</v>
      </c>
    </row>
    <row r="65" spans="2:38" x14ac:dyDescent="0.25">
      <c r="B65" s="192" t="s">
        <v>809</v>
      </c>
      <c r="C65" s="193" t="s">
        <v>810</v>
      </c>
      <c r="D6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194">
        <f t="shared" si="19"/>
        <v>0</v>
      </c>
      <c r="G65" s="194"/>
      <c r="H65" s="194">
        <f t="shared" si="20"/>
        <v>0</v>
      </c>
      <c r="I65" s="194"/>
      <c r="J65" s="194">
        <f t="shared" si="21"/>
        <v>0</v>
      </c>
      <c r="K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194">
        <f t="shared" si="23"/>
        <v>0</v>
      </c>
      <c r="Z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194">
        <f t="shared" si="24"/>
        <v>0</v>
      </c>
      <c r="AD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194">
        <f t="shared" si="25"/>
        <v>0</v>
      </c>
      <c r="AH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194">
        <f t="shared" si="26"/>
        <v>0</v>
      </c>
      <c r="AL65" s="194">
        <f t="shared" si="27"/>
        <v>0</v>
      </c>
    </row>
    <row r="66" spans="2:38" x14ac:dyDescent="0.25">
      <c r="B66" s="201" t="s">
        <v>346</v>
      </c>
      <c r="C66" s="202" t="s">
        <v>228</v>
      </c>
      <c r="D66" s="203">
        <f>SUM(D67:D72)</f>
        <v>0</v>
      </c>
      <c r="E66" s="203">
        <f>SUM(E67:E72)</f>
        <v>0</v>
      </c>
      <c r="F66" s="203">
        <f t="shared" si="19"/>
        <v>0</v>
      </c>
      <c r="G66" s="203">
        <f>SUM(G67:G72)</f>
        <v>0</v>
      </c>
      <c r="H66" s="203">
        <f t="shared" si="20"/>
        <v>0</v>
      </c>
      <c r="I66" s="203">
        <f>SUM(I67:I72)</f>
        <v>0</v>
      </c>
      <c r="J66" s="203">
        <f t="shared" si="21"/>
        <v>0</v>
      </c>
      <c r="K66" s="203">
        <f t="shared" ref="K66:AJ66" si="28">SUM(K67:K72)</f>
        <v>0</v>
      </c>
      <c r="L66" s="203">
        <f t="shared" si="28"/>
        <v>0</v>
      </c>
      <c r="M66" s="203">
        <f t="shared" si="28"/>
        <v>0</v>
      </c>
      <c r="N66" s="203">
        <f t="shared" si="28"/>
        <v>0</v>
      </c>
      <c r="O66" s="203">
        <f t="shared" si="28"/>
        <v>0</v>
      </c>
      <c r="P66" s="203">
        <f t="shared" si="28"/>
        <v>0</v>
      </c>
      <c r="Q66" s="203">
        <f t="shared" si="28"/>
        <v>0</v>
      </c>
      <c r="R66" s="203">
        <f t="shared" si="28"/>
        <v>0</v>
      </c>
      <c r="S66" s="203">
        <f t="shared" si="28"/>
        <v>0</v>
      </c>
      <c r="T66" s="203">
        <f t="shared" si="28"/>
        <v>0</v>
      </c>
      <c r="U66" s="203">
        <f t="shared" si="28"/>
        <v>0</v>
      </c>
      <c r="V66" s="203">
        <f t="shared" si="28"/>
        <v>0</v>
      </c>
      <c r="W66" s="203">
        <f t="shared" si="28"/>
        <v>0</v>
      </c>
      <c r="X66" s="203">
        <f t="shared" si="28"/>
        <v>0</v>
      </c>
      <c r="Y66" s="203">
        <f t="shared" si="23"/>
        <v>0</v>
      </c>
      <c r="Z66" s="203">
        <f t="shared" si="28"/>
        <v>0</v>
      </c>
      <c r="AA66" s="203">
        <f t="shared" si="28"/>
        <v>0</v>
      </c>
      <c r="AB66" s="203">
        <f t="shared" si="28"/>
        <v>0</v>
      </c>
      <c r="AC66" s="203">
        <f t="shared" si="24"/>
        <v>0</v>
      </c>
      <c r="AD66" s="203">
        <f t="shared" si="28"/>
        <v>0</v>
      </c>
      <c r="AE66" s="203">
        <f t="shared" si="28"/>
        <v>0</v>
      </c>
      <c r="AF66" s="203">
        <f t="shared" si="28"/>
        <v>0</v>
      </c>
      <c r="AG66" s="203">
        <f t="shared" si="25"/>
        <v>0</v>
      </c>
      <c r="AH66" s="203">
        <f t="shared" si="28"/>
        <v>0</v>
      </c>
      <c r="AI66" s="203">
        <f t="shared" si="28"/>
        <v>0</v>
      </c>
      <c r="AJ66" s="203">
        <f t="shared" si="28"/>
        <v>0</v>
      </c>
      <c r="AK66" s="203">
        <f t="shared" si="26"/>
        <v>0</v>
      </c>
      <c r="AL66" s="203">
        <f t="shared" si="27"/>
        <v>0</v>
      </c>
    </row>
    <row r="67" spans="2:38" x14ac:dyDescent="0.25">
      <c r="B67" s="192" t="s">
        <v>347</v>
      </c>
      <c r="C67" s="193" t="s">
        <v>229</v>
      </c>
      <c r="D6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194">
        <f t="shared" ref="F67:F72" si="29">D67+E67</f>
        <v>0</v>
      </c>
      <c r="G67" s="194"/>
      <c r="H67" s="194">
        <f t="shared" ref="H67:H72" si="30">F67-G67</f>
        <v>0</v>
      </c>
      <c r="I67" s="194"/>
      <c r="J67" s="194">
        <f t="shared" ref="J67:J72" si="31">F67-I67</f>
        <v>0</v>
      </c>
      <c r="K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194">
        <f t="shared" ref="Y67:Y72" si="32">V67+W67+X67</f>
        <v>0</v>
      </c>
      <c r="Z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194">
        <f t="shared" ref="AC67:AC72" si="33">Z67+AA67+AB67</f>
        <v>0</v>
      </c>
      <c r="AD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194">
        <f t="shared" ref="AG67:AG72" si="34">AD67+AE67+AF67</f>
        <v>0</v>
      </c>
      <c r="AH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194">
        <f t="shared" ref="AK67:AK72" si="35">AH67+AI67+AJ67</f>
        <v>0</v>
      </c>
      <c r="AL67" s="194">
        <f t="shared" ref="AL67:AL72" si="36">Y67+AC67+AG67+AK67</f>
        <v>0</v>
      </c>
    </row>
    <row r="68" spans="2:38" x14ac:dyDescent="0.25">
      <c r="B68" s="192" t="s">
        <v>811</v>
      </c>
      <c r="C68" s="193" t="s">
        <v>812</v>
      </c>
      <c r="D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194">
        <f t="shared" si="29"/>
        <v>0</v>
      </c>
      <c r="G68" s="194"/>
      <c r="H68" s="194">
        <f t="shared" si="30"/>
        <v>0</v>
      </c>
      <c r="I68" s="194"/>
      <c r="J68" s="194">
        <f t="shared" si="31"/>
        <v>0</v>
      </c>
      <c r="K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194">
        <f t="shared" si="32"/>
        <v>0</v>
      </c>
      <c r="Z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194">
        <f t="shared" si="33"/>
        <v>0</v>
      </c>
      <c r="AD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194">
        <f t="shared" si="34"/>
        <v>0</v>
      </c>
      <c r="AH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194">
        <f t="shared" si="35"/>
        <v>0</v>
      </c>
      <c r="AL68" s="194">
        <f t="shared" si="36"/>
        <v>0</v>
      </c>
    </row>
    <row r="69" spans="2:38" x14ac:dyDescent="0.25">
      <c r="B69" s="192" t="s">
        <v>348</v>
      </c>
      <c r="C69" s="193" t="s">
        <v>230</v>
      </c>
      <c r="D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194">
        <f>D69+E69</f>
        <v>0</v>
      </c>
      <c r="G69" s="194"/>
      <c r="H69" s="194">
        <f>F69-G69</f>
        <v>0</v>
      </c>
      <c r="I69" s="194"/>
      <c r="J69" s="194">
        <f>F69-I69</f>
        <v>0</v>
      </c>
      <c r="K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194">
        <f>V69+W69+X69</f>
        <v>0</v>
      </c>
      <c r="Z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194">
        <f>Z69+AA69+AB69</f>
        <v>0</v>
      </c>
      <c r="AD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194">
        <f>AD69+AE69+AF69</f>
        <v>0</v>
      </c>
      <c r="AH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194">
        <f>AH69+AI69+AJ69</f>
        <v>0</v>
      </c>
      <c r="AL69" s="194">
        <f>Y69+AC69+AG69+AK69</f>
        <v>0</v>
      </c>
    </row>
    <row r="70" spans="2:38" x14ac:dyDescent="0.25">
      <c r="B70" s="192" t="s">
        <v>813</v>
      </c>
      <c r="C70" s="193" t="s">
        <v>814</v>
      </c>
      <c r="D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194">
        <f>D70+E70</f>
        <v>0</v>
      </c>
      <c r="G70" s="194"/>
      <c r="H70" s="194">
        <f>F70-G70</f>
        <v>0</v>
      </c>
      <c r="I70" s="194"/>
      <c r="J70" s="194">
        <f>F70-I70</f>
        <v>0</v>
      </c>
      <c r="K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194">
        <f>V70+W70+X70</f>
        <v>0</v>
      </c>
      <c r="Z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194">
        <f>Z70+AA70+AB70</f>
        <v>0</v>
      </c>
      <c r="AD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194">
        <f>AD70+AE70+AF70</f>
        <v>0</v>
      </c>
      <c r="AH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194">
        <f>AH70+AI70+AJ70</f>
        <v>0</v>
      </c>
      <c r="AL70" s="194">
        <f>Y70+AC70+AG70+AK70</f>
        <v>0</v>
      </c>
    </row>
    <row r="71" spans="2:38" x14ac:dyDescent="0.25">
      <c r="B71" s="192" t="s">
        <v>815</v>
      </c>
      <c r="C71" s="193" t="s">
        <v>816</v>
      </c>
      <c r="D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194">
        <f>D71+E71</f>
        <v>0</v>
      </c>
      <c r="G71" s="194"/>
      <c r="H71" s="194">
        <f>F71-G71</f>
        <v>0</v>
      </c>
      <c r="I71" s="194"/>
      <c r="J71" s="194">
        <f>F71-I71</f>
        <v>0</v>
      </c>
      <c r="K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194">
        <f>V71+W71+X71</f>
        <v>0</v>
      </c>
      <c r="Z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194">
        <f>Z71+AA71+AB71</f>
        <v>0</v>
      </c>
      <c r="AD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194">
        <f>AD71+AE71+AF71</f>
        <v>0</v>
      </c>
      <c r="AH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194">
        <f>AH71+AI71+AJ71</f>
        <v>0</v>
      </c>
      <c r="AL71" s="194">
        <f>Y71+AC71+AG71+AK71</f>
        <v>0</v>
      </c>
    </row>
    <row r="72" spans="2:38" x14ac:dyDescent="0.25">
      <c r="B72" s="192" t="s">
        <v>817</v>
      </c>
      <c r="C72" s="193" t="s">
        <v>818</v>
      </c>
      <c r="D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194">
        <f t="shared" si="29"/>
        <v>0</v>
      </c>
      <c r="G72" s="194"/>
      <c r="H72" s="194">
        <f t="shared" si="30"/>
        <v>0</v>
      </c>
      <c r="I72" s="194"/>
      <c r="J72" s="194">
        <f t="shared" si="31"/>
        <v>0</v>
      </c>
      <c r="K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194">
        <f t="shared" si="32"/>
        <v>0</v>
      </c>
      <c r="Z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194">
        <f t="shared" si="33"/>
        <v>0</v>
      </c>
      <c r="AD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194">
        <f t="shared" si="34"/>
        <v>0</v>
      </c>
      <c r="AH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194">
        <f t="shared" si="35"/>
        <v>0</v>
      </c>
      <c r="AL72" s="194">
        <f t="shared" si="36"/>
        <v>0</v>
      </c>
    </row>
    <row r="73" spans="2:38" x14ac:dyDescent="0.25">
      <c r="B73" s="201" t="s">
        <v>349</v>
      </c>
      <c r="C73" s="202" t="s">
        <v>231</v>
      </c>
      <c r="D73" s="203">
        <f>SUM(D74:D82)</f>
        <v>0</v>
      </c>
      <c r="E73" s="203">
        <f>SUM(E74:E82)</f>
        <v>0</v>
      </c>
      <c r="F73" s="203">
        <f t="shared" ref="F73:F120" si="37">D73+E73</f>
        <v>0</v>
      </c>
      <c r="G73" s="203">
        <f>SUM(G74:G82)</f>
        <v>0</v>
      </c>
      <c r="H73" s="203">
        <f t="shared" ref="H73:H108" si="38">F73-G73</f>
        <v>0</v>
      </c>
      <c r="I73" s="203">
        <f>SUM(I74:I82)</f>
        <v>0</v>
      </c>
      <c r="J73" s="203">
        <f t="shared" ref="J73:J108" si="39">F73-I73</f>
        <v>0</v>
      </c>
      <c r="K73" s="203">
        <f t="shared" ref="K73:X73" si="40">SUM(K74:K82)</f>
        <v>0</v>
      </c>
      <c r="L73" s="203">
        <f t="shared" si="40"/>
        <v>0</v>
      </c>
      <c r="M73" s="203">
        <f t="shared" si="40"/>
        <v>0</v>
      </c>
      <c r="N73" s="203">
        <f t="shared" si="40"/>
        <v>0</v>
      </c>
      <c r="O73" s="203">
        <f t="shared" si="40"/>
        <v>0</v>
      </c>
      <c r="P73" s="203">
        <f t="shared" si="40"/>
        <v>0</v>
      </c>
      <c r="Q73" s="203">
        <f t="shared" si="40"/>
        <v>0</v>
      </c>
      <c r="R73" s="203">
        <f t="shared" si="40"/>
        <v>0</v>
      </c>
      <c r="S73" s="203">
        <f t="shared" si="40"/>
        <v>0</v>
      </c>
      <c r="T73" s="203">
        <f t="shared" si="40"/>
        <v>0</v>
      </c>
      <c r="U73" s="203">
        <f t="shared" si="40"/>
        <v>0</v>
      </c>
      <c r="V73" s="203">
        <f t="shared" si="40"/>
        <v>0</v>
      </c>
      <c r="W73" s="203">
        <f t="shared" si="40"/>
        <v>0</v>
      </c>
      <c r="X73" s="203">
        <f t="shared" si="40"/>
        <v>0</v>
      </c>
      <c r="Y73" s="203">
        <f t="shared" ref="Y73:Y108" si="41">V73+W73+X73</f>
        <v>0</v>
      </c>
      <c r="Z73" s="203">
        <f>SUM(Z74:Z82)</f>
        <v>0</v>
      </c>
      <c r="AA73" s="203">
        <f>SUM(AA74:AA82)</f>
        <v>0</v>
      </c>
      <c r="AB73" s="203">
        <f>SUM(AB74:AB82)</f>
        <v>0</v>
      </c>
      <c r="AC73" s="203">
        <f t="shared" ref="AC73:AC108" si="42">Z73+AA73+AB73</f>
        <v>0</v>
      </c>
      <c r="AD73" s="203">
        <f>SUM(AD74:AD82)</f>
        <v>0</v>
      </c>
      <c r="AE73" s="203">
        <f>SUM(AE74:AE82)</f>
        <v>0</v>
      </c>
      <c r="AF73" s="203">
        <f>SUM(AF74:AF82)</f>
        <v>0</v>
      </c>
      <c r="AG73" s="203">
        <f t="shared" ref="AG73:AG108" si="43">AD73+AE73+AF73</f>
        <v>0</v>
      </c>
      <c r="AH73" s="203">
        <f>SUM(AH74:AH82)</f>
        <v>0</v>
      </c>
      <c r="AI73" s="203">
        <f>SUM(AI74:AI82)</f>
        <v>0</v>
      </c>
      <c r="AJ73" s="203">
        <f>SUM(AJ74:AJ82)</f>
        <v>0</v>
      </c>
      <c r="AK73" s="203">
        <f t="shared" ref="AK73:AK108" si="44">AH73+AI73+AJ73</f>
        <v>0</v>
      </c>
      <c r="AL73" s="203">
        <f t="shared" ref="AL73:AL108" si="45">Y73+AC73+AG73+AK73</f>
        <v>0</v>
      </c>
    </row>
    <row r="74" spans="2:38" x14ac:dyDescent="0.25">
      <c r="B74" s="192" t="s">
        <v>823</v>
      </c>
      <c r="C74" s="193" t="s">
        <v>824</v>
      </c>
      <c r="D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194">
        <f t="shared" si="37"/>
        <v>0</v>
      </c>
      <c r="G74" s="194"/>
      <c r="H74" s="194">
        <f t="shared" si="38"/>
        <v>0</v>
      </c>
      <c r="I74" s="194"/>
      <c r="J74" s="194">
        <f t="shared" si="39"/>
        <v>0</v>
      </c>
      <c r="K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194">
        <f t="shared" si="41"/>
        <v>0</v>
      </c>
      <c r="Z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194">
        <f t="shared" si="42"/>
        <v>0</v>
      </c>
      <c r="AD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194">
        <f t="shared" si="43"/>
        <v>0</v>
      </c>
      <c r="AH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194">
        <f t="shared" si="44"/>
        <v>0</v>
      </c>
      <c r="AL74" s="194">
        <f t="shared" si="45"/>
        <v>0</v>
      </c>
    </row>
    <row r="75" spans="2:38" x14ac:dyDescent="0.25">
      <c r="B75" s="192" t="s">
        <v>825</v>
      </c>
      <c r="C75" s="193" t="s">
        <v>826</v>
      </c>
      <c r="D7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194">
        <f t="shared" si="37"/>
        <v>0</v>
      </c>
      <c r="G75" s="194"/>
      <c r="H75" s="194">
        <f t="shared" si="38"/>
        <v>0</v>
      </c>
      <c r="I75" s="194"/>
      <c r="J75" s="194">
        <f t="shared" si="39"/>
        <v>0</v>
      </c>
      <c r="K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194">
        <f t="shared" si="41"/>
        <v>0</v>
      </c>
      <c r="Z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194">
        <f t="shared" si="42"/>
        <v>0</v>
      </c>
      <c r="AD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194">
        <f t="shared" si="43"/>
        <v>0</v>
      </c>
      <c r="AH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194">
        <f t="shared" si="44"/>
        <v>0</v>
      </c>
      <c r="AL75" s="194">
        <f t="shared" si="45"/>
        <v>0</v>
      </c>
    </row>
    <row r="76" spans="2:38" x14ac:dyDescent="0.25">
      <c r="B76" s="192" t="s">
        <v>350</v>
      </c>
      <c r="C76" s="193" t="s">
        <v>232</v>
      </c>
      <c r="D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194">
        <f t="shared" si="37"/>
        <v>0</v>
      </c>
      <c r="G76" s="194"/>
      <c r="H76" s="194">
        <f t="shared" si="38"/>
        <v>0</v>
      </c>
      <c r="I76" s="194"/>
      <c r="J76" s="194">
        <f t="shared" si="39"/>
        <v>0</v>
      </c>
      <c r="K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194">
        <f t="shared" si="41"/>
        <v>0</v>
      </c>
      <c r="Z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194">
        <f t="shared" si="42"/>
        <v>0</v>
      </c>
      <c r="AD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194">
        <f t="shared" si="43"/>
        <v>0</v>
      </c>
      <c r="AH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194">
        <f t="shared" si="44"/>
        <v>0</v>
      </c>
      <c r="AL76" s="194">
        <f t="shared" si="45"/>
        <v>0</v>
      </c>
    </row>
    <row r="77" spans="2:38" x14ac:dyDescent="0.25">
      <c r="B77" s="192" t="s">
        <v>819</v>
      </c>
      <c r="C77" s="193" t="s">
        <v>820</v>
      </c>
      <c r="D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194">
        <f t="shared" si="37"/>
        <v>0</v>
      </c>
      <c r="G77" s="194"/>
      <c r="H77" s="194">
        <f t="shared" si="38"/>
        <v>0</v>
      </c>
      <c r="I77" s="194"/>
      <c r="J77" s="194">
        <f t="shared" si="39"/>
        <v>0</v>
      </c>
      <c r="K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194">
        <f t="shared" si="41"/>
        <v>0</v>
      </c>
      <c r="Z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194">
        <f t="shared" si="42"/>
        <v>0</v>
      </c>
      <c r="AD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194">
        <f t="shared" si="43"/>
        <v>0</v>
      </c>
      <c r="AH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194">
        <f t="shared" si="44"/>
        <v>0</v>
      </c>
      <c r="AL77" s="194">
        <f t="shared" si="45"/>
        <v>0</v>
      </c>
    </row>
    <row r="78" spans="2:38" x14ac:dyDescent="0.25">
      <c r="B78" s="192" t="s">
        <v>821</v>
      </c>
      <c r="C78" s="193" t="s">
        <v>822</v>
      </c>
      <c r="D7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194">
        <f t="shared" si="37"/>
        <v>0</v>
      </c>
      <c r="G78" s="194"/>
      <c r="H78" s="194">
        <f t="shared" si="38"/>
        <v>0</v>
      </c>
      <c r="I78" s="194"/>
      <c r="J78" s="194">
        <f t="shared" si="39"/>
        <v>0</v>
      </c>
      <c r="K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194">
        <f t="shared" si="41"/>
        <v>0</v>
      </c>
      <c r="Z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194">
        <f t="shared" si="42"/>
        <v>0</v>
      </c>
      <c r="AD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194">
        <f t="shared" si="43"/>
        <v>0</v>
      </c>
      <c r="AH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194">
        <f t="shared" si="44"/>
        <v>0</v>
      </c>
      <c r="AL78" s="194">
        <f t="shared" si="45"/>
        <v>0</v>
      </c>
    </row>
    <row r="79" spans="2:38" x14ac:dyDescent="0.25">
      <c r="B79" s="192" t="s">
        <v>351</v>
      </c>
      <c r="C79" s="193" t="s">
        <v>233</v>
      </c>
      <c r="D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194">
        <f t="shared" si="37"/>
        <v>0</v>
      </c>
      <c r="G79" s="194"/>
      <c r="H79" s="194">
        <f t="shared" si="38"/>
        <v>0</v>
      </c>
      <c r="I79" s="194"/>
      <c r="J79" s="194">
        <f t="shared" si="39"/>
        <v>0</v>
      </c>
      <c r="K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194">
        <f t="shared" si="41"/>
        <v>0</v>
      </c>
      <c r="Z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194">
        <f t="shared" si="42"/>
        <v>0</v>
      </c>
      <c r="AD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194">
        <f t="shared" si="43"/>
        <v>0</v>
      </c>
      <c r="AH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194">
        <f t="shared" si="44"/>
        <v>0</v>
      </c>
      <c r="AL79" s="194">
        <f t="shared" si="45"/>
        <v>0</v>
      </c>
    </row>
    <row r="80" spans="2:38" x14ac:dyDescent="0.25">
      <c r="B80" s="192" t="s">
        <v>827</v>
      </c>
      <c r="C80" s="193" t="s">
        <v>824</v>
      </c>
      <c r="D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194">
        <f t="shared" si="37"/>
        <v>0</v>
      </c>
      <c r="G80" s="194"/>
      <c r="H80" s="194">
        <f t="shared" si="38"/>
        <v>0</v>
      </c>
      <c r="I80" s="194"/>
      <c r="J80" s="194">
        <f t="shared" si="39"/>
        <v>0</v>
      </c>
      <c r="K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194">
        <f t="shared" si="41"/>
        <v>0</v>
      </c>
      <c r="Z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194">
        <f t="shared" si="42"/>
        <v>0</v>
      </c>
      <c r="AD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194">
        <f t="shared" si="43"/>
        <v>0</v>
      </c>
      <c r="AH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194">
        <f t="shared" si="44"/>
        <v>0</v>
      </c>
      <c r="AL80" s="194">
        <f t="shared" si="45"/>
        <v>0</v>
      </c>
    </row>
    <row r="81" spans="2:38" x14ac:dyDescent="0.25">
      <c r="B81" s="192" t="s">
        <v>352</v>
      </c>
      <c r="C81" s="193" t="s">
        <v>234</v>
      </c>
      <c r="D8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194">
        <f t="shared" si="37"/>
        <v>0</v>
      </c>
      <c r="G81" s="194"/>
      <c r="H81" s="194">
        <f t="shared" si="38"/>
        <v>0</v>
      </c>
      <c r="I81" s="194"/>
      <c r="J81" s="194">
        <f t="shared" si="39"/>
        <v>0</v>
      </c>
      <c r="K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194">
        <f t="shared" si="41"/>
        <v>0</v>
      </c>
      <c r="Z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194">
        <f t="shared" si="42"/>
        <v>0</v>
      </c>
      <c r="AD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194">
        <f t="shared" si="43"/>
        <v>0</v>
      </c>
      <c r="AH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194">
        <f t="shared" si="44"/>
        <v>0</v>
      </c>
      <c r="AL81" s="194">
        <f t="shared" si="45"/>
        <v>0</v>
      </c>
    </row>
    <row r="82" spans="2:38" x14ac:dyDescent="0.25">
      <c r="B82" s="192" t="s">
        <v>828</v>
      </c>
      <c r="C82" s="193" t="s">
        <v>826</v>
      </c>
      <c r="D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194">
        <f t="shared" si="37"/>
        <v>0</v>
      </c>
      <c r="G82" s="194"/>
      <c r="H82" s="194">
        <f t="shared" si="38"/>
        <v>0</v>
      </c>
      <c r="I82" s="194"/>
      <c r="J82" s="194">
        <f t="shared" si="39"/>
        <v>0</v>
      </c>
      <c r="K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194">
        <f t="shared" si="41"/>
        <v>0</v>
      </c>
      <c r="Z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194">
        <f t="shared" si="42"/>
        <v>0</v>
      </c>
      <c r="AD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194">
        <f t="shared" si="43"/>
        <v>0</v>
      </c>
      <c r="AH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194">
        <f t="shared" si="44"/>
        <v>0</v>
      </c>
      <c r="AL82" s="194">
        <f t="shared" si="45"/>
        <v>0</v>
      </c>
    </row>
    <row r="83" spans="2:38" x14ac:dyDescent="0.25">
      <c r="B83" s="189" t="s">
        <v>331</v>
      </c>
      <c r="C83" s="190" t="s">
        <v>212</v>
      </c>
      <c r="D83" s="191">
        <f>D84</f>
        <v>0</v>
      </c>
      <c r="E83" s="191">
        <f>E84</f>
        <v>0</v>
      </c>
      <c r="F83" s="191">
        <f t="shared" si="37"/>
        <v>0</v>
      </c>
      <c r="G83" s="191">
        <f>G84</f>
        <v>0</v>
      </c>
      <c r="H83" s="191">
        <f t="shared" si="38"/>
        <v>0</v>
      </c>
      <c r="I83" s="191">
        <f>I84</f>
        <v>0</v>
      </c>
      <c r="J83" s="191">
        <f t="shared" si="39"/>
        <v>0</v>
      </c>
      <c r="K83" s="191">
        <f t="shared" ref="K83:AJ83" si="46">K84</f>
        <v>0</v>
      </c>
      <c r="L83" s="191">
        <f t="shared" si="46"/>
        <v>0</v>
      </c>
      <c r="M83" s="191">
        <f t="shared" si="46"/>
        <v>0</v>
      </c>
      <c r="N83" s="191">
        <f t="shared" si="46"/>
        <v>0</v>
      </c>
      <c r="O83" s="191">
        <f t="shared" si="46"/>
        <v>0</v>
      </c>
      <c r="P83" s="191">
        <f t="shared" si="46"/>
        <v>0</v>
      </c>
      <c r="Q83" s="191">
        <f t="shared" si="46"/>
        <v>0</v>
      </c>
      <c r="R83" s="191">
        <f t="shared" si="46"/>
        <v>0</v>
      </c>
      <c r="S83" s="191">
        <f t="shared" si="46"/>
        <v>0</v>
      </c>
      <c r="T83" s="191">
        <f t="shared" si="46"/>
        <v>0</v>
      </c>
      <c r="U83" s="191">
        <f t="shared" si="46"/>
        <v>0</v>
      </c>
      <c r="V83" s="191">
        <f t="shared" si="46"/>
        <v>0</v>
      </c>
      <c r="W83" s="191">
        <f t="shared" si="46"/>
        <v>0</v>
      </c>
      <c r="X83" s="191">
        <f t="shared" si="46"/>
        <v>0</v>
      </c>
      <c r="Y83" s="191">
        <f t="shared" si="41"/>
        <v>0</v>
      </c>
      <c r="Z83" s="191">
        <f t="shared" si="46"/>
        <v>0</v>
      </c>
      <c r="AA83" s="191">
        <f t="shared" si="46"/>
        <v>0</v>
      </c>
      <c r="AB83" s="191">
        <f t="shared" si="46"/>
        <v>0</v>
      </c>
      <c r="AC83" s="191">
        <f t="shared" si="42"/>
        <v>0</v>
      </c>
      <c r="AD83" s="191">
        <f t="shared" si="46"/>
        <v>0</v>
      </c>
      <c r="AE83" s="191">
        <f t="shared" si="46"/>
        <v>0</v>
      </c>
      <c r="AF83" s="191">
        <f t="shared" si="46"/>
        <v>0</v>
      </c>
      <c r="AG83" s="191">
        <f t="shared" si="43"/>
        <v>0</v>
      </c>
      <c r="AH83" s="191">
        <f t="shared" si="46"/>
        <v>0</v>
      </c>
      <c r="AI83" s="191">
        <f t="shared" si="46"/>
        <v>0</v>
      </c>
      <c r="AJ83" s="191">
        <f t="shared" si="46"/>
        <v>0</v>
      </c>
      <c r="AK83" s="191">
        <f t="shared" si="44"/>
        <v>0</v>
      </c>
      <c r="AL83" s="191">
        <f t="shared" si="45"/>
        <v>0</v>
      </c>
    </row>
    <row r="84" spans="2:38" x14ac:dyDescent="0.25">
      <c r="B84" s="201" t="s">
        <v>337</v>
      </c>
      <c r="C84" s="202" t="s">
        <v>218</v>
      </c>
      <c r="D84" s="203">
        <f>SUM(D85:D93)</f>
        <v>0</v>
      </c>
      <c r="E84" s="203">
        <f>SUM(E85:E93)</f>
        <v>0</v>
      </c>
      <c r="F84" s="203">
        <f t="shared" si="37"/>
        <v>0</v>
      </c>
      <c r="G84" s="203">
        <f>SUM(G85:G93)</f>
        <v>0</v>
      </c>
      <c r="H84" s="203">
        <f t="shared" si="38"/>
        <v>0</v>
      </c>
      <c r="I84" s="203">
        <f>SUM(I85:I93)</f>
        <v>0</v>
      </c>
      <c r="J84" s="203">
        <f t="shared" si="39"/>
        <v>0</v>
      </c>
      <c r="K84" s="203">
        <f t="shared" ref="K84:AJ84" si="47">SUM(K85:K93)</f>
        <v>0</v>
      </c>
      <c r="L84" s="203">
        <f t="shared" si="47"/>
        <v>0</v>
      </c>
      <c r="M84" s="203">
        <f t="shared" si="47"/>
        <v>0</v>
      </c>
      <c r="N84" s="203">
        <f t="shared" si="47"/>
        <v>0</v>
      </c>
      <c r="O84" s="203">
        <f t="shared" si="47"/>
        <v>0</v>
      </c>
      <c r="P84" s="203">
        <f t="shared" si="47"/>
        <v>0</v>
      </c>
      <c r="Q84" s="203">
        <f t="shared" si="47"/>
        <v>0</v>
      </c>
      <c r="R84" s="203">
        <f t="shared" si="47"/>
        <v>0</v>
      </c>
      <c r="S84" s="203">
        <f t="shared" si="47"/>
        <v>0</v>
      </c>
      <c r="T84" s="203">
        <f t="shared" si="47"/>
        <v>0</v>
      </c>
      <c r="U84" s="203">
        <f t="shared" si="47"/>
        <v>0</v>
      </c>
      <c r="V84" s="203">
        <f t="shared" si="47"/>
        <v>0</v>
      </c>
      <c r="W84" s="203">
        <f t="shared" si="47"/>
        <v>0</v>
      </c>
      <c r="X84" s="203">
        <f t="shared" si="47"/>
        <v>0</v>
      </c>
      <c r="Y84" s="203">
        <f t="shared" si="41"/>
        <v>0</v>
      </c>
      <c r="Z84" s="203">
        <f t="shared" si="47"/>
        <v>0</v>
      </c>
      <c r="AA84" s="203">
        <f t="shared" si="47"/>
        <v>0</v>
      </c>
      <c r="AB84" s="203">
        <f t="shared" si="47"/>
        <v>0</v>
      </c>
      <c r="AC84" s="203">
        <f t="shared" si="42"/>
        <v>0</v>
      </c>
      <c r="AD84" s="203">
        <f t="shared" si="47"/>
        <v>0</v>
      </c>
      <c r="AE84" s="203">
        <f t="shared" si="47"/>
        <v>0</v>
      </c>
      <c r="AF84" s="203">
        <f t="shared" si="47"/>
        <v>0</v>
      </c>
      <c r="AG84" s="203">
        <f t="shared" si="43"/>
        <v>0</v>
      </c>
      <c r="AH84" s="203">
        <f t="shared" si="47"/>
        <v>0</v>
      </c>
      <c r="AI84" s="203">
        <f t="shared" si="47"/>
        <v>0</v>
      </c>
      <c r="AJ84" s="203">
        <f t="shared" si="47"/>
        <v>0</v>
      </c>
      <c r="AK84" s="203">
        <f t="shared" si="44"/>
        <v>0</v>
      </c>
      <c r="AL84" s="203">
        <f t="shared" si="45"/>
        <v>0</v>
      </c>
    </row>
    <row r="85" spans="2:38" x14ac:dyDescent="0.25">
      <c r="B85" s="192" t="s">
        <v>353</v>
      </c>
      <c r="C85" s="193" t="s">
        <v>235</v>
      </c>
      <c r="D8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194">
        <f t="shared" si="37"/>
        <v>0</v>
      </c>
      <c r="G85" s="194"/>
      <c r="H85" s="194">
        <f t="shared" si="38"/>
        <v>0</v>
      </c>
      <c r="I85" s="194"/>
      <c r="J85" s="194">
        <f t="shared" si="39"/>
        <v>0</v>
      </c>
      <c r="K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194">
        <f t="shared" si="41"/>
        <v>0</v>
      </c>
      <c r="Z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194">
        <f t="shared" si="42"/>
        <v>0</v>
      </c>
      <c r="AD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194">
        <f t="shared" si="43"/>
        <v>0</v>
      </c>
      <c r="AH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194">
        <f t="shared" si="44"/>
        <v>0</v>
      </c>
      <c r="AL85" s="194">
        <f t="shared" si="45"/>
        <v>0</v>
      </c>
    </row>
    <row r="86" spans="2:38" x14ac:dyDescent="0.25">
      <c r="B86" s="192" t="s">
        <v>733</v>
      </c>
      <c r="C86" s="193" t="s">
        <v>734</v>
      </c>
      <c r="D8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194">
        <f t="shared" si="37"/>
        <v>0</v>
      </c>
      <c r="G86" s="194"/>
      <c r="H86" s="194">
        <f t="shared" si="38"/>
        <v>0</v>
      </c>
      <c r="I86" s="194"/>
      <c r="J86" s="194">
        <f t="shared" si="39"/>
        <v>0</v>
      </c>
      <c r="K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194">
        <f t="shared" si="41"/>
        <v>0</v>
      </c>
      <c r="Z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194">
        <f t="shared" si="42"/>
        <v>0</v>
      </c>
      <c r="AD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194">
        <f t="shared" si="43"/>
        <v>0</v>
      </c>
      <c r="AH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194">
        <f t="shared" si="44"/>
        <v>0</v>
      </c>
      <c r="AL86" s="194">
        <f t="shared" si="45"/>
        <v>0</v>
      </c>
    </row>
    <row r="87" spans="2:38" x14ac:dyDescent="0.25">
      <c r="B87" s="192" t="s">
        <v>735</v>
      </c>
      <c r="C87" s="193" t="s">
        <v>736</v>
      </c>
      <c r="D8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194">
        <f t="shared" si="37"/>
        <v>0</v>
      </c>
      <c r="G87" s="194"/>
      <c r="H87" s="194">
        <f t="shared" si="38"/>
        <v>0</v>
      </c>
      <c r="I87" s="194"/>
      <c r="J87" s="194">
        <f t="shared" si="39"/>
        <v>0</v>
      </c>
      <c r="K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194">
        <f t="shared" si="41"/>
        <v>0</v>
      </c>
      <c r="Z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194">
        <f t="shared" si="42"/>
        <v>0</v>
      </c>
      <c r="AD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194">
        <f t="shared" si="43"/>
        <v>0</v>
      </c>
      <c r="AH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194">
        <f t="shared" si="44"/>
        <v>0</v>
      </c>
      <c r="AL87" s="194">
        <f t="shared" si="45"/>
        <v>0</v>
      </c>
    </row>
    <row r="88" spans="2:38" x14ac:dyDescent="0.25">
      <c r="B88" s="192" t="s">
        <v>737</v>
      </c>
      <c r="C88" s="193" t="s">
        <v>738</v>
      </c>
      <c r="D8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194">
        <f t="shared" si="37"/>
        <v>0</v>
      </c>
      <c r="G88" s="194"/>
      <c r="H88" s="194">
        <f t="shared" si="38"/>
        <v>0</v>
      </c>
      <c r="I88" s="194"/>
      <c r="J88" s="194">
        <f t="shared" si="39"/>
        <v>0</v>
      </c>
      <c r="K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194">
        <f t="shared" si="41"/>
        <v>0</v>
      </c>
      <c r="Z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194">
        <f t="shared" si="42"/>
        <v>0</v>
      </c>
      <c r="AD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194">
        <f t="shared" si="43"/>
        <v>0</v>
      </c>
      <c r="AH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194">
        <f t="shared" si="44"/>
        <v>0</v>
      </c>
      <c r="AL88" s="194">
        <f t="shared" si="45"/>
        <v>0</v>
      </c>
    </row>
    <row r="89" spans="2:38" x14ac:dyDescent="0.25">
      <c r="B89" s="192" t="s">
        <v>354</v>
      </c>
      <c r="C89" s="193" t="s">
        <v>236</v>
      </c>
      <c r="D8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194">
        <f t="shared" si="37"/>
        <v>0</v>
      </c>
      <c r="G89" s="194"/>
      <c r="H89" s="194">
        <f t="shared" si="38"/>
        <v>0</v>
      </c>
      <c r="I89" s="194"/>
      <c r="J89" s="194">
        <f t="shared" si="39"/>
        <v>0</v>
      </c>
      <c r="K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194">
        <f t="shared" si="41"/>
        <v>0</v>
      </c>
      <c r="Z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194">
        <f t="shared" si="42"/>
        <v>0</v>
      </c>
      <c r="AD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194">
        <f t="shared" si="43"/>
        <v>0</v>
      </c>
      <c r="AH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194">
        <f t="shared" si="44"/>
        <v>0</v>
      </c>
      <c r="AL89" s="194">
        <f t="shared" si="45"/>
        <v>0</v>
      </c>
    </row>
    <row r="90" spans="2:38" x14ac:dyDescent="0.25">
      <c r="B90" s="192" t="s">
        <v>739</v>
      </c>
      <c r="C90" s="193" t="s">
        <v>740</v>
      </c>
      <c r="D9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194">
        <f t="shared" si="37"/>
        <v>0</v>
      </c>
      <c r="G90" s="194"/>
      <c r="H90" s="194">
        <f t="shared" si="38"/>
        <v>0</v>
      </c>
      <c r="I90" s="194"/>
      <c r="J90" s="194">
        <f t="shared" si="39"/>
        <v>0</v>
      </c>
      <c r="K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194">
        <f t="shared" si="41"/>
        <v>0</v>
      </c>
      <c r="Z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194">
        <f t="shared" si="42"/>
        <v>0</v>
      </c>
      <c r="AD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194">
        <f t="shared" si="43"/>
        <v>0</v>
      </c>
      <c r="AH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194">
        <f t="shared" si="44"/>
        <v>0</v>
      </c>
      <c r="AL90" s="194">
        <f t="shared" si="45"/>
        <v>0</v>
      </c>
    </row>
    <row r="91" spans="2:38" x14ac:dyDescent="0.25">
      <c r="B91" s="192" t="s">
        <v>741</v>
      </c>
      <c r="C91" s="193" t="s">
        <v>742</v>
      </c>
      <c r="D9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194">
        <f t="shared" si="37"/>
        <v>0</v>
      </c>
      <c r="G91" s="194"/>
      <c r="H91" s="194">
        <f t="shared" si="38"/>
        <v>0</v>
      </c>
      <c r="I91" s="194"/>
      <c r="J91" s="194">
        <f t="shared" si="39"/>
        <v>0</v>
      </c>
      <c r="K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194">
        <f t="shared" si="41"/>
        <v>0</v>
      </c>
      <c r="Z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194">
        <f t="shared" si="42"/>
        <v>0</v>
      </c>
      <c r="AD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194">
        <f t="shared" si="43"/>
        <v>0</v>
      </c>
      <c r="AH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194">
        <f t="shared" si="44"/>
        <v>0</v>
      </c>
      <c r="AL91" s="194">
        <f t="shared" si="45"/>
        <v>0</v>
      </c>
    </row>
    <row r="92" spans="2:38" x14ac:dyDescent="0.25">
      <c r="B92" s="192" t="s">
        <v>743</v>
      </c>
      <c r="C92" s="193" t="s">
        <v>744</v>
      </c>
      <c r="D9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194">
        <f t="shared" si="37"/>
        <v>0</v>
      </c>
      <c r="G92" s="194"/>
      <c r="H92" s="194">
        <f t="shared" si="38"/>
        <v>0</v>
      </c>
      <c r="I92" s="194"/>
      <c r="J92" s="194">
        <f t="shared" si="39"/>
        <v>0</v>
      </c>
      <c r="K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194">
        <f t="shared" si="41"/>
        <v>0</v>
      </c>
      <c r="Z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194">
        <f t="shared" si="42"/>
        <v>0</v>
      </c>
      <c r="AD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194">
        <f t="shared" si="43"/>
        <v>0</v>
      </c>
      <c r="AH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194">
        <f t="shared" si="44"/>
        <v>0</v>
      </c>
      <c r="AL92" s="194">
        <f t="shared" si="45"/>
        <v>0</v>
      </c>
    </row>
    <row r="93" spans="2:38" x14ac:dyDescent="0.25">
      <c r="B93" s="192" t="s">
        <v>745</v>
      </c>
      <c r="C93" s="193" t="s">
        <v>746</v>
      </c>
      <c r="D9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194">
        <f t="shared" si="37"/>
        <v>0</v>
      </c>
      <c r="G93" s="194"/>
      <c r="H93" s="194">
        <f t="shared" si="38"/>
        <v>0</v>
      </c>
      <c r="I93" s="194"/>
      <c r="J93" s="194">
        <f t="shared" si="39"/>
        <v>0</v>
      </c>
      <c r="K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194">
        <f t="shared" si="41"/>
        <v>0</v>
      </c>
      <c r="Z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194">
        <f t="shared" si="42"/>
        <v>0</v>
      </c>
      <c r="AD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194">
        <f t="shared" si="43"/>
        <v>0</v>
      </c>
      <c r="AH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194">
        <f t="shared" si="44"/>
        <v>0</v>
      </c>
      <c r="AL93" s="194">
        <f t="shared" si="45"/>
        <v>0</v>
      </c>
    </row>
    <row r="94" spans="2:38" x14ac:dyDescent="0.25">
      <c r="B94" s="189" t="s">
        <v>338</v>
      </c>
      <c r="C94" s="190" t="s">
        <v>220</v>
      </c>
      <c r="D94" s="191">
        <f>D95</f>
        <v>0</v>
      </c>
      <c r="E94" s="191">
        <f>E95</f>
        <v>250000</v>
      </c>
      <c r="F94" s="191">
        <f t="shared" si="37"/>
        <v>250000</v>
      </c>
      <c r="G94" s="191">
        <f>G95</f>
        <v>0</v>
      </c>
      <c r="H94" s="191">
        <f t="shared" si="38"/>
        <v>250000</v>
      </c>
      <c r="I94" s="191">
        <f>I95</f>
        <v>0</v>
      </c>
      <c r="J94" s="191">
        <f t="shared" si="39"/>
        <v>250000</v>
      </c>
      <c r="K94" s="191">
        <f t="shared" ref="K94:AJ94" si="48">K95</f>
        <v>0</v>
      </c>
      <c r="L94" s="191">
        <f t="shared" si="48"/>
        <v>0</v>
      </c>
      <c r="M94" s="191">
        <f t="shared" si="48"/>
        <v>0</v>
      </c>
      <c r="N94" s="191">
        <f t="shared" si="48"/>
        <v>0</v>
      </c>
      <c r="O94" s="191">
        <f t="shared" si="48"/>
        <v>0</v>
      </c>
      <c r="P94" s="191">
        <f t="shared" si="48"/>
        <v>0</v>
      </c>
      <c r="Q94" s="191">
        <f t="shared" si="48"/>
        <v>0</v>
      </c>
      <c r="R94" s="191">
        <f t="shared" si="48"/>
        <v>0</v>
      </c>
      <c r="S94" s="191">
        <f t="shared" si="48"/>
        <v>0</v>
      </c>
      <c r="T94" s="191">
        <f t="shared" si="48"/>
        <v>0</v>
      </c>
      <c r="U94" s="191">
        <f t="shared" si="48"/>
        <v>0</v>
      </c>
      <c r="V94" s="191">
        <f t="shared" si="48"/>
        <v>0</v>
      </c>
      <c r="W94" s="191">
        <f t="shared" si="48"/>
        <v>0</v>
      </c>
      <c r="X94" s="191">
        <f t="shared" si="48"/>
        <v>0</v>
      </c>
      <c r="Y94" s="191">
        <f t="shared" si="41"/>
        <v>0</v>
      </c>
      <c r="Z94" s="191">
        <f t="shared" si="48"/>
        <v>0</v>
      </c>
      <c r="AA94" s="191">
        <f t="shared" si="48"/>
        <v>0</v>
      </c>
      <c r="AB94" s="191">
        <f t="shared" si="48"/>
        <v>0</v>
      </c>
      <c r="AC94" s="191">
        <f t="shared" si="42"/>
        <v>0</v>
      </c>
      <c r="AD94" s="191">
        <f t="shared" si="48"/>
        <v>0</v>
      </c>
      <c r="AE94" s="191">
        <f t="shared" si="48"/>
        <v>0</v>
      </c>
      <c r="AF94" s="191">
        <f t="shared" si="48"/>
        <v>0</v>
      </c>
      <c r="AG94" s="191">
        <f t="shared" si="43"/>
        <v>0</v>
      </c>
      <c r="AH94" s="191">
        <f t="shared" si="48"/>
        <v>0</v>
      </c>
      <c r="AI94" s="191">
        <f t="shared" si="48"/>
        <v>0</v>
      </c>
      <c r="AJ94" s="191">
        <f t="shared" si="48"/>
        <v>0</v>
      </c>
      <c r="AK94" s="191">
        <f t="shared" si="44"/>
        <v>0</v>
      </c>
      <c r="AL94" s="191">
        <f t="shared" si="45"/>
        <v>0</v>
      </c>
    </row>
    <row r="95" spans="2:38" x14ac:dyDescent="0.25">
      <c r="B95" s="201" t="s">
        <v>342</v>
      </c>
      <c r="C95" s="202" t="s">
        <v>224</v>
      </c>
      <c r="D95" s="203">
        <f>SUM(D96:D106)</f>
        <v>0</v>
      </c>
      <c r="E95" s="203">
        <f>SUM(E96:E106)</f>
        <v>250000</v>
      </c>
      <c r="F95" s="203">
        <f t="shared" si="37"/>
        <v>250000</v>
      </c>
      <c r="G95" s="203">
        <f>G106</f>
        <v>0</v>
      </c>
      <c r="H95" s="203">
        <f t="shared" si="38"/>
        <v>250000</v>
      </c>
      <c r="I95" s="203">
        <f>I106</f>
        <v>0</v>
      </c>
      <c r="J95" s="203">
        <f t="shared" si="39"/>
        <v>250000</v>
      </c>
      <c r="K95" s="203">
        <f t="shared" ref="K95:X95" si="49">K106</f>
        <v>0</v>
      </c>
      <c r="L95" s="203">
        <f t="shared" si="49"/>
        <v>0</v>
      </c>
      <c r="M95" s="203">
        <f t="shared" si="49"/>
        <v>0</v>
      </c>
      <c r="N95" s="203">
        <f t="shared" si="49"/>
        <v>0</v>
      </c>
      <c r="O95" s="203">
        <f t="shared" si="49"/>
        <v>0</v>
      </c>
      <c r="P95" s="203">
        <f t="shared" si="49"/>
        <v>0</v>
      </c>
      <c r="Q95" s="203">
        <f t="shared" si="49"/>
        <v>0</v>
      </c>
      <c r="R95" s="203">
        <f t="shared" si="49"/>
        <v>0</v>
      </c>
      <c r="S95" s="203">
        <f t="shared" si="49"/>
        <v>0</v>
      </c>
      <c r="T95" s="203">
        <f t="shared" si="49"/>
        <v>0</v>
      </c>
      <c r="U95" s="203">
        <f t="shared" si="49"/>
        <v>0</v>
      </c>
      <c r="V95" s="203">
        <f t="shared" si="49"/>
        <v>0</v>
      </c>
      <c r="W95" s="203">
        <f t="shared" si="49"/>
        <v>0</v>
      </c>
      <c r="X95" s="203">
        <f t="shared" si="49"/>
        <v>0</v>
      </c>
      <c r="Y95" s="203">
        <f t="shared" si="41"/>
        <v>0</v>
      </c>
      <c r="Z95" s="203">
        <f>Z106</f>
        <v>0</v>
      </c>
      <c r="AA95" s="203">
        <f>AA106</f>
        <v>0</v>
      </c>
      <c r="AB95" s="203">
        <f>AB106</f>
        <v>0</v>
      </c>
      <c r="AC95" s="203">
        <f t="shared" si="42"/>
        <v>0</v>
      </c>
      <c r="AD95" s="203">
        <f>AD106</f>
        <v>0</v>
      </c>
      <c r="AE95" s="203">
        <f>AE106</f>
        <v>0</v>
      </c>
      <c r="AF95" s="203">
        <f>AF106</f>
        <v>0</v>
      </c>
      <c r="AG95" s="203">
        <f t="shared" si="43"/>
        <v>0</v>
      </c>
      <c r="AH95" s="203">
        <f>AH106</f>
        <v>0</v>
      </c>
      <c r="AI95" s="203">
        <f>AI106</f>
        <v>0</v>
      </c>
      <c r="AJ95" s="203">
        <f>AJ106</f>
        <v>0</v>
      </c>
      <c r="AK95" s="203">
        <f t="shared" si="44"/>
        <v>0</v>
      </c>
      <c r="AL95" s="203">
        <f t="shared" si="45"/>
        <v>0</v>
      </c>
    </row>
    <row r="96" spans="2:38" x14ac:dyDescent="0.25">
      <c r="B96" s="192" t="s">
        <v>355</v>
      </c>
      <c r="C96" s="193" t="s">
        <v>237</v>
      </c>
      <c r="D9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250000</v>
      </c>
      <c r="F96" s="194">
        <f t="shared" si="37"/>
        <v>250000</v>
      </c>
      <c r="G96" s="194"/>
      <c r="H96" s="194">
        <f t="shared" si="38"/>
        <v>250000</v>
      </c>
      <c r="I96" s="194"/>
      <c r="J96" s="194">
        <f t="shared" si="39"/>
        <v>250000</v>
      </c>
      <c r="K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250000</v>
      </c>
      <c r="L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194">
        <f t="shared" si="41"/>
        <v>0</v>
      </c>
      <c r="Z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194">
        <f t="shared" si="42"/>
        <v>0</v>
      </c>
      <c r="AD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194">
        <f t="shared" si="43"/>
        <v>0</v>
      </c>
      <c r="AH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250000</v>
      </c>
      <c r="AI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194">
        <f t="shared" si="44"/>
        <v>250000</v>
      </c>
      <c r="AL96" s="194">
        <f t="shared" si="45"/>
        <v>250000</v>
      </c>
    </row>
    <row r="97" spans="2:38" x14ac:dyDescent="0.25">
      <c r="B97" s="192" t="s">
        <v>785</v>
      </c>
      <c r="C97" s="193" t="s">
        <v>786</v>
      </c>
      <c r="D9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7" s="194">
        <f t="shared" si="37"/>
        <v>0</v>
      </c>
      <c r="G97" s="194"/>
      <c r="H97" s="194">
        <f t="shared" si="38"/>
        <v>0</v>
      </c>
      <c r="I97" s="194"/>
      <c r="J97" s="194">
        <f t="shared" si="39"/>
        <v>0</v>
      </c>
      <c r="K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194">
        <f t="shared" si="41"/>
        <v>0</v>
      </c>
      <c r="Z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7" s="194">
        <f t="shared" si="42"/>
        <v>0</v>
      </c>
      <c r="AD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194">
        <f t="shared" si="43"/>
        <v>0</v>
      </c>
      <c r="AH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194">
        <f t="shared" si="44"/>
        <v>0</v>
      </c>
      <c r="AL97" s="194">
        <f t="shared" si="45"/>
        <v>0</v>
      </c>
    </row>
    <row r="98" spans="2:38" x14ac:dyDescent="0.25">
      <c r="B98" s="192" t="s">
        <v>787</v>
      </c>
      <c r="C98" s="193" t="s">
        <v>788</v>
      </c>
      <c r="D9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194">
        <f t="shared" si="37"/>
        <v>0</v>
      </c>
      <c r="G98" s="194"/>
      <c r="H98" s="194">
        <f t="shared" si="38"/>
        <v>0</v>
      </c>
      <c r="I98" s="194"/>
      <c r="J98" s="194">
        <f t="shared" si="39"/>
        <v>0</v>
      </c>
      <c r="K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194">
        <f t="shared" si="41"/>
        <v>0</v>
      </c>
      <c r="Z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194">
        <f t="shared" si="42"/>
        <v>0</v>
      </c>
      <c r="AD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194">
        <f t="shared" si="43"/>
        <v>0</v>
      </c>
      <c r="AH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194">
        <f t="shared" si="44"/>
        <v>0</v>
      </c>
      <c r="AL98" s="194">
        <f t="shared" si="45"/>
        <v>0</v>
      </c>
    </row>
    <row r="99" spans="2:38" x14ac:dyDescent="0.25">
      <c r="B99" s="192" t="s">
        <v>789</v>
      </c>
      <c r="C99" s="193" t="s">
        <v>790</v>
      </c>
      <c r="D9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194">
        <f t="shared" si="37"/>
        <v>0</v>
      </c>
      <c r="G99" s="194"/>
      <c r="H99" s="194">
        <f t="shared" si="38"/>
        <v>0</v>
      </c>
      <c r="I99" s="194"/>
      <c r="J99" s="194">
        <f t="shared" si="39"/>
        <v>0</v>
      </c>
      <c r="K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194">
        <f t="shared" si="41"/>
        <v>0</v>
      </c>
      <c r="Z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194">
        <f t="shared" si="42"/>
        <v>0</v>
      </c>
      <c r="AD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194">
        <f t="shared" si="43"/>
        <v>0</v>
      </c>
      <c r="AH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194">
        <f t="shared" si="44"/>
        <v>0</v>
      </c>
      <c r="AL99" s="194">
        <f t="shared" si="45"/>
        <v>0</v>
      </c>
    </row>
    <row r="100" spans="2:38" x14ac:dyDescent="0.25">
      <c r="B100" s="192" t="s">
        <v>791</v>
      </c>
      <c r="C100" s="193" t="s">
        <v>792</v>
      </c>
      <c r="D10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194">
        <f t="shared" si="37"/>
        <v>0</v>
      </c>
      <c r="G100" s="194"/>
      <c r="H100" s="194">
        <f t="shared" si="38"/>
        <v>0</v>
      </c>
      <c r="I100" s="194"/>
      <c r="J100" s="194">
        <f t="shared" si="39"/>
        <v>0</v>
      </c>
      <c r="K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194">
        <f t="shared" si="41"/>
        <v>0</v>
      </c>
      <c r="Z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194">
        <f t="shared" si="42"/>
        <v>0</v>
      </c>
      <c r="AD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194">
        <f t="shared" si="43"/>
        <v>0</v>
      </c>
      <c r="AH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194">
        <f t="shared" si="44"/>
        <v>0</v>
      </c>
      <c r="AL100" s="194">
        <f t="shared" si="45"/>
        <v>0</v>
      </c>
    </row>
    <row r="101" spans="2:38" x14ac:dyDescent="0.25">
      <c r="B101" s="192" t="s">
        <v>793</v>
      </c>
      <c r="C101" s="193" t="s">
        <v>794</v>
      </c>
      <c r="D10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194">
        <f t="shared" si="37"/>
        <v>0</v>
      </c>
      <c r="G101" s="194"/>
      <c r="H101" s="194">
        <f t="shared" si="38"/>
        <v>0</v>
      </c>
      <c r="I101" s="194"/>
      <c r="J101" s="194">
        <f t="shared" si="39"/>
        <v>0</v>
      </c>
      <c r="K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194">
        <f t="shared" si="41"/>
        <v>0</v>
      </c>
      <c r="Z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194">
        <f t="shared" si="42"/>
        <v>0</v>
      </c>
      <c r="AD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194">
        <f t="shared" si="43"/>
        <v>0</v>
      </c>
      <c r="AH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194">
        <f t="shared" si="44"/>
        <v>0</v>
      </c>
      <c r="AL101" s="194">
        <f t="shared" si="45"/>
        <v>0</v>
      </c>
    </row>
    <row r="102" spans="2:38" x14ac:dyDescent="0.25">
      <c r="B102" s="192" t="s">
        <v>795</v>
      </c>
      <c r="C102" s="193" t="s">
        <v>796</v>
      </c>
      <c r="D10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194">
        <f t="shared" si="37"/>
        <v>0</v>
      </c>
      <c r="G102" s="194"/>
      <c r="H102" s="194">
        <f t="shared" si="38"/>
        <v>0</v>
      </c>
      <c r="I102" s="194"/>
      <c r="J102" s="194">
        <f t="shared" si="39"/>
        <v>0</v>
      </c>
      <c r="K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194">
        <f t="shared" si="41"/>
        <v>0</v>
      </c>
      <c r="Z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194">
        <f t="shared" si="42"/>
        <v>0</v>
      </c>
      <c r="AD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194">
        <f t="shared" si="43"/>
        <v>0</v>
      </c>
      <c r="AH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194">
        <f t="shared" si="44"/>
        <v>0</v>
      </c>
      <c r="AL102" s="194">
        <f t="shared" si="45"/>
        <v>0</v>
      </c>
    </row>
    <row r="103" spans="2:38" x14ac:dyDescent="0.25">
      <c r="B103" s="192" t="s">
        <v>797</v>
      </c>
      <c r="C103" s="193" t="s">
        <v>798</v>
      </c>
      <c r="D10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194">
        <f t="shared" si="37"/>
        <v>0</v>
      </c>
      <c r="G103" s="194"/>
      <c r="H103" s="194">
        <f t="shared" si="38"/>
        <v>0</v>
      </c>
      <c r="I103" s="194"/>
      <c r="J103" s="194">
        <f t="shared" si="39"/>
        <v>0</v>
      </c>
      <c r="K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194">
        <f t="shared" si="41"/>
        <v>0</v>
      </c>
      <c r="Z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194">
        <f t="shared" si="42"/>
        <v>0</v>
      </c>
      <c r="AD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194">
        <f t="shared" si="43"/>
        <v>0</v>
      </c>
      <c r="AH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194">
        <f t="shared" si="44"/>
        <v>0</v>
      </c>
      <c r="AL103" s="194">
        <f t="shared" si="45"/>
        <v>0</v>
      </c>
    </row>
    <row r="104" spans="2:38" x14ac:dyDescent="0.25">
      <c r="B104" s="192" t="s">
        <v>799</v>
      </c>
      <c r="C104" s="193" t="s">
        <v>800</v>
      </c>
      <c r="D10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194">
        <f t="shared" si="37"/>
        <v>0</v>
      </c>
      <c r="G104" s="194"/>
      <c r="H104" s="194">
        <f t="shared" si="38"/>
        <v>0</v>
      </c>
      <c r="I104" s="194"/>
      <c r="J104" s="194">
        <f t="shared" si="39"/>
        <v>0</v>
      </c>
      <c r="K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194">
        <f t="shared" si="41"/>
        <v>0</v>
      </c>
      <c r="Z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194">
        <f t="shared" si="42"/>
        <v>0</v>
      </c>
      <c r="AD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194">
        <f t="shared" si="43"/>
        <v>0</v>
      </c>
      <c r="AH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194">
        <f t="shared" si="44"/>
        <v>0</v>
      </c>
      <c r="AL104" s="194">
        <f t="shared" si="45"/>
        <v>0</v>
      </c>
    </row>
    <row r="105" spans="2:38" x14ac:dyDescent="0.25">
      <c r="B105" s="192" t="s">
        <v>801</v>
      </c>
      <c r="C105" s="193" t="s">
        <v>802</v>
      </c>
      <c r="D10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194">
        <f t="shared" si="37"/>
        <v>0</v>
      </c>
      <c r="G105" s="194"/>
      <c r="H105" s="194">
        <f t="shared" si="38"/>
        <v>0</v>
      </c>
      <c r="I105" s="194"/>
      <c r="J105" s="194">
        <f t="shared" si="39"/>
        <v>0</v>
      </c>
      <c r="K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194">
        <f t="shared" si="41"/>
        <v>0</v>
      </c>
      <c r="Z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194">
        <f t="shared" si="42"/>
        <v>0</v>
      </c>
      <c r="AD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194">
        <f t="shared" si="43"/>
        <v>0</v>
      </c>
      <c r="AH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194">
        <f t="shared" si="44"/>
        <v>0</v>
      </c>
      <c r="AL105" s="194">
        <f t="shared" si="45"/>
        <v>0</v>
      </c>
    </row>
    <row r="106" spans="2:38" x14ac:dyDescent="0.25">
      <c r="B106" s="192" t="s">
        <v>803</v>
      </c>
      <c r="C106" s="193" t="s">
        <v>804</v>
      </c>
      <c r="D10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194">
        <f t="shared" si="37"/>
        <v>0</v>
      </c>
      <c r="G106" s="194"/>
      <c r="H106" s="194">
        <f t="shared" si="38"/>
        <v>0</v>
      </c>
      <c r="I106" s="194"/>
      <c r="J106" s="194">
        <f t="shared" si="39"/>
        <v>0</v>
      </c>
      <c r="K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194">
        <f t="shared" si="41"/>
        <v>0</v>
      </c>
      <c r="Z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194">
        <f t="shared" si="42"/>
        <v>0</v>
      </c>
      <c r="AD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194">
        <f t="shared" si="43"/>
        <v>0</v>
      </c>
      <c r="AH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194">
        <f t="shared" si="44"/>
        <v>0</v>
      </c>
      <c r="AL106" s="194">
        <f t="shared" si="45"/>
        <v>0</v>
      </c>
    </row>
    <row r="107" spans="2:38" x14ac:dyDescent="0.25">
      <c r="B107" s="189" t="s">
        <v>356</v>
      </c>
      <c r="C107" s="190" t="s">
        <v>238</v>
      </c>
      <c r="D107" s="191">
        <f>D108+D119+D134+D150+D165+D191+D194+D201</f>
        <v>40000</v>
      </c>
      <c r="E107" s="191">
        <f>E108+E119+E134+E150+E165+E191+E194+E201</f>
        <v>5365772.18</v>
      </c>
      <c r="F107" s="191">
        <f t="shared" si="37"/>
        <v>5405772.1799999997</v>
      </c>
      <c r="G107" s="191">
        <f>G108+G119+G134+G150+G165+G191+G194+G201</f>
        <v>0</v>
      </c>
      <c r="H107" s="191">
        <f t="shared" si="38"/>
        <v>5405772.1799999997</v>
      </c>
      <c r="I107" s="191">
        <f>I108+I119+I134+I150+I165+I191+I194+I201</f>
        <v>0</v>
      </c>
      <c r="J107" s="191">
        <f t="shared" si="39"/>
        <v>5405772.1799999997</v>
      </c>
      <c r="K107" s="191">
        <f t="shared" ref="K107:X107" si="50">K108+K119+K134+K150+K165+K191+K194+K201</f>
        <v>206900</v>
      </c>
      <c r="L107" s="191">
        <f t="shared" si="50"/>
        <v>501500</v>
      </c>
      <c r="M107" s="191">
        <f t="shared" si="50"/>
        <v>55500</v>
      </c>
      <c r="N107" s="191">
        <f t="shared" si="50"/>
        <v>1039200</v>
      </c>
      <c r="O107" s="191">
        <f t="shared" si="50"/>
        <v>1158485</v>
      </c>
      <c r="P107" s="191">
        <f t="shared" si="50"/>
        <v>699532.17999999993</v>
      </c>
      <c r="Q107" s="191">
        <f t="shared" si="50"/>
        <v>8000</v>
      </c>
      <c r="R107" s="191">
        <f t="shared" si="50"/>
        <v>10200</v>
      </c>
      <c r="S107" s="191">
        <f t="shared" si="50"/>
        <v>1423255</v>
      </c>
      <c r="T107" s="191">
        <f t="shared" si="50"/>
        <v>0</v>
      </c>
      <c r="U107" s="191">
        <f t="shared" si="50"/>
        <v>303200</v>
      </c>
      <c r="V107" s="191">
        <f t="shared" si="50"/>
        <v>1053400</v>
      </c>
      <c r="W107" s="191">
        <f t="shared" si="50"/>
        <v>2832315</v>
      </c>
      <c r="X107" s="191">
        <f t="shared" si="50"/>
        <v>120500</v>
      </c>
      <c r="Y107" s="191">
        <f t="shared" si="41"/>
        <v>4006215</v>
      </c>
      <c r="Z107" s="191">
        <f>Z108+Z119+Z134+Z150+Z165+Z191+Z194+Z201</f>
        <v>285500</v>
      </c>
      <c r="AA107" s="191">
        <f>AA108+AA119+AA134+AA150+AA165+AA191+AA194+AA201</f>
        <v>123275</v>
      </c>
      <c r="AB107" s="191">
        <f>AB108+AB119+AB134+AB150+AB165+AB191+AB194+AB201</f>
        <v>65400</v>
      </c>
      <c r="AC107" s="191">
        <f t="shared" si="42"/>
        <v>474175</v>
      </c>
      <c r="AD107" s="191">
        <f>AD108+AD119+AD134+AD150+AD165+AD191+AD194+AD201</f>
        <v>293532.18</v>
      </c>
      <c r="AE107" s="191">
        <f>AE108+AE119+AE134+AE150+AE165+AE191+AE194+AE201</f>
        <v>0</v>
      </c>
      <c r="AF107" s="191">
        <f>AF108+AF119+AF134+AF150+AF165+AF191+AF194+AF201</f>
        <v>11100</v>
      </c>
      <c r="AG107" s="191">
        <f t="shared" si="43"/>
        <v>304632.18</v>
      </c>
      <c r="AH107" s="191">
        <f>AH108+AH119+AH134+AH150+AH165+AH191+AH194+AH201</f>
        <v>500</v>
      </c>
      <c r="AI107" s="191">
        <f>AI108+AI119+AI134+AI150+AI165+AI191+AI194+AI201</f>
        <v>541400</v>
      </c>
      <c r="AJ107" s="191">
        <f>AJ108+AJ119+AJ134+AJ150+AJ165+AJ191+AJ194+AJ201</f>
        <v>0</v>
      </c>
      <c r="AK107" s="191">
        <f t="shared" si="44"/>
        <v>541900</v>
      </c>
      <c r="AL107" s="191">
        <f t="shared" si="45"/>
        <v>5326922.18</v>
      </c>
    </row>
    <row r="108" spans="2:38" x14ac:dyDescent="0.25">
      <c r="B108" s="201" t="s">
        <v>357</v>
      </c>
      <c r="C108" s="202" t="s">
        <v>239</v>
      </c>
      <c r="D108" s="203">
        <f>SUM(D109:D118)</f>
        <v>0</v>
      </c>
      <c r="E108" s="203">
        <f>SUM(E109:E118)</f>
        <v>46800</v>
      </c>
      <c r="F108" s="203">
        <f t="shared" si="37"/>
        <v>46800</v>
      </c>
      <c r="G108" s="203">
        <f>SUM(G109:G118)</f>
        <v>0</v>
      </c>
      <c r="H108" s="203">
        <f t="shared" si="38"/>
        <v>46800</v>
      </c>
      <c r="I108" s="203">
        <f>SUM(I109:I118)</f>
        <v>0</v>
      </c>
      <c r="J108" s="203">
        <f t="shared" si="39"/>
        <v>46800</v>
      </c>
      <c r="K108" s="203">
        <f t="shared" ref="K108:X108" si="51">SUM(K109:K118)</f>
        <v>0</v>
      </c>
      <c r="L108" s="203">
        <f t="shared" si="51"/>
        <v>0</v>
      </c>
      <c r="M108" s="203">
        <f t="shared" si="51"/>
        <v>0</v>
      </c>
      <c r="N108" s="203">
        <f t="shared" si="51"/>
        <v>46800</v>
      </c>
      <c r="O108" s="203">
        <f t="shared" si="51"/>
        <v>0</v>
      </c>
      <c r="P108" s="203">
        <f t="shared" si="51"/>
        <v>0</v>
      </c>
      <c r="Q108" s="203">
        <f t="shared" si="51"/>
        <v>0</v>
      </c>
      <c r="R108" s="203">
        <f t="shared" si="51"/>
        <v>0</v>
      </c>
      <c r="S108" s="203">
        <f t="shared" si="51"/>
        <v>0</v>
      </c>
      <c r="T108" s="203">
        <f t="shared" si="51"/>
        <v>0</v>
      </c>
      <c r="U108" s="203">
        <f t="shared" si="51"/>
        <v>0</v>
      </c>
      <c r="V108" s="203">
        <f t="shared" si="51"/>
        <v>46800</v>
      </c>
      <c r="W108" s="203">
        <f t="shared" si="51"/>
        <v>0</v>
      </c>
      <c r="X108" s="203">
        <f t="shared" si="51"/>
        <v>0</v>
      </c>
      <c r="Y108" s="203">
        <f t="shared" si="41"/>
        <v>46800</v>
      </c>
      <c r="Z108" s="203">
        <f>SUM(Z109:Z118)</f>
        <v>0</v>
      </c>
      <c r="AA108" s="203">
        <f>SUM(AA109:AA118)</f>
        <v>0</v>
      </c>
      <c r="AB108" s="203">
        <f>SUM(AB109:AB118)</f>
        <v>0</v>
      </c>
      <c r="AC108" s="203">
        <f t="shared" si="42"/>
        <v>0</v>
      </c>
      <c r="AD108" s="203">
        <f>SUM(AD109:AD118)</f>
        <v>0</v>
      </c>
      <c r="AE108" s="203">
        <f>SUM(AE109:AE118)</f>
        <v>0</v>
      </c>
      <c r="AF108" s="203">
        <f>SUM(AF109:AF118)</f>
        <v>0</v>
      </c>
      <c r="AG108" s="203">
        <f t="shared" si="43"/>
        <v>0</v>
      </c>
      <c r="AH108" s="203">
        <f>SUM(AH109:AH118)</f>
        <v>0</v>
      </c>
      <c r="AI108" s="203">
        <f>SUM(AI109:AI118)</f>
        <v>0</v>
      </c>
      <c r="AJ108" s="203">
        <f>SUM(AJ109:AJ118)</f>
        <v>0</v>
      </c>
      <c r="AK108" s="203">
        <f t="shared" si="44"/>
        <v>0</v>
      </c>
      <c r="AL108" s="203">
        <f t="shared" si="45"/>
        <v>46800</v>
      </c>
    </row>
    <row r="109" spans="2:38" x14ac:dyDescent="0.25">
      <c r="B109" s="192" t="s">
        <v>829</v>
      </c>
      <c r="C109" s="193" t="s">
        <v>190</v>
      </c>
      <c r="D10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28800</v>
      </c>
      <c r="F109" s="194">
        <f t="shared" si="37"/>
        <v>28800</v>
      </c>
      <c r="G109" s="194"/>
      <c r="H109" s="194">
        <f t="shared" ref="H109:H116" si="52">F109-G109</f>
        <v>28800</v>
      </c>
      <c r="I109" s="194"/>
      <c r="J109" s="194">
        <f t="shared" ref="J109:J116" si="53">F109-I109</f>
        <v>28800</v>
      </c>
      <c r="K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28800</v>
      </c>
      <c r="O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28800</v>
      </c>
      <c r="W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194">
        <f t="shared" ref="Y109:Y116" si="54">V109+W109+X109</f>
        <v>28800</v>
      </c>
      <c r="Z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194">
        <f t="shared" ref="AC109:AC116" si="55">Z109+AA109+AB109</f>
        <v>0</v>
      </c>
      <c r="AD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194">
        <f t="shared" ref="AG109:AG116" si="56">AD109+AE109+AF109</f>
        <v>0</v>
      </c>
      <c r="AH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194">
        <f t="shared" ref="AK109:AK116" si="57">AH109+AI109+AJ109</f>
        <v>0</v>
      </c>
      <c r="AL109" s="194">
        <f t="shared" ref="AL109:AL116" si="58">Y109+AC109+AG109+AK109</f>
        <v>28800</v>
      </c>
    </row>
    <row r="110" spans="2:38" x14ac:dyDescent="0.25">
      <c r="B110" s="192" t="s">
        <v>830</v>
      </c>
      <c r="C110" s="193" t="s">
        <v>831</v>
      </c>
      <c r="D11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18000</v>
      </c>
      <c r="F110" s="194">
        <f t="shared" si="37"/>
        <v>18000</v>
      </c>
      <c r="G110" s="194"/>
      <c r="H110" s="194">
        <f t="shared" si="52"/>
        <v>18000</v>
      </c>
      <c r="I110" s="194"/>
      <c r="J110" s="194">
        <f t="shared" si="53"/>
        <v>18000</v>
      </c>
      <c r="K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18000</v>
      </c>
      <c r="O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18000</v>
      </c>
      <c r="W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194">
        <f t="shared" si="54"/>
        <v>18000</v>
      </c>
      <c r="Z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194">
        <f t="shared" si="55"/>
        <v>0</v>
      </c>
      <c r="AD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194">
        <f t="shared" si="56"/>
        <v>0</v>
      </c>
      <c r="AH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194">
        <f t="shared" si="57"/>
        <v>0</v>
      </c>
      <c r="AL110" s="194">
        <f t="shared" si="58"/>
        <v>18000</v>
      </c>
    </row>
    <row r="111" spans="2:38" x14ac:dyDescent="0.25">
      <c r="B111" s="192" t="s">
        <v>832</v>
      </c>
      <c r="C111" s="193" t="s">
        <v>833</v>
      </c>
      <c r="D1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194">
        <f t="shared" si="37"/>
        <v>0</v>
      </c>
      <c r="G111" s="194"/>
      <c r="H111" s="194">
        <f t="shared" si="52"/>
        <v>0</v>
      </c>
      <c r="I111" s="194"/>
      <c r="J111" s="194">
        <f t="shared" si="53"/>
        <v>0</v>
      </c>
      <c r="K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194">
        <f t="shared" si="54"/>
        <v>0</v>
      </c>
      <c r="Z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194">
        <f t="shared" si="55"/>
        <v>0</v>
      </c>
      <c r="AD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194">
        <f t="shared" si="56"/>
        <v>0</v>
      </c>
      <c r="AH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194">
        <f t="shared" si="57"/>
        <v>0</v>
      </c>
      <c r="AL111" s="194">
        <f t="shared" si="58"/>
        <v>0</v>
      </c>
    </row>
    <row r="112" spans="2:38" x14ac:dyDescent="0.25">
      <c r="B112" s="192" t="s">
        <v>358</v>
      </c>
      <c r="C112" s="193" t="s">
        <v>240</v>
      </c>
      <c r="D11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194">
        <f t="shared" si="37"/>
        <v>0</v>
      </c>
      <c r="G112" s="194"/>
      <c r="H112" s="194">
        <f>F112-G112</f>
        <v>0</v>
      </c>
      <c r="I112" s="194"/>
      <c r="J112" s="194">
        <f>F112-I112</f>
        <v>0</v>
      </c>
      <c r="K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194">
        <f>V112+W112+X112</f>
        <v>0</v>
      </c>
      <c r="Z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194">
        <f>Z112+AA112+AB112</f>
        <v>0</v>
      </c>
      <c r="AD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194">
        <f>AD112+AE112+AF112</f>
        <v>0</v>
      </c>
      <c r="AH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194">
        <f>AH112+AI112+AJ112</f>
        <v>0</v>
      </c>
      <c r="AL112" s="194">
        <f>Y112+AC112+AG112+AK112</f>
        <v>0</v>
      </c>
    </row>
    <row r="113" spans="2:38" x14ac:dyDescent="0.25">
      <c r="B113" s="192" t="s">
        <v>834</v>
      </c>
      <c r="C113" s="193" t="s">
        <v>835</v>
      </c>
      <c r="D1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194">
        <f t="shared" si="37"/>
        <v>0</v>
      </c>
      <c r="G113" s="194"/>
      <c r="H113" s="194">
        <f>F113-G113</f>
        <v>0</v>
      </c>
      <c r="I113" s="194"/>
      <c r="J113" s="194">
        <f>F113-I113</f>
        <v>0</v>
      </c>
      <c r="K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194">
        <f>V113+W113+X113</f>
        <v>0</v>
      </c>
      <c r="Z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194">
        <f>Z113+AA113+AB113</f>
        <v>0</v>
      </c>
      <c r="AD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194">
        <f>AD113+AE113+AF113</f>
        <v>0</v>
      </c>
      <c r="AH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194">
        <f>AH113+AI113+AJ113</f>
        <v>0</v>
      </c>
      <c r="AL113" s="194">
        <f>Y113+AC113+AG113+AK113</f>
        <v>0</v>
      </c>
    </row>
    <row r="114" spans="2:38" x14ac:dyDescent="0.25">
      <c r="B114" s="192" t="s">
        <v>836</v>
      </c>
      <c r="C114" s="193" t="s">
        <v>837</v>
      </c>
      <c r="D1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194">
        <f t="shared" si="37"/>
        <v>0</v>
      </c>
      <c r="G114" s="194"/>
      <c r="H114" s="194">
        <f>F114-G114</f>
        <v>0</v>
      </c>
      <c r="I114" s="194"/>
      <c r="J114" s="194">
        <f>F114-I114</f>
        <v>0</v>
      </c>
      <c r="K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194">
        <f>V114+W114+X114</f>
        <v>0</v>
      </c>
      <c r="Z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194">
        <f>Z114+AA114+AB114</f>
        <v>0</v>
      </c>
      <c r="AD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194">
        <f>AD114+AE114+AF114</f>
        <v>0</v>
      </c>
      <c r="AH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194">
        <f>AH114+AI114+AJ114</f>
        <v>0</v>
      </c>
      <c r="AL114" s="194">
        <f>Y114+AC114+AG114+AK114</f>
        <v>0</v>
      </c>
    </row>
    <row r="115" spans="2:38" x14ac:dyDescent="0.25">
      <c r="B115" s="192" t="s">
        <v>838</v>
      </c>
      <c r="C115" s="193" t="s">
        <v>839</v>
      </c>
      <c r="D11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194">
        <f t="shared" si="37"/>
        <v>0</v>
      </c>
      <c r="G115" s="194"/>
      <c r="H115" s="194">
        <f>F115-G115</f>
        <v>0</v>
      </c>
      <c r="I115" s="194"/>
      <c r="J115" s="194">
        <f>F115-I115</f>
        <v>0</v>
      </c>
      <c r="K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194">
        <f>V115+W115+X115</f>
        <v>0</v>
      </c>
      <c r="Z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194">
        <f>Z115+AA115+AB115</f>
        <v>0</v>
      </c>
      <c r="AD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194">
        <f>AD115+AE115+AF115</f>
        <v>0</v>
      </c>
      <c r="AH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194">
        <f>AH115+AI115+AJ115</f>
        <v>0</v>
      </c>
      <c r="AL115" s="194">
        <f>Y115+AC115+AG115+AK115</f>
        <v>0</v>
      </c>
    </row>
    <row r="116" spans="2:38" x14ac:dyDescent="0.25">
      <c r="B116" s="192" t="s">
        <v>840</v>
      </c>
      <c r="C116" s="193" t="s">
        <v>841</v>
      </c>
      <c r="D11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194">
        <f t="shared" si="37"/>
        <v>0</v>
      </c>
      <c r="G116" s="194"/>
      <c r="H116" s="194">
        <f t="shared" si="52"/>
        <v>0</v>
      </c>
      <c r="I116" s="194"/>
      <c r="J116" s="194">
        <f t="shared" si="53"/>
        <v>0</v>
      </c>
      <c r="K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194">
        <f t="shared" si="54"/>
        <v>0</v>
      </c>
      <c r="Z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194">
        <f t="shared" si="55"/>
        <v>0</v>
      </c>
      <c r="AD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194">
        <f t="shared" si="56"/>
        <v>0</v>
      </c>
      <c r="AH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194">
        <f t="shared" si="57"/>
        <v>0</v>
      </c>
      <c r="AL116" s="194">
        <f t="shared" si="58"/>
        <v>0</v>
      </c>
    </row>
    <row r="117" spans="2:38" x14ac:dyDescent="0.25">
      <c r="B117" s="192" t="s">
        <v>842</v>
      </c>
      <c r="C117" s="193" t="s">
        <v>843</v>
      </c>
      <c r="D1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194">
        <f t="shared" si="37"/>
        <v>0</v>
      </c>
      <c r="G117" s="194"/>
      <c r="H117" s="194">
        <f>F117-G117</f>
        <v>0</v>
      </c>
      <c r="I117" s="194"/>
      <c r="J117" s="194">
        <f>F117-I117</f>
        <v>0</v>
      </c>
      <c r="K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194">
        <f>V117+W117+X117</f>
        <v>0</v>
      </c>
      <c r="Z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194">
        <f>Z117+AA117+AB117</f>
        <v>0</v>
      </c>
      <c r="AD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194">
        <f>AD117+AE117+AF117</f>
        <v>0</v>
      </c>
      <c r="AH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194">
        <f>AH117+AI117+AJ117</f>
        <v>0</v>
      </c>
      <c r="AL117" s="194">
        <f>Y117+AC117+AG117+AK117</f>
        <v>0</v>
      </c>
    </row>
    <row r="118" spans="2:38" x14ac:dyDescent="0.25">
      <c r="B118" s="192" t="s">
        <v>844</v>
      </c>
      <c r="C118" s="193" t="s">
        <v>845</v>
      </c>
      <c r="D11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194">
        <f t="shared" si="37"/>
        <v>0</v>
      </c>
      <c r="G118" s="194"/>
      <c r="H118" s="194">
        <f>F118-G118</f>
        <v>0</v>
      </c>
      <c r="I118" s="194"/>
      <c r="J118" s="194">
        <f>F118-I118</f>
        <v>0</v>
      </c>
      <c r="K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194">
        <f>V118+W118+X118</f>
        <v>0</v>
      </c>
      <c r="Z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194">
        <f>Z118+AA118+AB118</f>
        <v>0</v>
      </c>
      <c r="AD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194">
        <f>AD118+AE118+AF118</f>
        <v>0</v>
      </c>
      <c r="AH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194">
        <f>AH118+AI118+AJ118</f>
        <v>0</v>
      </c>
      <c r="AL118" s="194">
        <f>Y118+AC118+AG118+AK118</f>
        <v>0</v>
      </c>
    </row>
    <row r="119" spans="2:38" x14ac:dyDescent="0.25">
      <c r="B119" s="201" t="s">
        <v>359</v>
      </c>
      <c r="C119" s="202" t="s">
        <v>241</v>
      </c>
      <c r="D119" s="203">
        <f>SUM(D120:D133)</f>
        <v>0</v>
      </c>
      <c r="E119" s="203">
        <f>SUM(E120:E133)</f>
        <v>972000</v>
      </c>
      <c r="F119" s="203">
        <f t="shared" si="37"/>
        <v>972000</v>
      </c>
      <c r="G119" s="203">
        <f>SUM(G120:G133)</f>
        <v>0</v>
      </c>
      <c r="H119" s="203">
        <f>F119-G119</f>
        <v>972000</v>
      </c>
      <c r="I119" s="203">
        <f>SUM(I120:I133)</f>
        <v>0</v>
      </c>
      <c r="J119" s="203">
        <f>F119-I119</f>
        <v>972000</v>
      </c>
      <c r="K119" s="203">
        <f t="shared" ref="K119:AJ119" si="59">SUM(K120:K133)</f>
        <v>0</v>
      </c>
      <c r="L119" s="203">
        <f t="shared" si="59"/>
        <v>0</v>
      </c>
      <c r="M119" s="203">
        <f t="shared" si="59"/>
        <v>0</v>
      </c>
      <c r="N119" s="203">
        <f t="shared" si="59"/>
        <v>972000</v>
      </c>
      <c r="O119" s="203">
        <f t="shared" si="59"/>
        <v>0</v>
      </c>
      <c r="P119" s="203">
        <f t="shared" si="59"/>
        <v>0</v>
      </c>
      <c r="Q119" s="203">
        <f t="shared" si="59"/>
        <v>0</v>
      </c>
      <c r="R119" s="203">
        <f t="shared" si="59"/>
        <v>0</v>
      </c>
      <c r="S119" s="203">
        <f t="shared" si="59"/>
        <v>0</v>
      </c>
      <c r="T119" s="203">
        <f t="shared" si="59"/>
        <v>0</v>
      </c>
      <c r="U119" s="203">
        <f t="shared" si="59"/>
        <v>0</v>
      </c>
      <c r="V119" s="203">
        <f t="shared" si="59"/>
        <v>972000</v>
      </c>
      <c r="W119" s="203">
        <f t="shared" si="59"/>
        <v>0</v>
      </c>
      <c r="X119" s="203">
        <f t="shared" si="59"/>
        <v>0</v>
      </c>
      <c r="Y119" s="203">
        <f>V119+W119+X119</f>
        <v>972000</v>
      </c>
      <c r="Z119" s="203">
        <f t="shared" si="59"/>
        <v>0</v>
      </c>
      <c r="AA119" s="203">
        <f t="shared" si="59"/>
        <v>0</v>
      </c>
      <c r="AB119" s="203">
        <f t="shared" si="59"/>
        <v>0</v>
      </c>
      <c r="AC119" s="203">
        <f>Z119+AA119+AB119</f>
        <v>0</v>
      </c>
      <c r="AD119" s="203">
        <f t="shared" si="59"/>
        <v>0</v>
      </c>
      <c r="AE119" s="203">
        <f t="shared" si="59"/>
        <v>0</v>
      </c>
      <c r="AF119" s="203">
        <f t="shared" si="59"/>
        <v>0</v>
      </c>
      <c r="AG119" s="203">
        <f>AD119+AE119+AF119</f>
        <v>0</v>
      </c>
      <c r="AH119" s="203">
        <f t="shared" si="59"/>
        <v>0</v>
      </c>
      <c r="AI119" s="203">
        <f t="shared" si="59"/>
        <v>0</v>
      </c>
      <c r="AJ119" s="203">
        <f t="shared" si="59"/>
        <v>0</v>
      </c>
      <c r="AK119" s="203">
        <f>AH119+AI119+AJ119</f>
        <v>0</v>
      </c>
      <c r="AL119" s="203">
        <f>Y119+AC119+AG119+AK119</f>
        <v>972000</v>
      </c>
    </row>
    <row r="120" spans="2:38" x14ac:dyDescent="0.25">
      <c r="B120" s="192" t="s">
        <v>360</v>
      </c>
      <c r="C120" s="193" t="s">
        <v>242</v>
      </c>
      <c r="D1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194">
        <f t="shared" si="37"/>
        <v>0</v>
      </c>
      <c r="G120" s="194"/>
      <c r="H120" s="194">
        <f>F120-G120</f>
        <v>0</v>
      </c>
      <c r="I120" s="194"/>
      <c r="J120" s="194">
        <f>F120-I120</f>
        <v>0</v>
      </c>
      <c r="K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194">
        <f>V120+W120+X120</f>
        <v>0</v>
      </c>
      <c r="Z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194">
        <f>Z120+AA120+AB120</f>
        <v>0</v>
      </c>
      <c r="AD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194">
        <f>AD120+AE120+AF120</f>
        <v>0</v>
      </c>
      <c r="AH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194">
        <f>AH120+AI120+AJ120</f>
        <v>0</v>
      </c>
      <c r="AL120" s="194">
        <f>Y120+AC120+AG120+AK120</f>
        <v>0</v>
      </c>
    </row>
    <row r="121" spans="2:38" x14ac:dyDescent="0.25">
      <c r="B121" s="192" t="s">
        <v>846</v>
      </c>
      <c r="C121" s="193" t="s">
        <v>847</v>
      </c>
      <c r="D12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194">
        <f t="shared" ref="F121:F126" si="60">D121+E121</f>
        <v>0</v>
      </c>
      <c r="G121" s="194"/>
      <c r="H121" s="194">
        <f t="shared" ref="H121:H126" si="61">F121-G121</f>
        <v>0</v>
      </c>
      <c r="I121" s="194"/>
      <c r="J121" s="194">
        <f t="shared" ref="J121:J126" si="62">F121-I121</f>
        <v>0</v>
      </c>
      <c r="K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194">
        <f t="shared" ref="Y121:Y126" si="63">V121+W121+X121</f>
        <v>0</v>
      </c>
      <c r="Z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194">
        <f t="shared" ref="AC121:AC126" si="64">Z121+AA121+AB121</f>
        <v>0</v>
      </c>
      <c r="AD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194">
        <f t="shared" ref="AG121:AG126" si="65">AD121+AE121+AF121</f>
        <v>0</v>
      </c>
      <c r="AH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194">
        <f t="shared" ref="AK121:AK126" si="66">AH121+AI121+AJ121</f>
        <v>0</v>
      </c>
      <c r="AL121" s="194">
        <f t="shared" ref="AL121:AL126" si="67">Y121+AC121+AG121+AK121</f>
        <v>0</v>
      </c>
    </row>
    <row r="122" spans="2:38" x14ac:dyDescent="0.25">
      <c r="B122" s="192" t="s">
        <v>361</v>
      </c>
      <c r="C122" s="193" t="s">
        <v>243</v>
      </c>
      <c r="D1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194">
        <f t="shared" si="60"/>
        <v>0</v>
      </c>
      <c r="G122" s="194"/>
      <c r="H122" s="194">
        <f t="shared" si="61"/>
        <v>0</v>
      </c>
      <c r="I122" s="194"/>
      <c r="J122" s="194">
        <f t="shared" si="62"/>
        <v>0</v>
      </c>
      <c r="K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194">
        <f t="shared" si="63"/>
        <v>0</v>
      </c>
      <c r="Z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194">
        <f t="shared" si="64"/>
        <v>0</v>
      </c>
      <c r="AD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194">
        <f t="shared" si="65"/>
        <v>0</v>
      </c>
      <c r="AH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194">
        <f t="shared" si="66"/>
        <v>0</v>
      </c>
      <c r="AL122" s="194">
        <f t="shared" si="67"/>
        <v>0</v>
      </c>
    </row>
    <row r="123" spans="2:38" x14ac:dyDescent="0.25">
      <c r="B123" s="192" t="s">
        <v>848</v>
      </c>
      <c r="C123" s="193" t="s">
        <v>849</v>
      </c>
      <c r="D1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194">
        <f t="shared" si="60"/>
        <v>0</v>
      </c>
      <c r="G123" s="194"/>
      <c r="H123" s="194">
        <f t="shared" si="61"/>
        <v>0</v>
      </c>
      <c r="I123" s="194"/>
      <c r="J123" s="194">
        <f t="shared" si="62"/>
        <v>0</v>
      </c>
      <c r="K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194">
        <f t="shared" si="63"/>
        <v>0</v>
      </c>
      <c r="Z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194">
        <f t="shared" si="64"/>
        <v>0</v>
      </c>
      <c r="AD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194">
        <f t="shared" si="65"/>
        <v>0</v>
      </c>
      <c r="AH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194">
        <f t="shared" si="66"/>
        <v>0</v>
      </c>
      <c r="AL123" s="194">
        <f t="shared" si="67"/>
        <v>0</v>
      </c>
    </row>
    <row r="124" spans="2:38" x14ac:dyDescent="0.25">
      <c r="B124" s="192" t="s">
        <v>850</v>
      </c>
      <c r="C124" s="193" t="s">
        <v>851</v>
      </c>
      <c r="D1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194">
        <f t="shared" si="60"/>
        <v>0</v>
      </c>
      <c r="G124" s="194"/>
      <c r="H124" s="194">
        <f t="shared" si="61"/>
        <v>0</v>
      </c>
      <c r="I124" s="194"/>
      <c r="J124" s="194">
        <f t="shared" si="62"/>
        <v>0</v>
      </c>
      <c r="K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194">
        <f t="shared" si="63"/>
        <v>0</v>
      </c>
      <c r="Z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194">
        <f t="shared" si="64"/>
        <v>0</v>
      </c>
      <c r="AD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194">
        <f t="shared" si="65"/>
        <v>0</v>
      </c>
      <c r="AH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194">
        <f t="shared" si="66"/>
        <v>0</v>
      </c>
      <c r="AL124" s="194">
        <f t="shared" si="67"/>
        <v>0</v>
      </c>
    </row>
    <row r="125" spans="2:38" x14ac:dyDescent="0.25">
      <c r="B125" s="192" t="s">
        <v>852</v>
      </c>
      <c r="C125" s="193" t="s">
        <v>853</v>
      </c>
      <c r="D12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194">
        <f t="shared" si="60"/>
        <v>0</v>
      </c>
      <c r="G125" s="194"/>
      <c r="H125" s="194">
        <f t="shared" si="61"/>
        <v>0</v>
      </c>
      <c r="I125" s="194"/>
      <c r="J125" s="194">
        <f t="shared" si="62"/>
        <v>0</v>
      </c>
      <c r="K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194">
        <f t="shared" si="63"/>
        <v>0</v>
      </c>
      <c r="Z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194">
        <f t="shared" si="64"/>
        <v>0</v>
      </c>
      <c r="AD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194">
        <f t="shared" si="65"/>
        <v>0</v>
      </c>
      <c r="AH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194">
        <f t="shared" si="66"/>
        <v>0</v>
      </c>
      <c r="AL125" s="194">
        <f t="shared" si="67"/>
        <v>0</v>
      </c>
    </row>
    <row r="126" spans="2:38" x14ac:dyDescent="0.25">
      <c r="B126" s="192" t="s">
        <v>854</v>
      </c>
      <c r="C126" s="193" t="s">
        <v>855</v>
      </c>
      <c r="D12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194">
        <f t="shared" si="60"/>
        <v>0</v>
      </c>
      <c r="G126" s="194"/>
      <c r="H126" s="194">
        <f t="shared" si="61"/>
        <v>0</v>
      </c>
      <c r="I126" s="194"/>
      <c r="J126" s="194">
        <f t="shared" si="62"/>
        <v>0</v>
      </c>
      <c r="K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194">
        <f t="shared" si="63"/>
        <v>0</v>
      </c>
      <c r="Z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194">
        <f t="shared" si="64"/>
        <v>0</v>
      </c>
      <c r="AD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194">
        <f t="shared" si="65"/>
        <v>0</v>
      </c>
      <c r="AH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194">
        <f t="shared" si="66"/>
        <v>0</v>
      </c>
      <c r="AL126" s="194">
        <f t="shared" si="67"/>
        <v>0</v>
      </c>
    </row>
    <row r="127" spans="2:38" x14ac:dyDescent="0.25">
      <c r="B127" s="192" t="s">
        <v>856</v>
      </c>
      <c r="C127" s="193" t="s">
        <v>857</v>
      </c>
      <c r="D12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194">
        <f t="shared" ref="F127:F138" si="68">D127+E127</f>
        <v>0</v>
      </c>
      <c r="G127" s="194"/>
      <c r="H127" s="194">
        <f t="shared" ref="H127:H134" si="69">F127-G127</f>
        <v>0</v>
      </c>
      <c r="I127" s="194"/>
      <c r="J127" s="194">
        <f t="shared" ref="J127:J134" si="70">F127-I127</f>
        <v>0</v>
      </c>
      <c r="K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194">
        <f t="shared" ref="Y127:Y134" si="71">V127+W127+X127</f>
        <v>0</v>
      </c>
      <c r="Z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194">
        <f t="shared" ref="AC127:AC134" si="72">Z127+AA127+AB127</f>
        <v>0</v>
      </c>
      <c r="AD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194">
        <f t="shared" ref="AG127:AG134" si="73">AD127+AE127+AF127</f>
        <v>0</v>
      </c>
      <c r="AH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194">
        <f t="shared" ref="AK127:AK134" si="74">AH127+AI127+AJ127</f>
        <v>0</v>
      </c>
      <c r="AL127" s="194">
        <f t="shared" ref="AL127:AL134" si="75">Y127+AC127+AG127+AK127</f>
        <v>0</v>
      </c>
    </row>
    <row r="128" spans="2:38" x14ac:dyDescent="0.25">
      <c r="B128" s="192" t="s">
        <v>858</v>
      </c>
      <c r="C128" s="193" t="s">
        <v>859</v>
      </c>
      <c r="D12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194">
        <f t="shared" si="68"/>
        <v>0</v>
      </c>
      <c r="G128" s="194"/>
      <c r="H128" s="194">
        <f t="shared" si="69"/>
        <v>0</v>
      </c>
      <c r="I128" s="194"/>
      <c r="J128" s="194">
        <f t="shared" si="70"/>
        <v>0</v>
      </c>
      <c r="K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194">
        <f t="shared" si="71"/>
        <v>0</v>
      </c>
      <c r="Z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194">
        <f t="shared" si="72"/>
        <v>0</v>
      </c>
      <c r="AD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194">
        <f t="shared" si="73"/>
        <v>0</v>
      </c>
      <c r="AH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194">
        <f t="shared" si="74"/>
        <v>0</v>
      </c>
      <c r="AL128" s="194">
        <f t="shared" si="75"/>
        <v>0</v>
      </c>
    </row>
    <row r="129" spans="2:38" x14ac:dyDescent="0.25">
      <c r="B129" s="192" t="s">
        <v>860</v>
      </c>
      <c r="C129" s="193" t="s">
        <v>861</v>
      </c>
      <c r="D12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194">
        <f t="shared" si="68"/>
        <v>0</v>
      </c>
      <c r="G129" s="194"/>
      <c r="H129" s="194">
        <f t="shared" si="69"/>
        <v>0</v>
      </c>
      <c r="I129" s="194"/>
      <c r="J129" s="194">
        <f t="shared" si="70"/>
        <v>0</v>
      </c>
      <c r="K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194">
        <f t="shared" si="71"/>
        <v>0</v>
      </c>
      <c r="Z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194">
        <f t="shared" si="72"/>
        <v>0</v>
      </c>
      <c r="AD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194">
        <f t="shared" si="73"/>
        <v>0</v>
      </c>
      <c r="AH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194">
        <f t="shared" si="74"/>
        <v>0</v>
      </c>
      <c r="AL129" s="194">
        <f t="shared" si="75"/>
        <v>0</v>
      </c>
    </row>
    <row r="130" spans="2:38" x14ac:dyDescent="0.25">
      <c r="B130" s="192" t="s">
        <v>362</v>
      </c>
      <c r="C130" s="193" t="s">
        <v>244</v>
      </c>
      <c r="D1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194">
        <f t="shared" si="68"/>
        <v>0</v>
      </c>
      <c r="G130" s="194"/>
      <c r="H130" s="194">
        <f t="shared" si="69"/>
        <v>0</v>
      </c>
      <c r="I130" s="194"/>
      <c r="J130" s="194">
        <f t="shared" si="70"/>
        <v>0</v>
      </c>
      <c r="K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194">
        <f t="shared" si="71"/>
        <v>0</v>
      </c>
      <c r="Z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194">
        <f t="shared" si="72"/>
        <v>0</v>
      </c>
      <c r="AD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194">
        <f t="shared" si="73"/>
        <v>0</v>
      </c>
      <c r="AH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194">
        <f t="shared" si="74"/>
        <v>0</v>
      </c>
      <c r="AL130" s="194">
        <f t="shared" si="75"/>
        <v>0</v>
      </c>
    </row>
    <row r="131" spans="2:38" x14ac:dyDescent="0.25">
      <c r="B131" s="192" t="s">
        <v>862</v>
      </c>
      <c r="C131" s="193" t="s">
        <v>863</v>
      </c>
      <c r="D1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194">
        <f t="shared" si="68"/>
        <v>0</v>
      </c>
      <c r="G131" s="194"/>
      <c r="H131" s="194">
        <f t="shared" si="69"/>
        <v>0</v>
      </c>
      <c r="I131" s="194"/>
      <c r="J131" s="194">
        <f t="shared" si="70"/>
        <v>0</v>
      </c>
      <c r="K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194">
        <f t="shared" si="71"/>
        <v>0</v>
      </c>
      <c r="Z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194">
        <f t="shared" si="72"/>
        <v>0</v>
      </c>
      <c r="AD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194">
        <f t="shared" si="73"/>
        <v>0</v>
      </c>
      <c r="AH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194">
        <f t="shared" si="74"/>
        <v>0</v>
      </c>
      <c r="AL131" s="194">
        <f t="shared" si="75"/>
        <v>0</v>
      </c>
    </row>
    <row r="132" spans="2:38" x14ac:dyDescent="0.25">
      <c r="B132" s="192" t="s">
        <v>864</v>
      </c>
      <c r="C132" s="193" t="s">
        <v>865</v>
      </c>
      <c r="D13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194">
        <f t="shared" si="68"/>
        <v>0</v>
      </c>
      <c r="G132" s="194"/>
      <c r="H132" s="194">
        <f t="shared" si="69"/>
        <v>0</v>
      </c>
      <c r="I132" s="194"/>
      <c r="J132" s="194">
        <f t="shared" si="70"/>
        <v>0</v>
      </c>
      <c r="K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194">
        <f t="shared" si="71"/>
        <v>0</v>
      </c>
      <c r="Z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194">
        <f t="shared" si="72"/>
        <v>0</v>
      </c>
      <c r="AD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194">
        <f t="shared" si="73"/>
        <v>0</v>
      </c>
      <c r="AH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194">
        <f t="shared" si="74"/>
        <v>0</v>
      </c>
      <c r="AL132" s="194">
        <f t="shared" si="75"/>
        <v>0</v>
      </c>
    </row>
    <row r="133" spans="2:38" x14ac:dyDescent="0.25">
      <c r="B133" s="192" t="s">
        <v>866</v>
      </c>
      <c r="C133" s="193" t="s">
        <v>867</v>
      </c>
      <c r="D13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972000</v>
      </c>
      <c r="F133" s="194">
        <f t="shared" si="68"/>
        <v>972000</v>
      </c>
      <c r="G133" s="194"/>
      <c r="H133" s="194">
        <f t="shared" si="69"/>
        <v>972000</v>
      </c>
      <c r="I133" s="194"/>
      <c r="J133" s="194">
        <f t="shared" si="70"/>
        <v>972000</v>
      </c>
      <c r="K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972000</v>
      </c>
      <c r="O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972000</v>
      </c>
      <c r="W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194">
        <f t="shared" si="71"/>
        <v>972000</v>
      </c>
      <c r="Z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194">
        <f t="shared" si="72"/>
        <v>0</v>
      </c>
      <c r="AD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194">
        <f t="shared" si="73"/>
        <v>0</v>
      </c>
      <c r="AH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194">
        <f t="shared" si="74"/>
        <v>0</v>
      </c>
      <c r="AL133" s="194">
        <f t="shared" si="75"/>
        <v>972000</v>
      </c>
    </row>
    <row r="134" spans="2:38" x14ac:dyDescent="0.25">
      <c r="B134" s="201" t="s">
        <v>363</v>
      </c>
      <c r="C134" s="202" t="s">
        <v>245</v>
      </c>
      <c r="D134" s="203">
        <f>SUM(D135:D149)</f>
        <v>0</v>
      </c>
      <c r="E134" s="203">
        <f>SUM(E135:E149)</f>
        <v>1699532.18</v>
      </c>
      <c r="F134" s="203">
        <f t="shared" si="68"/>
        <v>1699532.18</v>
      </c>
      <c r="G134" s="203">
        <f>SUM(G135:G149)</f>
        <v>0</v>
      </c>
      <c r="H134" s="203">
        <f t="shared" si="69"/>
        <v>1699532.18</v>
      </c>
      <c r="I134" s="203">
        <f>SUM(I135:I149)</f>
        <v>0</v>
      </c>
      <c r="J134" s="203">
        <f t="shared" si="70"/>
        <v>1699532.18</v>
      </c>
      <c r="K134" s="203">
        <f t="shared" ref="K134:AJ134" si="76">SUM(K135:K149)</f>
        <v>0</v>
      </c>
      <c r="L134" s="203">
        <f t="shared" si="76"/>
        <v>0</v>
      </c>
      <c r="M134" s="203">
        <f t="shared" si="76"/>
        <v>0</v>
      </c>
      <c r="N134" s="203">
        <f t="shared" si="76"/>
        <v>0</v>
      </c>
      <c r="O134" s="203">
        <f t="shared" si="76"/>
        <v>1000000</v>
      </c>
      <c r="P134" s="203">
        <f t="shared" si="76"/>
        <v>699532.17999999993</v>
      </c>
      <c r="Q134" s="203">
        <f t="shared" si="76"/>
        <v>0</v>
      </c>
      <c r="R134" s="203">
        <f t="shared" si="76"/>
        <v>0</v>
      </c>
      <c r="S134" s="203">
        <f t="shared" si="76"/>
        <v>0</v>
      </c>
      <c r="T134" s="203">
        <f t="shared" si="76"/>
        <v>0</v>
      </c>
      <c r="U134" s="203">
        <f t="shared" si="76"/>
        <v>0</v>
      </c>
      <c r="V134" s="203">
        <f t="shared" si="76"/>
        <v>0</v>
      </c>
      <c r="W134" s="203">
        <f t="shared" si="76"/>
        <v>1380000</v>
      </c>
      <c r="X134" s="203">
        <f t="shared" si="76"/>
        <v>36000</v>
      </c>
      <c r="Y134" s="203">
        <f t="shared" si="71"/>
        <v>1416000</v>
      </c>
      <c r="Z134" s="203">
        <f t="shared" si="76"/>
        <v>0</v>
      </c>
      <c r="AA134" s="203">
        <f t="shared" si="76"/>
        <v>0</v>
      </c>
      <c r="AB134" s="203">
        <f t="shared" si="76"/>
        <v>0</v>
      </c>
      <c r="AC134" s="203">
        <f t="shared" si="72"/>
        <v>0</v>
      </c>
      <c r="AD134" s="203">
        <f t="shared" si="76"/>
        <v>283532.18</v>
      </c>
      <c r="AE134" s="203">
        <f t="shared" si="76"/>
        <v>0</v>
      </c>
      <c r="AF134" s="203">
        <f t="shared" si="76"/>
        <v>0</v>
      </c>
      <c r="AG134" s="203">
        <f t="shared" si="73"/>
        <v>283532.18</v>
      </c>
      <c r="AH134" s="203">
        <f t="shared" si="76"/>
        <v>0</v>
      </c>
      <c r="AI134" s="203">
        <f t="shared" si="76"/>
        <v>0</v>
      </c>
      <c r="AJ134" s="203">
        <f t="shared" si="76"/>
        <v>0</v>
      </c>
      <c r="AK134" s="203">
        <f t="shared" si="74"/>
        <v>0</v>
      </c>
      <c r="AL134" s="203">
        <f t="shared" si="75"/>
        <v>1699532.18</v>
      </c>
    </row>
    <row r="135" spans="2:38" x14ac:dyDescent="0.25">
      <c r="B135" s="192" t="s">
        <v>868</v>
      </c>
      <c r="C135" s="193" t="s">
        <v>869</v>
      </c>
      <c r="D13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1663532.18</v>
      </c>
      <c r="F135" s="194">
        <f t="shared" si="68"/>
        <v>1663532.18</v>
      </c>
      <c r="G135" s="194"/>
      <c r="H135" s="194">
        <f t="shared" ref="H135:H149" si="77">F135-G135</f>
        <v>1663532.18</v>
      </c>
      <c r="I135" s="194"/>
      <c r="J135" s="194">
        <f t="shared" ref="J135:J149" si="78">F135-I135</f>
        <v>1663532.18</v>
      </c>
      <c r="K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1000000</v>
      </c>
      <c r="P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663532.17999999993</v>
      </c>
      <c r="Q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1380000</v>
      </c>
      <c r="X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194">
        <f t="shared" ref="Y135:Y149" si="79">V135+W135+X135</f>
        <v>1380000</v>
      </c>
      <c r="Z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194">
        <f t="shared" ref="AC135:AC149" si="80">Z135+AA135+AB135</f>
        <v>0</v>
      </c>
      <c r="AD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283532.18</v>
      </c>
      <c r="AE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194">
        <f t="shared" ref="AG135:AG149" si="81">AD135+AE135+AF135</f>
        <v>283532.18</v>
      </c>
      <c r="AH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194">
        <f t="shared" ref="AK135:AK149" si="82">AH135+AI135+AJ135</f>
        <v>0</v>
      </c>
      <c r="AL135" s="194">
        <f t="shared" ref="AL135:AL149" si="83">Y135+AC135+AG135+AK135</f>
        <v>1663532.18</v>
      </c>
    </row>
    <row r="136" spans="2:38" x14ac:dyDescent="0.25">
      <c r="B136" s="192" t="s">
        <v>364</v>
      </c>
      <c r="C136" s="193" t="s">
        <v>246</v>
      </c>
      <c r="D13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194">
        <f t="shared" si="68"/>
        <v>0</v>
      </c>
      <c r="G136" s="194"/>
      <c r="H136" s="194">
        <f t="shared" si="77"/>
        <v>0</v>
      </c>
      <c r="I136" s="194"/>
      <c r="J136" s="194">
        <f t="shared" si="78"/>
        <v>0</v>
      </c>
      <c r="K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194">
        <f t="shared" si="79"/>
        <v>0</v>
      </c>
      <c r="Z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194">
        <f t="shared" si="80"/>
        <v>0</v>
      </c>
      <c r="AD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194">
        <f t="shared" si="81"/>
        <v>0</v>
      </c>
      <c r="AH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194">
        <f t="shared" si="82"/>
        <v>0</v>
      </c>
      <c r="AL136" s="194">
        <f t="shared" si="83"/>
        <v>0</v>
      </c>
    </row>
    <row r="137" spans="2:38" x14ac:dyDescent="0.25">
      <c r="B137" s="192" t="s">
        <v>870</v>
      </c>
      <c r="C137" s="193" t="s">
        <v>871</v>
      </c>
      <c r="D13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194">
        <f t="shared" si="68"/>
        <v>0</v>
      </c>
      <c r="G137" s="194"/>
      <c r="H137" s="194">
        <f t="shared" si="77"/>
        <v>0</v>
      </c>
      <c r="I137" s="194"/>
      <c r="J137" s="194">
        <f t="shared" si="78"/>
        <v>0</v>
      </c>
      <c r="K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194">
        <f t="shared" si="79"/>
        <v>0</v>
      </c>
      <c r="Z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194">
        <f t="shared" si="80"/>
        <v>0</v>
      </c>
      <c r="AD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194">
        <f t="shared" si="81"/>
        <v>0</v>
      </c>
      <c r="AH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194">
        <f t="shared" si="82"/>
        <v>0</v>
      </c>
      <c r="AL137" s="194">
        <f t="shared" si="83"/>
        <v>0</v>
      </c>
    </row>
    <row r="138" spans="2:38" x14ac:dyDescent="0.25">
      <c r="B138" s="192" t="s">
        <v>365</v>
      </c>
      <c r="C138" s="193" t="s">
        <v>247</v>
      </c>
      <c r="D1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194">
        <f t="shared" si="68"/>
        <v>0</v>
      </c>
      <c r="G138" s="194"/>
      <c r="H138" s="194">
        <f t="shared" si="77"/>
        <v>0</v>
      </c>
      <c r="I138" s="194"/>
      <c r="J138" s="194">
        <f t="shared" si="78"/>
        <v>0</v>
      </c>
      <c r="K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194">
        <f t="shared" si="79"/>
        <v>0</v>
      </c>
      <c r="Z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194">
        <f t="shared" si="80"/>
        <v>0</v>
      </c>
      <c r="AD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194">
        <f t="shared" si="81"/>
        <v>0</v>
      </c>
      <c r="AH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194">
        <f t="shared" si="82"/>
        <v>0</v>
      </c>
      <c r="AL138" s="194">
        <f t="shared" si="83"/>
        <v>0</v>
      </c>
    </row>
    <row r="139" spans="2:38" x14ac:dyDescent="0.25">
      <c r="B139" s="192" t="s">
        <v>872</v>
      </c>
      <c r="C139" s="193" t="s">
        <v>873</v>
      </c>
      <c r="D1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194">
        <f t="shared" ref="F139:F144" si="84">D139+E139</f>
        <v>0</v>
      </c>
      <c r="G139" s="194"/>
      <c r="H139" s="194">
        <f t="shared" ref="H139:H144" si="85">F139-G139</f>
        <v>0</v>
      </c>
      <c r="I139" s="194"/>
      <c r="J139" s="194">
        <f t="shared" ref="J139:J144" si="86">F139-I139</f>
        <v>0</v>
      </c>
      <c r="K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194">
        <f t="shared" ref="Y139:Y144" si="87">V139+W139+X139</f>
        <v>0</v>
      </c>
      <c r="Z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194">
        <f t="shared" ref="AC139:AC144" si="88">Z139+AA139+AB139</f>
        <v>0</v>
      </c>
      <c r="AD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194">
        <f t="shared" ref="AG139:AG144" si="89">AD139+AE139+AF139</f>
        <v>0</v>
      </c>
      <c r="AH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194">
        <f t="shared" ref="AK139:AK144" si="90">AH139+AI139+AJ139</f>
        <v>0</v>
      </c>
      <c r="AL139" s="194">
        <f t="shared" ref="AL139:AL144" si="91">Y139+AC139+AG139+AK139</f>
        <v>0</v>
      </c>
    </row>
    <row r="140" spans="2:38" x14ac:dyDescent="0.25">
      <c r="B140" s="192" t="s">
        <v>874</v>
      </c>
      <c r="C140" s="193" t="s">
        <v>875</v>
      </c>
      <c r="D1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194">
        <f>D140+E140</f>
        <v>0</v>
      </c>
      <c r="G140" s="194"/>
      <c r="H140" s="194">
        <f>F140-G140</f>
        <v>0</v>
      </c>
      <c r="I140" s="194"/>
      <c r="J140" s="194">
        <f>F140-I140</f>
        <v>0</v>
      </c>
      <c r="K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194">
        <f>V140+W140+X140</f>
        <v>0</v>
      </c>
      <c r="Z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194">
        <f>Z140+AA140+AB140</f>
        <v>0</v>
      </c>
      <c r="AD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194">
        <f>AD140+AE140+AF140</f>
        <v>0</v>
      </c>
      <c r="AH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194">
        <f>AH140+AI140+AJ140</f>
        <v>0</v>
      </c>
      <c r="AL140" s="194">
        <f>Y140+AC140+AG140+AK140</f>
        <v>0</v>
      </c>
    </row>
    <row r="141" spans="2:38" x14ac:dyDescent="0.25">
      <c r="B141" s="192" t="s">
        <v>876</v>
      </c>
      <c r="C141" s="193" t="s">
        <v>877</v>
      </c>
      <c r="D1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194">
        <f>D141+E141</f>
        <v>0</v>
      </c>
      <c r="G141" s="194"/>
      <c r="H141" s="194">
        <f>F141-G141</f>
        <v>0</v>
      </c>
      <c r="I141" s="194"/>
      <c r="J141" s="194">
        <f>F141-I141</f>
        <v>0</v>
      </c>
      <c r="K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194">
        <f>V141+W141+X141</f>
        <v>0</v>
      </c>
      <c r="Z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194">
        <f>Z141+AA141+AB141</f>
        <v>0</v>
      </c>
      <c r="AD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194">
        <f>AD141+AE141+AF141</f>
        <v>0</v>
      </c>
      <c r="AH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194">
        <f>AH141+AI141+AJ141</f>
        <v>0</v>
      </c>
      <c r="AL141" s="194">
        <f>Y141+AC141+AG141+AK141</f>
        <v>0</v>
      </c>
    </row>
    <row r="142" spans="2:38" x14ac:dyDescent="0.25">
      <c r="B142" s="192" t="s">
        <v>878</v>
      </c>
      <c r="C142" s="193" t="s">
        <v>879</v>
      </c>
      <c r="D14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194">
        <f t="shared" si="84"/>
        <v>0</v>
      </c>
      <c r="G142" s="194"/>
      <c r="H142" s="194">
        <f t="shared" si="85"/>
        <v>0</v>
      </c>
      <c r="I142" s="194"/>
      <c r="J142" s="194">
        <f t="shared" si="86"/>
        <v>0</v>
      </c>
      <c r="K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194">
        <f t="shared" si="87"/>
        <v>0</v>
      </c>
      <c r="Z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194">
        <f t="shared" si="88"/>
        <v>0</v>
      </c>
      <c r="AD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194">
        <f t="shared" si="89"/>
        <v>0</v>
      </c>
      <c r="AH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194">
        <f t="shared" si="90"/>
        <v>0</v>
      </c>
      <c r="AL142" s="194">
        <f t="shared" si="91"/>
        <v>0</v>
      </c>
    </row>
    <row r="143" spans="2:38" x14ac:dyDescent="0.25">
      <c r="B143" s="192" t="s">
        <v>880</v>
      </c>
      <c r="C143" s="193" t="s">
        <v>881</v>
      </c>
      <c r="D14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194">
        <f t="shared" si="84"/>
        <v>0</v>
      </c>
      <c r="G143" s="194"/>
      <c r="H143" s="194">
        <f t="shared" si="85"/>
        <v>0</v>
      </c>
      <c r="I143" s="194"/>
      <c r="J143" s="194">
        <f t="shared" si="86"/>
        <v>0</v>
      </c>
      <c r="K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194">
        <f t="shared" si="87"/>
        <v>0</v>
      </c>
      <c r="Z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194">
        <f t="shared" si="88"/>
        <v>0</v>
      </c>
      <c r="AD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194">
        <f t="shared" si="89"/>
        <v>0</v>
      </c>
      <c r="AH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194">
        <f t="shared" si="90"/>
        <v>0</v>
      </c>
      <c r="AL143" s="194">
        <f t="shared" si="91"/>
        <v>0</v>
      </c>
    </row>
    <row r="144" spans="2:38" x14ac:dyDescent="0.25">
      <c r="B144" s="192" t="s">
        <v>882</v>
      </c>
      <c r="C144" s="193" t="s">
        <v>883</v>
      </c>
      <c r="D1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194">
        <f t="shared" si="84"/>
        <v>0</v>
      </c>
      <c r="G144" s="194"/>
      <c r="H144" s="194">
        <f t="shared" si="85"/>
        <v>0</v>
      </c>
      <c r="I144" s="194"/>
      <c r="J144" s="194">
        <f t="shared" si="86"/>
        <v>0</v>
      </c>
      <c r="K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194">
        <f t="shared" si="87"/>
        <v>0</v>
      </c>
      <c r="Z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194">
        <f t="shared" si="88"/>
        <v>0</v>
      </c>
      <c r="AD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194">
        <f t="shared" si="89"/>
        <v>0</v>
      </c>
      <c r="AH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194">
        <f t="shared" si="90"/>
        <v>0</v>
      </c>
      <c r="AL144" s="194">
        <f t="shared" si="91"/>
        <v>0</v>
      </c>
    </row>
    <row r="145" spans="2:38" x14ac:dyDescent="0.25">
      <c r="B145" s="192" t="s">
        <v>884</v>
      </c>
      <c r="C145" s="193" t="s">
        <v>885</v>
      </c>
      <c r="D1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194">
        <f t="shared" ref="F145:F169" si="92">D145+E145</f>
        <v>0</v>
      </c>
      <c r="G145" s="194"/>
      <c r="H145" s="194">
        <f t="shared" si="77"/>
        <v>0</v>
      </c>
      <c r="I145" s="194"/>
      <c r="J145" s="194">
        <f t="shared" si="78"/>
        <v>0</v>
      </c>
      <c r="K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194">
        <f t="shared" si="79"/>
        <v>0</v>
      </c>
      <c r="Z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194">
        <f t="shared" si="80"/>
        <v>0</v>
      </c>
      <c r="AD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194">
        <f t="shared" si="81"/>
        <v>0</v>
      </c>
      <c r="AH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194">
        <f t="shared" si="82"/>
        <v>0</v>
      </c>
      <c r="AL145" s="194">
        <f t="shared" si="83"/>
        <v>0</v>
      </c>
    </row>
    <row r="146" spans="2:38" x14ac:dyDescent="0.25">
      <c r="B146" s="192" t="s">
        <v>886</v>
      </c>
      <c r="C146" s="193" t="s">
        <v>887</v>
      </c>
      <c r="D14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36000</v>
      </c>
      <c r="F146" s="194">
        <f t="shared" si="92"/>
        <v>36000</v>
      </c>
      <c r="G146" s="194"/>
      <c r="H146" s="194">
        <f t="shared" si="77"/>
        <v>36000</v>
      </c>
      <c r="I146" s="194"/>
      <c r="J146" s="194">
        <f t="shared" si="78"/>
        <v>36000</v>
      </c>
      <c r="K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36000</v>
      </c>
      <c r="Q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36000</v>
      </c>
      <c r="Y146" s="194">
        <f t="shared" si="79"/>
        <v>36000</v>
      </c>
      <c r="Z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194">
        <f t="shared" si="80"/>
        <v>0</v>
      </c>
      <c r="AD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6" s="194">
        <f t="shared" si="81"/>
        <v>0</v>
      </c>
      <c r="AH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194">
        <f t="shared" si="82"/>
        <v>0</v>
      </c>
      <c r="AL146" s="194">
        <f t="shared" si="83"/>
        <v>36000</v>
      </c>
    </row>
    <row r="147" spans="2:38" x14ac:dyDescent="0.25">
      <c r="B147" s="192" t="s">
        <v>888</v>
      </c>
      <c r="C147" s="193" t="s">
        <v>889</v>
      </c>
      <c r="D14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194">
        <f t="shared" si="92"/>
        <v>0</v>
      </c>
      <c r="G147" s="194"/>
      <c r="H147" s="194">
        <f>F147-G147</f>
        <v>0</v>
      </c>
      <c r="I147" s="194"/>
      <c r="J147" s="194">
        <f>F147-I147</f>
        <v>0</v>
      </c>
      <c r="K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194">
        <f>V147+W147+X147</f>
        <v>0</v>
      </c>
      <c r="Z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194">
        <f>Z147+AA147+AB147</f>
        <v>0</v>
      </c>
      <c r="AD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194">
        <f>AD147+AE147+AF147</f>
        <v>0</v>
      </c>
      <c r="AH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194">
        <f>AH147+AI147+AJ147</f>
        <v>0</v>
      </c>
      <c r="AL147" s="194">
        <f>Y147+AC147+AG147+AK147</f>
        <v>0</v>
      </c>
    </row>
    <row r="148" spans="2:38" x14ac:dyDescent="0.25">
      <c r="B148" s="192" t="s">
        <v>890</v>
      </c>
      <c r="C148" s="193" t="s">
        <v>891</v>
      </c>
      <c r="D1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194">
        <f t="shared" si="92"/>
        <v>0</v>
      </c>
      <c r="G148" s="194"/>
      <c r="H148" s="194">
        <f>F148-G148</f>
        <v>0</v>
      </c>
      <c r="I148" s="194"/>
      <c r="J148" s="194">
        <f>F148-I148</f>
        <v>0</v>
      </c>
      <c r="K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194">
        <f>V148+W148+X148</f>
        <v>0</v>
      </c>
      <c r="Z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194">
        <f>Z148+AA148+AB148</f>
        <v>0</v>
      </c>
      <c r="AD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194">
        <f>AD148+AE148+AF148</f>
        <v>0</v>
      </c>
      <c r="AH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194">
        <f>AH148+AI148+AJ148</f>
        <v>0</v>
      </c>
      <c r="AL148" s="194">
        <f>Y148+AC148+AG148+AK148</f>
        <v>0</v>
      </c>
    </row>
    <row r="149" spans="2:38" x14ac:dyDescent="0.25">
      <c r="B149" s="192" t="s">
        <v>892</v>
      </c>
      <c r="C149" s="193" t="s">
        <v>893</v>
      </c>
      <c r="D1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194">
        <f t="shared" si="92"/>
        <v>0</v>
      </c>
      <c r="G149" s="194"/>
      <c r="H149" s="194">
        <f t="shared" si="77"/>
        <v>0</v>
      </c>
      <c r="I149" s="194"/>
      <c r="J149" s="194">
        <f t="shared" si="78"/>
        <v>0</v>
      </c>
      <c r="K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194">
        <f t="shared" si="79"/>
        <v>0</v>
      </c>
      <c r="Z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194">
        <f t="shared" si="80"/>
        <v>0</v>
      </c>
      <c r="AD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194">
        <f t="shared" si="81"/>
        <v>0</v>
      </c>
      <c r="AH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194">
        <f t="shared" si="82"/>
        <v>0</v>
      </c>
      <c r="AL149" s="194">
        <f t="shared" si="83"/>
        <v>0</v>
      </c>
    </row>
    <row r="150" spans="2:38" x14ac:dyDescent="0.25">
      <c r="B150" s="201" t="s">
        <v>366</v>
      </c>
      <c r="C150" s="202" t="s">
        <v>248</v>
      </c>
      <c r="D150" s="203">
        <f>SUM(D151:D164)</f>
        <v>40000</v>
      </c>
      <c r="E150" s="203">
        <f>SUM(E151:E164)</f>
        <v>1586055</v>
      </c>
      <c r="F150" s="203">
        <f t="shared" si="92"/>
        <v>1626055</v>
      </c>
      <c r="G150" s="203">
        <f>SUM(G151:G164)</f>
        <v>0</v>
      </c>
      <c r="H150" s="203">
        <f t="shared" ref="H150:H169" si="93">F150-G150</f>
        <v>1626055</v>
      </c>
      <c r="I150" s="203">
        <f>SUM(I151:I164)</f>
        <v>0</v>
      </c>
      <c r="J150" s="203">
        <f t="shared" ref="J150:J169" si="94">F150-I150</f>
        <v>1626055</v>
      </c>
      <c r="K150" s="203">
        <f t="shared" ref="K150:X150" si="95">SUM(K151:K164)</f>
        <v>202000</v>
      </c>
      <c r="L150" s="203">
        <f t="shared" si="95"/>
        <v>0</v>
      </c>
      <c r="M150" s="203">
        <f t="shared" si="95"/>
        <v>10000</v>
      </c>
      <c r="N150" s="203">
        <f t="shared" si="95"/>
        <v>20000</v>
      </c>
      <c r="O150" s="203">
        <f t="shared" si="95"/>
        <v>0</v>
      </c>
      <c r="P150" s="203">
        <f t="shared" si="95"/>
        <v>0</v>
      </c>
      <c r="Q150" s="203">
        <f t="shared" si="95"/>
        <v>8000</v>
      </c>
      <c r="R150" s="203">
        <f t="shared" si="95"/>
        <v>0</v>
      </c>
      <c r="S150" s="203">
        <f t="shared" si="95"/>
        <v>1382855</v>
      </c>
      <c r="T150" s="203">
        <f t="shared" si="95"/>
        <v>0</v>
      </c>
      <c r="U150" s="203">
        <f t="shared" si="95"/>
        <v>3200</v>
      </c>
      <c r="V150" s="203">
        <f t="shared" si="95"/>
        <v>9200</v>
      </c>
      <c r="W150" s="203">
        <f t="shared" si="95"/>
        <v>1094855</v>
      </c>
      <c r="X150" s="203">
        <f t="shared" si="95"/>
        <v>80000</v>
      </c>
      <c r="Y150" s="203">
        <f t="shared" ref="Y150:Y169" si="96">V150+W150+X150</f>
        <v>1184055</v>
      </c>
      <c r="Z150" s="203">
        <f>SUM(Z151:Z164)</f>
        <v>282000</v>
      </c>
      <c r="AA150" s="203">
        <f>SUM(AA151:AA164)</f>
        <v>110000</v>
      </c>
      <c r="AB150" s="203">
        <f>SUM(AB151:AB164)</f>
        <v>40000</v>
      </c>
      <c r="AC150" s="203">
        <f t="shared" ref="AC150:AC169" si="97">Z150+AA150+AB150</f>
        <v>432000</v>
      </c>
      <c r="AD150" s="203">
        <f>SUM(AD151:AD164)</f>
        <v>10000</v>
      </c>
      <c r="AE150" s="203">
        <f>SUM(AE151:AE164)</f>
        <v>0</v>
      </c>
      <c r="AF150" s="203">
        <f>SUM(AF151:AF164)</f>
        <v>0</v>
      </c>
      <c r="AG150" s="203">
        <f t="shared" ref="AG150:AG169" si="98">AD150+AE150+AF150</f>
        <v>10000</v>
      </c>
      <c r="AH150" s="203">
        <f>SUM(AH151:AH164)</f>
        <v>0</v>
      </c>
      <c r="AI150" s="203">
        <f>SUM(AI151:AI164)</f>
        <v>0</v>
      </c>
      <c r="AJ150" s="203">
        <f>SUM(AJ151:AJ164)</f>
        <v>0</v>
      </c>
      <c r="AK150" s="203">
        <f t="shared" ref="AK150:AK169" si="99">AH150+AI150+AJ150</f>
        <v>0</v>
      </c>
      <c r="AL150" s="203">
        <f t="shared" ref="AL150:AL169" si="100">Y150+AC150+AG150+AK150</f>
        <v>1626055</v>
      </c>
    </row>
    <row r="151" spans="2:38" x14ac:dyDescent="0.25">
      <c r="B151" s="192" t="s">
        <v>894</v>
      </c>
      <c r="C151" s="193" t="s">
        <v>895</v>
      </c>
      <c r="D1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1" s="194">
        <f t="shared" si="92"/>
        <v>0</v>
      </c>
      <c r="G151" s="194"/>
      <c r="H151" s="194">
        <f t="shared" si="93"/>
        <v>0</v>
      </c>
      <c r="I151" s="194"/>
      <c r="J151" s="194">
        <f t="shared" si="94"/>
        <v>0</v>
      </c>
      <c r="K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194">
        <f t="shared" si="96"/>
        <v>0</v>
      </c>
      <c r="Z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194">
        <f t="shared" si="97"/>
        <v>0</v>
      </c>
      <c r="AD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194">
        <f t="shared" si="98"/>
        <v>0</v>
      </c>
      <c r="AH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194">
        <f t="shared" si="99"/>
        <v>0</v>
      </c>
      <c r="AL151" s="194">
        <f t="shared" si="100"/>
        <v>0</v>
      </c>
    </row>
    <row r="152" spans="2:38" x14ac:dyDescent="0.25">
      <c r="B152" s="192" t="s">
        <v>367</v>
      </c>
      <c r="C152" s="193" t="s">
        <v>249</v>
      </c>
      <c r="D1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194">
        <f t="shared" si="92"/>
        <v>0</v>
      </c>
      <c r="G152" s="194"/>
      <c r="H152" s="194">
        <f t="shared" si="93"/>
        <v>0</v>
      </c>
      <c r="I152" s="194"/>
      <c r="J152" s="194">
        <f t="shared" si="94"/>
        <v>0</v>
      </c>
      <c r="K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194">
        <f t="shared" si="96"/>
        <v>0</v>
      </c>
      <c r="Z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194">
        <f t="shared" si="97"/>
        <v>0</v>
      </c>
      <c r="AD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194">
        <f t="shared" si="98"/>
        <v>0</v>
      </c>
      <c r="AH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194">
        <f t="shared" si="99"/>
        <v>0</v>
      </c>
      <c r="AL152" s="194">
        <f t="shared" si="100"/>
        <v>0</v>
      </c>
    </row>
    <row r="153" spans="2:38" x14ac:dyDescent="0.25">
      <c r="B153" s="192" t="s">
        <v>896</v>
      </c>
      <c r="C153" s="193" t="s">
        <v>897</v>
      </c>
      <c r="D1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1172855</v>
      </c>
      <c r="F153" s="194">
        <f t="shared" si="92"/>
        <v>1172855</v>
      </c>
      <c r="G153" s="194"/>
      <c r="H153" s="194">
        <f t="shared" si="93"/>
        <v>1172855</v>
      </c>
      <c r="I153" s="194"/>
      <c r="J153" s="194">
        <f t="shared" si="94"/>
        <v>1172855</v>
      </c>
      <c r="K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72000</v>
      </c>
      <c r="L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R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1092855</v>
      </c>
      <c r="T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9200</v>
      </c>
      <c r="W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1091655</v>
      </c>
      <c r="X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194">
        <f t="shared" si="96"/>
        <v>1100855</v>
      </c>
      <c r="Z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72000</v>
      </c>
      <c r="AA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194">
        <f t="shared" si="97"/>
        <v>72000</v>
      </c>
      <c r="AD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194">
        <f t="shared" si="98"/>
        <v>0</v>
      </c>
      <c r="AH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194">
        <f t="shared" si="99"/>
        <v>0</v>
      </c>
      <c r="AL153" s="194">
        <f t="shared" si="100"/>
        <v>1172855</v>
      </c>
    </row>
    <row r="154" spans="2:38" x14ac:dyDescent="0.25">
      <c r="B154" s="192" t="s">
        <v>898</v>
      </c>
      <c r="C154" s="193" t="s">
        <v>899</v>
      </c>
      <c r="D1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194">
        <f t="shared" si="92"/>
        <v>0</v>
      </c>
      <c r="G154" s="194"/>
      <c r="H154" s="194">
        <f t="shared" si="93"/>
        <v>0</v>
      </c>
      <c r="I154" s="194"/>
      <c r="J154" s="194">
        <f t="shared" si="94"/>
        <v>0</v>
      </c>
      <c r="K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194">
        <f t="shared" si="96"/>
        <v>0</v>
      </c>
      <c r="Z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194">
        <f t="shared" si="97"/>
        <v>0</v>
      </c>
      <c r="AD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194">
        <f t="shared" si="98"/>
        <v>0</v>
      </c>
      <c r="AH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194">
        <f t="shared" si="99"/>
        <v>0</v>
      </c>
      <c r="AL154" s="194">
        <f t="shared" si="100"/>
        <v>0</v>
      </c>
    </row>
    <row r="155" spans="2:38" x14ac:dyDescent="0.25">
      <c r="B155" s="192" t="s">
        <v>368</v>
      </c>
      <c r="C155" s="193" t="s">
        <v>250</v>
      </c>
      <c r="D1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194">
        <f t="shared" si="92"/>
        <v>0</v>
      </c>
      <c r="G155" s="194"/>
      <c r="H155" s="194">
        <f t="shared" si="93"/>
        <v>0</v>
      </c>
      <c r="I155" s="194"/>
      <c r="J155" s="194">
        <f t="shared" si="94"/>
        <v>0</v>
      </c>
      <c r="K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194">
        <f t="shared" si="96"/>
        <v>0</v>
      </c>
      <c r="Z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194">
        <f t="shared" si="97"/>
        <v>0</v>
      </c>
      <c r="AD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194">
        <f t="shared" si="98"/>
        <v>0</v>
      </c>
      <c r="AH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194">
        <f t="shared" si="99"/>
        <v>0</v>
      </c>
      <c r="AL155" s="194">
        <f t="shared" si="100"/>
        <v>0</v>
      </c>
    </row>
    <row r="156" spans="2:38" x14ac:dyDescent="0.25">
      <c r="B156" s="192" t="s">
        <v>900</v>
      </c>
      <c r="C156" s="193" t="s">
        <v>901</v>
      </c>
      <c r="D1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194">
        <f t="shared" si="92"/>
        <v>0</v>
      </c>
      <c r="G156" s="194"/>
      <c r="H156" s="194">
        <f t="shared" si="93"/>
        <v>0</v>
      </c>
      <c r="I156" s="194"/>
      <c r="J156" s="194">
        <f t="shared" si="94"/>
        <v>0</v>
      </c>
      <c r="K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194">
        <f t="shared" si="96"/>
        <v>0</v>
      </c>
      <c r="Z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194">
        <f t="shared" si="97"/>
        <v>0</v>
      </c>
      <c r="AD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194">
        <f t="shared" si="98"/>
        <v>0</v>
      </c>
      <c r="AH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194">
        <f t="shared" si="99"/>
        <v>0</v>
      </c>
      <c r="AL156" s="194">
        <f t="shared" si="100"/>
        <v>0</v>
      </c>
    </row>
    <row r="157" spans="2:38" x14ac:dyDescent="0.25">
      <c r="B157" s="192" t="s">
        <v>902</v>
      </c>
      <c r="C157" s="193" t="s">
        <v>903</v>
      </c>
      <c r="D15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194">
        <f t="shared" si="92"/>
        <v>0</v>
      </c>
      <c r="G157" s="194"/>
      <c r="H157" s="194">
        <f t="shared" si="93"/>
        <v>0</v>
      </c>
      <c r="I157" s="194"/>
      <c r="J157" s="194">
        <f t="shared" si="94"/>
        <v>0</v>
      </c>
      <c r="K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194">
        <f t="shared" si="96"/>
        <v>0</v>
      </c>
      <c r="Z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194">
        <f t="shared" si="97"/>
        <v>0</v>
      </c>
      <c r="AD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194">
        <f t="shared" si="98"/>
        <v>0</v>
      </c>
      <c r="AH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194">
        <f t="shared" si="99"/>
        <v>0</v>
      </c>
      <c r="AL157" s="194">
        <f t="shared" si="100"/>
        <v>0</v>
      </c>
    </row>
    <row r="158" spans="2:38" x14ac:dyDescent="0.25">
      <c r="B158" s="192" t="s">
        <v>369</v>
      </c>
      <c r="C158" s="193" t="s">
        <v>251</v>
      </c>
      <c r="D1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40000</v>
      </c>
      <c r="E1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213200</v>
      </c>
      <c r="F158" s="194">
        <f t="shared" si="92"/>
        <v>253200</v>
      </c>
      <c r="G158" s="194"/>
      <c r="H158" s="194">
        <f t="shared" si="93"/>
        <v>253200</v>
      </c>
      <c r="I158" s="194"/>
      <c r="J158" s="194">
        <f t="shared" si="94"/>
        <v>253200</v>
      </c>
      <c r="K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130000</v>
      </c>
      <c r="L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v>
      </c>
      <c r="N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O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90000</v>
      </c>
      <c r="T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3200</v>
      </c>
      <c r="V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3200</v>
      </c>
      <c r="X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80000</v>
      </c>
      <c r="Y158" s="194">
        <f t="shared" si="96"/>
        <v>83200</v>
      </c>
      <c r="Z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AA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110000</v>
      </c>
      <c r="AB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40000</v>
      </c>
      <c r="AC158" s="194">
        <f t="shared" si="97"/>
        <v>160000</v>
      </c>
      <c r="AD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AE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194">
        <f t="shared" si="98"/>
        <v>10000</v>
      </c>
      <c r="AH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194">
        <f t="shared" si="99"/>
        <v>0</v>
      </c>
      <c r="AL158" s="194">
        <f t="shared" si="100"/>
        <v>253200</v>
      </c>
    </row>
    <row r="159" spans="2:38" x14ac:dyDescent="0.25">
      <c r="B159" s="192" t="s">
        <v>904</v>
      </c>
      <c r="C159" s="193" t="s">
        <v>905</v>
      </c>
      <c r="D15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9" s="194">
        <f t="shared" si="92"/>
        <v>0</v>
      </c>
      <c r="G159" s="194"/>
      <c r="H159" s="194">
        <f t="shared" si="93"/>
        <v>0</v>
      </c>
      <c r="I159" s="194"/>
      <c r="J159" s="194">
        <f t="shared" si="94"/>
        <v>0</v>
      </c>
      <c r="K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9" s="194">
        <f t="shared" si="96"/>
        <v>0</v>
      </c>
      <c r="Z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194">
        <f t="shared" si="97"/>
        <v>0</v>
      </c>
      <c r="AD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194">
        <f t="shared" si="98"/>
        <v>0</v>
      </c>
      <c r="AH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194">
        <f t="shared" si="99"/>
        <v>0</v>
      </c>
      <c r="AL159" s="194">
        <f t="shared" si="100"/>
        <v>0</v>
      </c>
    </row>
    <row r="160" spans="2:38" x14ac:dyDescent="0.25">
      <c r="B160" s="192" t="s">
        <v>906</v>
      </c>
      <c r="C160" s="193" t="s">
        <v>907</v>
      </c>
      <c r="D16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194">
        <f t="shared" si="92"/>
        <v>0</v>
      </c>
      <c r="G160" s="194"/>
      <c r="H160" s="194">
        <f t="shared" si="93"/>
        <v>0</v>
      </c>
      <c r="I160" s="194"/>
      <c r="J160" s="194">
        <f t="shared" si="94"/>
        <v>0</v>
      </c>
      <c r="K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194">
        <f t="shared" si="96"/>
        <v>0</v>
      </c>
      <c r="Z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194">
        <f t="shared" si="97"/>
        <v>0</v>
      </c>
      <c r="AD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194">
        <f t="shared" si="98"/>
        <v>0</v>
      </c>
      <c r="AH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194">
        <f t="shared" si="99"/>
        <v>0</v>
      </c>
      <c r="AL160" s="194">
        <f t="shared" si="100"/>
        <v>0</v>
      </c>
    </row>
    <row r="161" spans="2:38" x14ac:dyDescent="0.25">
      <c r="B161" s="192" t="s">
        <v>908</v>
      </c>
      <c r="C161" s="193" t="s">
        <v>909</v>
      </c>
      <c r="D1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194">
        <f t="shared" si="92"/>
        <v>0</v>
      </c>
      <c r="G161" s="194"/>
      <c r="H161" s="194">
        <f t="shared" si="93"/>
        <v>0</v>
      </c>
      <c r="I161" s="194"/>
      <c r="J161" s="194">
        <f t="shared" si="94"/>
        <v>0</v>
      </c>
      <c r="K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194">
        <f t="shared" si="96"/>
        <v>0</v>
      </c>
      <c r="Z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194">
        <f t="shared" si="97"/>
        <v>0</v>
      </c>
      <c r="AD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194">
        <f t="shared" si="98"/>
        <v>0</v>
      </c>
      <c r="AH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194">
        <f t="shared" si="99"/>
        <v>0</v>
      </c>
      <c r="AL161" s="194">
        <f t="shared" si="100"/>
        <v>0</v>
      </c>
    </row>
    <row r="162" spans="2:38" x14ac:dyDescent="0.25">
      <c r="B162" s="192" t="s">
        <v>370</v>
      </c>
      <c r="C162" s="193" t="s">
        <v>252</v>
      </c>
      <c r="D1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194">
        <f t="shared" si="92"/>
        <v>0</v>
      </c>
      <c r="G162" s="194"/>
      <c r="H162" s="194">
        <f t="shared" si="93"/>
        <v>0</v>
      </c>
      <c r="I162" s="194"/>
      <c r="J162" s="194">
        <f t="shared" si="94"/>
        <v>0</v>
      </c>
      <c r="K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194">
        <f t="shared" si="96"/>
        <v>0</v>
      </c>
      <c r="Z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194">
        <f t="shared" si="97"/>
        <v>0</v>
      </c>
      <c r="AD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194">
        <f t="shared" si="98"/>
        <v>0</v>
      </c>
      <c r="AH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194">
        <f t="shared" si="99"/>
        <v>0</v>
      </c>
      <c r="AL162" s="194">
        <f t="shared" si="100"/>
        <v>0</v>
      </c>
    </row>
    <row r="163" spans="2:38" x14ac:dyDescent="0.25">
      <c r="B163" s="192" t="s">
        <v>910</v>
      </c>
      <c r="C163" s="193" t="s">
        <v>911</v>
      </c>
      <c r="D1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200000</v>
      </c>
      <c r="F163" s="194">
        <f t="shared" si="92"/>
        <v>200000</v>
      </c>
      <c r="G163" s="194"/>
      <c r="H163" s="194">
        <f t="shared" si="93"/>
        <v>200000</v>
      </c>
      <c r="I163" s="194"/>
      <c r="J163" s="194">
        <f t="shared" si="94"/>
        <v>200000</v>
      </c>
      <c r="K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200000</v>
      </c>
      <c r="T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194">
        <f t="shared" si="96"/>
        <v>0</v>
      </c>
      <c r="Z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200000</v>
      </c>
      <c r="AA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194">
        <f t="shared" si="97"/>
        <v>200000</v>
      </c>
      <c r="AD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194">
        <f t="shared" si="98"/>
        <v>0</v>
      </c>
      <c r="AH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194">
        <f t="shared" si="99"/>
        <v>0</v>
      </c>
      <c r="AL163" s="194">
        <f t="shared" si="100"/>
        <v>200000</v>
      </c>
    </row>
    <row r="164" spans="2:38" x14ac:dyDescent="0.25">
      <c r="B164" s="192" t="s">
        <v>912</v>
      </c>
      <c r="C164" s="193" t="s">
        <v>913</v>
      </c>
      <c r="D1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194">
        <f t="shared" si="92"/>
        <v>0</v>
      </c>
      <c r="G164" s="194"/>
      <c r="H164" s="194">
        <f t="shared" si="93"/>
        <v>0</v>
      </c>
      <c r="I164" s="194"/>
      <c r="J164" s="194">
        <f t="shared" si="94"/>
        <v>0</v>
      </c>
      <c r="K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194">
        <f t="shared" si="96"/>
        <v>0</v>
      </c>
      <c r="Z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194">
        <f t="shared" si="97"/>
        <v>0</v>
      </c>
      <c r="AD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194">
        <f t="shared" si="98"/>
        <v>0</v>
      </c>
      <c r="AH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194">
        <f t="shared" si="99"/>
        <v>0</v>
      </c>
      <c r="AL164" s="194">
        <f t="shared" si="100"/>
        <v>0</v>
      </c>
    </row>
    <row r="165" spans="2:38" x14ac:dyDescent="0.25">
      <c r="B165" s="201" t="s">
        <v>371</v>
      </c>
      <c r="C165" s="202" t="s">
        <v>253</v>
      </c>
      <c r="D165" s="203">
        <f>SUM(D166:D190)</f>
        <v>0</v>
      </c>
      <c r="E165" s="203">
        <f>SUM(E166:E190)</f>
        <v>78375</v>
      </c>
      <c r="F165" s="203">
        <f t="shared" si="92"/>
        <v>78375</v>
      </c>
      <c r="G165" s="203">
        <f>SUM(G166:G190)</f>
        <v>0</v>
      </c>
      <c r="H165" s="203">
        <f t="shared" si="93"/>
        <v>78375</v>
      </c>
      <c r="I165" s="203">
        <f>SUM(I166:I190)</f>
        <v>0</v>
      </c>
      <c r="J165" s="203">
        <f t="shared" si="94"/>
        <v>78375</v>
      </c>
      <c r="K165" s="203">
        <f t="shared" ref="K165:X165" si="101">SUM(K166:K190)</f>
        <v>4900</v>
      </c>
      <c r="L165" s="203">
        <f t="shared" si="101"/>
        <v>1500</v>
      </c>
      <c r="M165" s="203">
        <f t="shared" si="101"/>
        <v>45500</v>
      </c>
      <c r="N165" s="203">
        <f t="shared" si="101"/>
        <v>400</v>
      </c>
      <c r="O165" s="203">
        <f t="shared" si="101"/>
        <v>2875</v>
      </c>
      <c r="P165" s="203">
        <f t="shared" si="101"/>
        <v>0</v>
      </c>
      <c r="Q165" s="203">
        <f t="shared" si="101"/>
        <v>0</v>
      </c>
      <c r="R165" s="203">
        <f t="shared" si="101"/>
        <v>10200</v>
      </c>
      <c r="S165" s="203">
        <f t="shared" si="101"/>
        <v>13000</v>
      </c>
      <c r="T165" s="203">
        <f t="shared" si="101"/>
        <v>0</v>
      </c>
      <c r="U165" s="203">
        <f t="shared" si="101"/>
        <v>0</v>
      </c>
      <c r="V165" s="203">
        <f t="shared" si="101"/>
        <v>0</v>
      </c>
      <c r="W165" s="203">
        <f t="shared" si="101"/>
        <v>45500</v>
      </c>
      <c r="X165" s="203">
        <f t="shared" si="101"/>
        <v>4500</v>
      </c>
      <c r="Y165" s="203">
        <f t="shared" si="96"/>
        <v>50000</v>
      </c>
      <c r="Z165" s="203">
        <f>SUM(Z166:Z190)</f>
        <v>1500</v>
      </c>
      <c r="AA165" s="203">
        <f>SUM(AA166:AA190)</f>
        <v>13275</v>
      </c>
      <c r="AB165" s="203">
        <f>SUM(AB166:AB190)</f>
        <v>2000</v>
      </c>
      <c r="AC165" s="203">
        <f t="shared" si="97"/>
        <v>16775</v>
      </c>
      <c r="AD165" s="203">
        <f>SUM(AD166:AD190)</f>
        <v>0</v>
      </c>
      <c r="AE165" s="203">
        <f>SUM(AE166:AE190)</f>
        <v>0</v>
      </c>
      <c r="AF165" s="203">
        <f>SUM(AF166:AF190)</f>
        <v>11100</v>
      </c>
      <c r="AG165" s="203">
        <f t="shared" si="98"/>
        <v>11100</v>
      </c>
      <c r="AH165" s="203">
        <f>SUM(AH166:AH190)</f>
        <v>500</v>
      </c>
      <c r="AI165" s="203">
        <f>SUM(AI166:AI190)</f>
        <v>0</v>
      </c>
      <c r="AJ165" s="203">
        <f>SUM(AJ166:AJ190)</f>
        <v>0</v>
      </c>
      <c r="AK165" s="203">
        <f t="shared" si="99"/>
        <v>500</v>
      </c>
      <c r="AL165" s="203">
        <f t="shared" si="100"/>
        <v>78375</v>
      </c>
    </row>
    <row r="166" spans="2:38" x14ac:dyDescent="0.25">
      <c r="B166" s="192" t="s">
        <v>372</v>
      </c>
      <c r="C166" s="193" t="s">
        <v>254</v>
      </c>
      <c r="D16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194">
        <f t="shared" si="92"/>
        <v>0</v>
      </c>
      <c r="G166" s="194"/>
      <c r="H166" s="194">
        <f t="shared" si="93"/>
        <v>0</v>
      </c>
      <c r="I166" s="194"/>
      <c r="J166" s="194">
        <f t="shared" si="94"/>
        <v>0</v>
      </c>
      <c r="K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194">
        <f t="shared" si="96"/>
        <v>0</v>
      </c>
      <c r="Z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194">
        <f t="shared" si="97"/>
        <v>0</v>
      </c>
      <c r="AD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194">
        <f t="shared" si="98"/>
        <v>0</v>
      </c>
      <c r="AH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194">
        <f t="shared" si="99"/>
        <v>0</v>
      </c>
      <c r="AL166" s="194">
        <f t="shared" si="100"/>
        <v>0</v>
      </c>
    </row>
    <row r="167" spans="2:38" x14ac:dyDescent="0.25">
      <c r="B167" s="192" t="s">
        <v>914</v>
      </c>
      <c r="C167" s="193" t="s">
        <v>915</v>
      </c>
      <c r="D16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194">
        <f t="shared" si="92"/>
        <v>0</v>
      </c>
      <c r="G167" s="194"/>
      <c r="H167" s="194">
        <f t="shared" si="93"/>
        <v>0</v>
      </c>
      <c r="I167" s="194"/>
      <c r="J167" s="194">
        <f t="shared" si="94"/>
        <v>0</v>
      </c>
      <c r="K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194">
        <f t="shared" si="96"/>
        <v>0</v>
      </c>
      <c r="Z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194">
        <f t="shared" si="97"/>
        <v>0</v>
      </c>
      <c r="AD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194">
        <f t="shared" si="98"/>
        <v>0</v>
      </c>
      <c r="AH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194">
        <f t="shared" si="99"/>
        <v>0</v>
      </c>
      <c r="AL167" s="194">
        <f t="shared" si="100"/>
        <v>0</v>
      </c>
    </row>
    <row r="168" spans="2:38" x14ac:dyDescent="0.25">
      <c r="B168" s="192" t="s">
        <v>916</v>
      </c>
      <c r="C168" s="193" t="s">
        <v>917</v>
      </c>
      <c r="D1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194">
        <f t="shared" si="92"/>
        <v>0</v>
      </c>
      <c r="G168" s="194"/>
      <c r="H168" s="194">
        <f t="shared" si="93"/>
        <v>0</v>
      </c>
      <c r="I168" s="194"/>
      <c r="J168" s="194">
        <f t="shared" si="94"/>
        <v>0</v>
      </c>
      <c r="K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194">
        <f t="shared" si="96"/>
        <v>0</v>
      </c>
      <c r="Z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194">
        <f t="shared" si="97"/>
        <v>0</v>
      </c>
      <c r="AD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194">
        <f t="shared" si="98"/>
        <v>0</v>
      </c>
      <c r="AH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194">
        <f t="shared" si="99"/>
        <v>0</v>
      </c>
      <c r="AL168" s="194">
        <f t="shared" si="100"/>
        <v>0</v>
      </c>
    </row>
    <row r="169" spans="2:38" x14ac:dyDescent="0.25">
      <c r="B169" s="192" t="s">
        <v>918</v>
      </c>
      <c r="C169" s="193" t="s">
        <v>919</v>
      </c>
      <c r="D1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194">
        <f t="shared" si="92"/>
        <v>0</v>
      </c>
      <c r="G169" s="194"/>
      <c r="H169" s="194">
        <f t="shared" si="93"/>
        <v>0</v>
      </c>
      <c r="I169" s="194"/>
      <c r="J169" s="194">
        <f t="shared" si="94"/>
        <v>0</v>
      </c>
      <c r="K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194">
        <f t="shared" si="96"/>
        <v>0</v>
      </c>
      <c r="Z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194">
        <f t="shared" si="97"/>
        <v>0</v>
      </c>
      <c r="AD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194">
        <f t="shared" si="98"/>
        <v>0</v>
      </c>
      <c r="AH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194">
        <f t="shared" si="99"/>
        <v>0</v>
      </c>
      <c r="AL169" s="194">
        <f t="shared" si="100"/>
        <v>0</v>
      </c>
    </row>
    <row r="170" spans="2:38" x14ac:dyDescent="0.25">
      <c r="B170" s="192" t="s">
        <v>920</v>
      </c>
      <c r="C170" s="193" t="s">
        <v>921</v>
      </c>
      <c r="D1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194">
        <f t="shared" ref="F170:F178" si="102">D170+E170</f>
        <v>0</v>
      </c>
      <c r="G170" s="194"/>
      <c r="H170" s="194">
        <f t="shared" ref="H170:H178" si="103">F170-G170</f>
        <v>0</v>
      </c>
      <c r="I170" s="194"/>
      <c r="J170" s="194">
        <f t="shared" ref="J170:J178" si="104">F170-I170</f>
        <v>0</v>
      </c>
      <c r="K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194">
        <f t="shared" ref="Y170:Y178" si="105">V170+W170+X170</f>
        <v>0</v>
      </c>
      <c r="Z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194">
        <f t="shared" ref="AC170:AC178" si="106">Z170+AA170+AB170</f>
        <v>0</v>
      </c>
      <c r="AD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194">
        <f t="shared" ref="AG170:AG178" si="107">AD170+AE170+AF170</f>
        <v>0</v>
      </c>
      <c r="AH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194">
        <f t="shared" ref="AK170:AK178" si="108">AH170+AI170+AJ170</f>
        <v>0</v>
      </c>
      <c r="AL170" s="194">
        <f t="shared" ref="AL170:AL178" si="109">Y170+AC170+AG170+AK170</f>
        <v>0</v>
      </c>
    </row>
    <row r="171" spans="2:38" x14ac:dyDescent="0.25">
      <c r="B171" s="192" t="s">
        <v>373</v>
      </c>
      <c r="C171" s="193" t="s">
        <v>255</v>
      </c>
      <c r="D1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20375</v>
      </c>
      <c r="F171" s="194">
        <f t="shared" si="102"/>
        <v>20375</v>
      </c>
      <c r="G171" s="194"/>
      <c r="H171" s="194">
        <f t="shared" si="103"/>
        <v>20375</v>
      </c>
      <c r="I171" s="194"/>
      <c r="J171" s="194">
        <f t="shared" si="104"/>
        <v>20375</v>
      </c>
      <c r="K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4000</v>
      </c>
      <c r="L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v>
      </c>
      <c r="M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2875</v>
      </c>
      <c r="P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13000</v>
      </c>
      <c r="T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4500</v>
      </c>
      <c r="Y171" s="194">
        <f t="shared" si="105"/>
        <v>4500</v>
      </c>
      <c r="Z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1500</v>
      </c>
      <c r="AA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11875</v>
      </c>
      <c r="AB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2000</v>
      </c>
      <c r="AC171" s="194">
        <f t="shared" si="106"/>
        <v>15375</v>
      </c>
      <c r="AD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194">
        <f t="shared" si="107"/>
        <v>0</v>
      </c>
      <c r="AH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v>
      </c>
      <c r="AI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194">
        <f t="shared" si="108"/>
        <v>500</v>
      </c>
      <c r="AL171" s="194">
        <f t="shared" si="109"/>
        <v>20375</v>
      </c>
    </row>
    <row r="172" spans="2:38" x14ac:dyDescent="0.25">
      <c r="B172" s="192" t="s">
        <v>922</v>
      </c>
      <c r="C172" s="193" t="s">
        <v>923</v>
      </c>
      <c r="D1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12500</v>
      </c>
      <c r="F172" s="194">
        <f t="shared" si="102"/>
        <v>12500</v>
      </c>
      <c r="G172" s="194"/>
      <c r="H172" s="194">
        <f t="shared" si="103"/>
        <v>12500</v>
      </c>
      <c r="I172" s="194"/>
      <c r="J172" s="194">
        <f t="shared" si="104"/>
        <v>12500</v>
      </c>
      <c r="K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900</v>
      </c>
      <c r="L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v>
      </c>
      <c r="M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v>
      </c>
      <c r="O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10200</v>
      </c>
      <c r="S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194">
        <f t="shared" si="105"/>
        <v>0</v>
      </c>
      <c r="Z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1400</v>
      </c>
      <c r="AB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2" s="194">
        <f t="shared" si="106"/>
        <v>1400</v>
      </c>
      <c r="AD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11100</v>
      </c>
      <c r="AG172" s="194">
        <f t="shared" si="107"/>
        <v>11100</v>
      </c>
      <c r="AH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194">
        <f t="shared" si="108"/>
        <v>0</v>
      </c>
      <c r="AL172" s="194">
        <f t="shared" si="109"/>
        <v>12500</v>
      </c>
    </row>
    <row r="173" spans="2:38" x14ac:dyDescent="0.25">
      <c r="B173" s="192" t="s">
        <v>924</v>
      </c>
      <c r="C173" s="193" t="s">
        <v>925</v>
      </c>
      <c r="D17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3" s="194">
        <f t="shared" si="102"/>
        <v>0</v>
      </c>
      <c r="G173" s="194"/>
      <c r="H173" s="194">
        <f t="shared" si="103"/>
        <v>0</v>
      </c>
      <c r="I173" s="194"/>
      <c r="J173" s="194">
        <f t="shared" si="104"/>
        <v>0</v>
      </c>
      <c r="K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194">
        <f t="shared" si="105"/>
        <v>0</v>
      </c>
      <c r="Z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194">
        <f t="shared" si="106"/>
        <v>0</v>
      </c>
      <c r="AD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194">
        <f t="shared" si="107"/>
        <v>0</v>
      </c>
      <c r="AH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194">
        <f t="shared" si="108"/>
        <v>0</v>
      </c>
      <c r="AL173" s="194">
        <f t="shared" si="109"/>
        <v>0</v>
      </c>
    </row>
    <row r="174" spans="2:38" x14ac:dyDescent="0.25">
      <c r="B174" s="192" t="s">
        <v>926</v>
      </c>
      <c r="C174" s="193" t="s">
        <v>927</v>
      </c>
      <c r="D1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194">
        <f t="shared" si="102"/>
        <v>0</v>
      </c>
      <c r="G174" s="194"/>
      <c r="H174" s="194">
        <f t="shared" si="103"/>
        <v>0</v>
      </c>
      <c r="I174" s="194"/>
      <c r="J174" s="194">
        <f t="shared" si="104"/>
        <v>0</v>
      </c>
      <c r="K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194">
        <f t="shared" si="105"/>
        <v>0</v>
      </c>
      <c r="Z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194">
        <f t="shared" si="106"/>
        <v>0</v>
      </c>
      <c r="AD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194">
        <f t="shared" si="107"/>
        <v>0</v>
      </c>
      <c r="AH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194">
        <f t="shared" si="108"/>
        <v>0</v>
      </c>
      <c r="AL174" s="194">
        <f t="shared" si="109"/>
        <v>0</v>
      </c>
    </row>
    <row r="175" spans="2:38" x14ac:dyDescent="0.25">
      <c r="B175" s="192" t="s">
        <v>928</v>
      </c>
      <c r="C175" s="193" t="s">
        <v>929</v>
      </c>
      <c r="D17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194">
        <f t="shared" si="102"/>
        <v>0</v>
      </c>
      <c r="G175" s="194"/>
      <c r="H175" s="194">
        <f t="shared" si="103"/>
        <v>0</v>
      </c>
      <c r="I175" s="194"/>
      <c r="J175" s="194">
        <f t="shared" si="104"/>
        <v>0</v>
      </c>
      <c r="K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194">
        <f t="shared" si="105"/>
        <v>0</v>
      </c>
      <c r="Z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194">
        <f t="shared" si="106"/>
        <v>0</v>
      </c>
      <c r="AD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194">
        <f t="shared" si="107"/>
        <v>0</v>
      </c>
      <c r="AH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194">
        <f t="shared" si="108"/>
        <v>0</v>
      </c>
      <c r="AL175" s="194">
        <f t="shared" si="109"/>
        <v>0</v>
      </c>
    </row>
    <row r="176" spans="2:38" x14ac:dyDescent="0.25">
      <c r="B176" s="192" t="s">
        <v>930</v>
      </c>
      <c r="C176" s="193" t="s">
        <v>931</v>
      </c>
      <c r="D1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194">
        <f t="shared" si="102"/>
        <v>0</v>
      </c>
      <c r="G176" s="194"/>
      <c r="H176" s="194">
        <f t="shared" si="103"/>
        <v>0</v>
      </c>
      <c r="I176" s="194"/>
      <c r="J176" s="194">
        <f t="shared" si="104"/>
        <v>0</v>
      </c>
      <c r="K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194">
        <f t="shared" si="105"/>
        <v>0</v>
      </c>
      <c r="Z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194">
        <f t="shared" si="106"/>
        <v>0</v>
      </c>
      <c r="AD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194">
        <f t="shared" si="107"/>
        <v>0</v>
      </c>
      <c r="AH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194">
        <f t="shared" si="108"/>
        <v>0</v>
      </c>
      <c r="AL176" s="194">
        <f t="shared" si="109"/>
        <v>0</v>
      </c>
    </row>
    <row r="177" spans="2:38" x14ac:dyDescent="0.25">
      <c r="B177" s="192" t="s">
        <v>374</v>
      </c>
      <c r="C177" s="193" t="s">
        <v>932</v>
      </c>
      <c r="D1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194">
        <f t="shared" si="102"/>
        <v>0</v>
      </c>
      <c r="G177" s="194"/>
      <c r="H177" s="194">
        <f t="shared" si="103"/>
        <v>0</v>
      </c>
      <c r="I177" s="194"/>
      <c r="J177" s="194">
        <f t="shared" si="104"/>
        <v>0</v>
      </c>
      <c r="K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194">
        <f t="shared" si="105"/>
        <v>0</v>
      </c>
      <c r="Z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194">
        <f t="shared" si="106"/>
        <v>0</v>
      </c>
      <c r="AD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194">
        <f t="shared" si="107"/>
        <v>0</v>
      </c>
      <c r="AH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194">
        <f t="shared" si="108"/>
        <v>0</v>
      </c>
      <c r="AL177" s="194">
        <f t="shared" si="109"/>
        <v>0</v>
      </c>
    </row>
    <row r="178" spans="2:38" x14ac:dyDescent="0.25">
      <c r="B178" s="192" t="s">
        <v>933</v>
      </c>
      <c r="C178" s="193" t="s">
        <v>934</v>
      </c>
      <c r="D17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194">
        <f t="shared" si="102"/>
        <v>0</v>
      </c>
      <c r="G178" s="194"/>
      <c r="H178" s="194">
        <f t="shared" si="103"/>
        <v>0</v>
      </c>
      <c r="I178" s="194"/>
      <c r="J178" s="194">
        <f t="shared" si="104"/>
        <v>0</v>
      </c>
      <c r="K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194">
        <f t="shared" si="105"/>
        <v>0</v>
      </c>
      <c r="Z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194">
        <f t="shared" si="106"/>
        <v>0</v>
      </c>
      <c r="AD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194">
        <f t="shared" si="107"/>
        <v>0</v>
      </c>
      <c r="AH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194">
        <f t="shared" si="108"/>
        <v>0</v>
      </c>
      <c r="AL178" s="194">
        <f t="shared" si="109"/>
        <v>0</v>
      </c>
    </row>
    <row r="179" spans="2:38" x14ac:dyDescent="0.25">
      <c r="B179" s="192" t="s">
        <v>375</v>
      </c>
      <c r="C179" s="193" t="s">
        <v>935</v>
      </c>
      <c r="D1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45500</v>
      </c>
      <c r="F179" s="194">
        <f t="shared" ref="F179:F186" si="110">D179+E179</f>
        <v>45500</v>
      </c>
      <c r="G179" s="194"/>
      <c r="H179" s="194">
        <f t="shared" ref="H179:H186" si="111">F179-G179</f>
        <v>45500</v>
      </c>
      <c r="I179" s="194"/>
      <c r="J179" s="194">
        <f t="shared" ref="J179:J186" si="112">F179-I179</f>
        <v>45500</v>
      </c>
      <c r="K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45500</v>
      </c>
      <c r="N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45500</v>
      </c>
      <c r="X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9" s="194">
        <f t="shared" ref="Y179:Y186" si="113">V179+W179+X179</f>
        <v>45500</v>
      </c>
      <c r="Z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194">
        <f t="shared" ref="AC179:AC186" si="114">Z179+AA179+AB179</f>
        <v>0</v>
      </c>
      <c r="AD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194">
        <f t="shared" ref="AG179:AG186" si="115">AD179+AE179+AF179</f>
        <v>0</v>
      </c>
      <c r="AH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194">
        <f t="shared" ref="AK179:AK186" si="116">AH179+AI179+AJ179</f>
        <v>0</v>
      </c>
      <c r="AL179" s="194">
        <f t="shared" ref="AL179:AL186" si="117">Y179+AC179+AG179+AK179</f>
        <v>45500</v>
      </c>
    </row>
    <row r="180" spans="2:38" x14ac:dyDescent="0.25">
      <c r="B180" s="192" t="s">
        <v>936</v>
      </c>
      <c r="C180" s="193" t="s">
        <v>935</v>
      </c>
      <c r="D1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0" s="194">
        <f t="shared" si="110"/>
        <v>0</v>
      </c>
      <c r="G180" s="194"/>
      <c r="H180" s="194">
        <f t="shared" si="111"/>
        <v>0</v>
      </c>
      <c r="I180" s="194"/>
      <c r="J180" s="194">
        <f t="shared" si="112"/>
        <v>0</v>
      </c>
      <c r="K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194">
        <f t="shared" si="113"/>
        <v>0</v>
      </c>
      <c r="Z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194">
        <f t="shared" si="114"/>
        <v>0</v>
      </c>
      <c r="AD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194">
        <f t="shared" si="115"/>
        <v>0</v>
      </c>
      <c r="AH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194">
        <f t="shared" si="116"/>
        <v>0</v>
      </c>
      <c r="AL180" s="194">
        <f t="shared" si="117"/>
        <v>0</v>
      </c>
    </row>
    <row r="181" spans="2:38" x14ac:dyDescent="0.25">
      <c r="B181" s="192" t="s">
        <v>937</v>
      </c>
      <c r="C181" s="193" t="s">
        <v>938</v>
      </c>
      <c r="D18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194">
        <f t="shared" si="110"/>
        <v>0</v>
      </c>
      <c r="G181" s="194"/>
      <c r="H181" s="194">
        <f t="shared" si="111"/>
        <v>0</v>
      </c>
      <c r="I181" s="194"/>
      <c r="J181" s="194">
        <f t="shared" si="112"/>
        <v>0</v>
      </c>
      <c r="K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194">
        <f t="shared" si="113"/>
        <v>0</v>
      </c>
      <c r="Z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194">
        <f t="shared" si="114"/>
        <v>0</v>
      </c>
      <c r="AD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194">
        <f t="shared" si="115"/>
        <v>0</v>
      </c>
      <c r="AH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194">
        <f t="shared" si="116"/>
        <v>0</v>
      </c>
      <c r="AL181" s="194">
        <f t="shared" si="117"/>
        <v>0</v>
      </c>
    </row>
    <row r="182" spans="2:38" x14ac:dyDescent="0.25">
      <c r="B182" s="192" t="s">
        <v>939</v>
      </c>
      <c r="C182" s="193" t="s">
        <v>940</v>
      </c>
      <c r="D1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194">
        <f t="shared" si="110"/>
        <v>0</v>
      </c>
      <c r="G182" s="194"/>
      <c r="H182" s="194">
        <f t="shared" si="111"/>
        <v>0</v>
      </c>
      <c r="I182" s="194"/>
      <c r="J182" s="194">
        <f t="shared" si="112"/>
        <v>0</v>
      </c>
      <c r="K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194">
        <f t="shared" si="113"/>
        <v>0</v>
      </c>
      <c r="Z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194">
        <f t="shared" si="114"/>
        <v>0</v>
      </c>
      <c r="AD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194">
        <f t="shared" si="115"/>
        <v>0</v>
      </c>
      <c r="AH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194">
        <f t="shared" si="116"/>
        <v>0</v>
      </c>
      <c r="AL182" s="194">
        <f t="shared" si="117"/>
        <v>0</v>
      </c>
    </row>
    <row r="183" spans="2:38" x14ac:dyDescent="0.25">
      <c r="B183" s="192" t="s">
        <v>376</v>
      </c>
      <c r="C183" s="193" t="s">
        <v>941</v>
      </c>
      <c r="D18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194">
        <f t="shared" si="110"/>
        <v>0</v>
      </c>
      <c r="G183" s="194"/>
      <c r="H183" s="194">
        <f t="shared" si="111"/>
        <v>0</v>
      </c>
      <c r="I183" s="194"/>
      <c r="J183" s="194">
        <f t="shared" si="112"/>
        <v>0</v>
      </c>
      <c r="K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194">
        <f t="shared" si="113"/>
        <v>0</v>
      </c>
      <c r="Z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194">
        <f t="shared" si="114"/>
        <v>0</v>
      </c>
      <c r="AD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194">
        <f t="shared" si="115"/>
        <v>0</v>
      </c>
      <c r="AH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194">
        <f t="shared" si="116"/>
        <v>0</v>
      </c>
      <c r="AL183" s="194">
        <f t="shared" si="117"/>
        <v>0</v>
      </c>
    </row>
    <row r="184" spans="2:38" x14ac:dyDescent="0.25">
      <c r="B184" s="192" t="s">
        <v>942</v>
      </c>
      <c r="C184" s="193" t="s">
        <v>941</v>
      </c>
      <c r="D18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194">
        <f t="shared" si="110"/>
        <v>0</v>
      </c>
      <c r="G184" s="194"/>
      <c r="H184" s="194">
        <f t="shared" si="111"/>
        <v>0</v>
      </c>
      <c r="I184" s="194"/>
      <c r="J184" s="194">
        <f t="shared" si="112"/>
        <v>0</v>
      </c>
      <c r="K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194">
        <f t="shared" si="113"/>
        <v>0</v>
      </c>
      <c r="Z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194">
        <f t="shared" si="114"/>
        <v>0</v>
      </c>
      <c r="AD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194">
        <f t="shared" si="115"/>
        <v>0</v>
      </c>
      <c r="AH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194">
        <f t="shared" si="116"/>
        <v>0</v>
      </c>
      <c r="AL184" s="194">
        <f t="shared" si="117"/>
        <v>0</v>
      </c>
    </row>
    <row r="185" spans="2:38" x14ac:dyDescent="0.25">
      <c r="B185" s="192" t="s">
        <v>943</v>
      </c>
      <c r="C185" s="193" t="s">
        <v>944</v>
      </c>
      <c r="D18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194">
        <f t="shared" si="110"/>
        <v>0</v>
      </c>
      <c r="G185" s="194"/>
      <c r="H185" s="194">
        <f t="shared" si="111"/>
        <v>0</v>
      </c>
      <c r="I185" s="194"/>
      <c r="J185" s="194">
        <f t="shared" si="112"/>
        <v>0</v>
      </c>
      <c r="K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194">
        <f t="shared" si="113"/>
        <v>0</v>
      </c>
      <c r="Z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194">
        <f t="shared" si="114"/>
        <v>0</v>
      </c>
      <c r="AD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194">
        <f t="shared" si="115"/>
        <v>0</v>
      </c>
      <c r="AH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194">
        <f t="shared" si="116"/>
        <v>0</v>
      </c>
      <c r="AL185" s="194">
        <f t="shared" si="117"/>
        <v>0</v>
      </c>
    </row>
    <row r="186" spans="2:38" x14ac:dyDescent="0.25">
      <c r="B186" s="192" t="s">
        <v>945</v>
      </c>
      <c r="C186" s="193" t="s">
        <v>946</v>
      </c>
      <c r="D18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194">
        <f t="shared" si="110"/>
        <v>0</v>
      </c>
      <c r="G186" s="194"/>
      <c r="H186" s="194">
        <f t="shared" si="111"/>
        <v>0</v>
      </c>
      <c r="I186" s="194"/>
      <c r="J186" s="194">
        <f t="shared" si="112"/>
        <v>0</v>
      </c>
      <c r="K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194">
        <f t="shared" si="113"/>
        <v>0</v>
      </c>
      <c r="Z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194">
        <f t="shared" si="114"/>
        <v>0</v>
      </c>
      <c r="AD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194">
        <f t="shared" si="115"/>
        <v>0</v>
      </c>
      <c r="AH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194">
        <f t="shared" si="116"/>
        <v>0</v>
      </c>
      <c r="AL186" s="194">
        <f t="shared" si="117"/>
        <v>0</v>
      </c>
    </row>
    <row r="187" spans="2:38" x14ac:dyDescent="0.25">
      <c r="B187" s="192" t="s">
        <v>377</v>
      </c>
      <c r="C187" s="193" t="s">
        <v>947</v>
      </c>
      <c r="D18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7" s="194">
        <f t="shared" ref="F187:F218" si="118">D187+E187</f>
        <v>0</v>
      </c>
      <c r="G187" s="194"/>
      <c r="H187" s="194">
        <f t="shared" ref="H187:H218" si="119">F187-G187</f>
        <v>0</v>
      </c>
      <c r="I187" s="194"/>
      <c r="J187" s="194">
        <f t="shared" ref="J187:J218" si="120">F187-I187</f>
        <v>0</v>
      </c>
      <c r="K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194">
        <f t="shared" ref="Y187:Y218" si="121">V187+W187+X187</f>
        <v>0</v>
      </c>
      <c r="Z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194">
        <f t="shared" ref="AC187:AC218" si="122">Z187+AA187+AB187</f>
        <v>0</v>
      </c>
      <c r="AD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194">
        <f t="shared" ref="AG187:AG218" si="123">AD187+AE187+AF187</f>
        <v>0</v>
      </c>
      <c r="AH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194">
        <f t="shared" ref="AK187:AK218" si="124">AH187+AI187+AJ187</f>
        <v>0</v>
      </c>
      <c r="AL187" s="194">
        <f t="shared" ref="AL187:AL218" si="125">Y187+AC187+AG187+AK187</f>
        <v>0</v>
      </c>
    </row>
    <row r="188" spans="2:38" x14ac:dyDescent="0.25">
      <c r="B188" s="192" t="s">
        <v>948</v>
      </c>
      <c r="C188" s="193" t="s">
        <v>949</v>
      </c>
      <c r="D18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8" s="194">
        <f t="shared" si="118"/>
        <v>0</v>
      </c>
      <c r="G188" s="194"/>
      <c r="H188" s="194">
        <f t="shared" si="119"/>
        <v>0</v>
      </c>
      <c r="I188" s="194"/>
      <c r="J188" s="194">
        <f t="shared" si="120"/>
        <v>0</v>
      </c>
      <c r="K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194">
        <f t="shared" si="121"/>
        <v>0</v>
      </c>
      <c r="Z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194">
        <f t="shared" si="122"/>
        <v>0</v>
      </c>
      <c r="AD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194">
        <f t="shared" si="123"/>
        <v>0</v>
      </c>
      <c r="AH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194">
        <f t="shared" si="124"/>
        <v>0</v>
      </c>
      <c r="AL188" s="194">
        <f t="shared" si="125"/>
        <v>0</v>
      </c>
    </row>
    <row r="189" spans="2:38" x14ac:dyDescent="0.25">
      <c r="B189" s="192" t="s">
        <v>950</v>
      </c>
      <c r="C189" s="193" t="s">
        <v>951</v>
      </c>
      <c r="D18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194">
        <f t="shared" si="118"/>
        <v>0</v>
      </c>
      <c r="G189" s="194"/>
      <c r="H189" s="194">
        <f t="shared" si="119"/>
        <v>0</v>
      </c>
      <c r="I189" s="194"/>
      <c r="J189" s="194">
        <f t="shared" si="120"/>
        <v>0</v>
      </c>
      <c r="K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194">
        <f t="shared" si="121"/>
        <v>0</v>
      </c>
      <c r="Z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194">
        <f t="shared" si="122"/>
        <v>0</v>
      </c>
      <c r="AD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194">
        <f t="shared" si="123"/>
        <v>0</v>
      </c>
      <c r="AH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194">
        <f t="shared" si="124"/>
        <v>0</v>
      </c>
      <c r="AL189" s="194">
        <f t="shared" si="125"/>
        <v>0</v>
      </c>
    </row>
    <row r="190" spans="2:38" x14ac:dyDescent="0.25">
      <c r="B190" s="192" t="s">
        <v>952</v>
      </c>
      <c r="C190" s="193" t="s">
        <v>953</v>
      </c>
      <c r="D19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194">
        <f t="shared" si="118"/>
        <v>0</v>
      </c>
      <c r="G190" s="194"/>
      <c r="H190" s="194">
        <f t="shared" si="119"/>
        <v>0</v>
      </c>
      <c r="I190" s="194"/>
      <c r="J190" s="194">
        <f t="shared" si="120"/>
        <v>0</v>
      </c>
      <c r="K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194">
        <f t="shared" si="121"/>
        <v>0</v>
      </c>
      <c r="Z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194">
        <f t="shared" si="122"/>
        <v>0</v>
      </c>
      <c r="AD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194">
        <f t="shared" si="123"/>
        <v>0</v>
      </c>
      <c r="AH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194">
        <f t="shared" si="124"/>
        <v>0</v>
      </c>
      <c r="AL190" s="194">
        <f t="shared" si="125"/>
        <v>0</v>
      </c>
    </row>
    <row r="191" spans="2:38" x14ac:dyDescent="0.25">
      <c r="B191" s="201" t="s">
        <v>378</v>
      </c>
      <c r="C191" s="202" t="s">
        <v>256</v>
      </c>
      <c r="D191" s="203">
        <f>SUM(D192:D193)</f>
        <v>0</v>
      </c>
      <c r="E191" s="203">
        <f>SUM(E192:E193)</f>
        <v>157610</v>
      </c>
      <c r="F191" s="203">
        <f t="shared" si="118"/>
        <v>157610</v>
      </c>
      <c r="G191" s="203">
        <f>SUM(G192:G193)</f>
        <v>0</v>
      </c>
      <c r="H191" s="203">
        <f t="shared" si="119"/>
        <v>157610</v>
      </c>
      <c r="I191" s="203">
        <f>SUM(I192:I193)</f>
        <v>0</v>
      </c>
      <c r="J191" s="203">
        <f t="shared" si="120"/>
        <v>157610</v>
      </c>
      <c r="K191" s="203">
        <f t="shared" ref="K191:AJ191" si="126">SUM(K192:K193)</f>
        <v>0</v>
      </c>
      <c r="L191" s="203">
        <f t="shared" si="126"/>
        <v>0</v>
      </c>
      <c r="M191" s="203">
        <f t="shared" si="126"/>
        <v>0</v>
      </c>
      <c r="N191" s="203">
        <f t="shared" si="126"/>
        <v>0</v>
      </c>
      <c r="O191" s="203">
        <f t="shared" si="126"/>
        <v>155610</v>
      </c>
      <c r="P191" s="203">
        <f t="shared" si="126"/>
        <v>0</v>
      </c>
      <c r="Q191" s="203">
        <f t="shared" si="126"/>
        <v>0</v>
      </c>
      <c r="R191" s="203">
        <f t="shared" si="126"/>
        <v>0</v>
      </c>
      <c r="S191" s="203">
        <f t="shared" si="126"/>
        <v>2000</v>
      </c>
      <c r="T191" s="203">
        <f t="shared" si="126"/>
        <v>0</v>
      </c>
      <c r="U191" s="203">
        <f t="shared" si="126"/>
        <v>0</v>
      </c>
      <c r="V191" s="203">
        <f t="shared" si="126"/>
        <v>0</v>
      </c>
      <c r="W191" s="203">
        <f t="shared" si="126"/>
        <v>11960</v>
      </c>
      <c r="X191" s="203">
        <f t="shared" si="126"/>
        <v>0</v>
      </c>
      <c r="Y191" s="203">
        <f t="shared" si="121"/>
        <v>11960</v>
      </c>
      <c r="Z191" s="203">
        <f t="shared" si="126"/>
        <v>2000</v>
      </c>
      <c r="AA191" s="203">
        <f t="shared" si="126"/>
        <v>0</v>
      </c>
      <c r="AB191" s="203">
        <f t="shared" si="126"/>
        <v>23400</v>
      </c>
      <c r="AC191" s="203">
        <f t="shared" si="122"/>
        <v>25400</v>
      </c>
      <c r="AD191" s="203">
        <f t="shared" si="126"/>
        <v>0</v>
      </c>
      <c r="AE191" s="203">
        <f t="shared" si="126"/>
        <v>0</v>
      </c>
      <c r="AF191" s="203">
        <f t="shared" si="126"/>
        <v>0</v>
      </c>
      <c r="AG191" s="203">
        <f t="shared" si="123"/>
        <v>0</v>
      </c>
      <c r="AH191" s="203">
        <f t="shared" si="126"/>
        <v>0</v>
      </c>
      <c r="AI191" s="203">
        <f t="shared" si="126"/>
        <v>41400</v>
      </c>
      <c r="AJ191" s="203">
        <f t="shared" si="126"/>
        <v>0</v>
      </c>
      <c r="AK191" s="203">
        <f t="shared" si="124"/>
        <v>41400</v>
      </c>
      <c r="AL191" s="203">
        <f t="shared" si="125"/>
        <v>78760</v>
      </c>
    </row>
    <row r="192" spans="2:38" x14ac:dyDescent="0.25">
      <c r="B192" s="192" t="s">
        <v>379</v>
      </c>
      <c r="C192" s="193" t="s">
        <v>257</v>
      </c>
      <c r="D19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12210</v>
      </c>
      <c r="F192" s="194">
        <f t="shared" si="118"/>
        <v>12210</v>
      </c>
      <c r="G192" s="194"/>
      <c r="H192" s="194">
        <f t="shared" si="119"/>
        <v>12210</v>
      </c>
      <c r="I192" s="194"/>
      <c r="J192" s="194">
        <f t="shared" si="120"/>
        <v>12210</v>
      </c>
      <c r="K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12210</v>
      </c>
      <c r="P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1960</v>
      </c>
      <c r="X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194">
        <f t="shared" si="121"/>
        <v>1960</v>
      </c>
      <c r="Z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5000</v>
      </c>
      <c r="AC192" s="194">
        <f t="shared" si="122"/>
        <v>5000</v>
      </c>
      <c r="AD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194">
        <f t="shared" si="123"/>
        <v>0</v>
      </c>
      <c r="AH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194">
        <f t="shared" si="124"/>
        <v>0</v>
      </c>
      <c r="AL192" s="194">
        <f t="shared" si="125"/>
        <v>6960</v>
      </c>
    </row>
    <row r="193" spans="2:38" x14ac:dyDescent="0.25">
      <c r="B193" s="192" t="s">
        <v>380</v>
      </c>
      <c r="C193" s="193" t="s">
        <v>258</v>
      </c>
      <c r="D19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145400</v>
      </c>
      <c r="F193" s="194">
        <f t="shared" si="118"/>
        <v>145400</v>
      </c>
      <c r="G193" s="194"/>
      <c r="H193" s="194">
        <f t="shared" si="119"/>
        <v>145400</v>
      </c>
      <c r="I193" s="194"/>
      <c r="J193" s="194">
        <f t="shared" si="120"/>
        <v>145400</v>
      </c>
      <c r="K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143400</v>
      </c>
      <c r="P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v>
      </c>
      <c r="T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X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194">
        <f t="shared" si="121"/>
        <v>10000</v>
      </c>
      <c r="Z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2000</v>
      </c>
      <c r="AA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18400</v>
      </c>
      <c r="AC193" s="194">
        <f t="shared" si="122"/>
        <v>20400</v>
      </c>
      <c r="AD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194">
        <f t="shared" si="123"/>
        <v>0</v>
      </c>
      <c r="AH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41400</v>
      </c>
      <c r="AJ1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194">
        <f t="shared" si="124"/>
        <v>41400</v>
      </c>
      <c r="AL193" s="194">
        <f t="shared" si="125"/>
        <v>71800</v>
      </c>
    </row>
    <row r="194" spans="2:38" x14ac:dyDescent="0.25">
      <c r="B194" s="201" t="s">
        <v>381</v>
      </c>
      <c r="C194" s="202" t="s">
        <v>259</v>
      </c>
      <c r="D194" s="203">
        <f>SUM(D195:D200)</f>
        <v>0</v>
      </c>
      <c r="E194" s="203">
        <f>SUM(E195:E200)</f>
        <v>0</v>
      </c>
      <c r="F194" s="203">
        <f t="shared" si="118"/>
        <v>0</v>
      </c>
      <c r="G194" s="203">
        <f>SUM(G195:G200)</f>
        <v>0</v>
      </c>
      <c r="H194" s="203">
        <f t="shared" si="119"/>
        <v>0</v>
      </c>
      <c r="I194" s="203">
        <f>SUM(I195:I200)</f>
        <v>0</v>
      </c>
      <c r="J194" s="203">
        <f t="shared" si="120"/>
        <v>0</v>
      </c>
      <c r="K194" s="203">
        <f t="shared" ref="K194:X194" si="127">SUM(K195:K200)</f>
        <v>0</v>
      </c>
      <c r="L194" s="203">
        <f t="shared" si="127"/>
        <v>0</v>
      </c>
      <c r="M194" s="203">
        <f t="shared" si="127"/>
        <v>0</v>
      </c>
      <c r="N194" s="203">
        <f t="shared" si="127"/>
        <v>0</v>
      </c>
      <c r="O194" s="203">
        <f t="shared" si="127"/>
        <v>0</v>
      </c>
      <c r="P194" s="203">
        <f t="shared" si="127"/>
        <v>0</v>
      </c>
      <c r="Q194" s="203">
        <f t="shared" si="127"/>
        <v>0</v>
      </c>
      <c r="R194" s="203">
        <f t="shared" si="127"/>
        <v>0</v>
      </c>
      <c r="S194" s="203">
        <f t="shared" si="127"/>
        <v>0</v>
      </c>
      <c r="T194" s="203">
        <f t="shared" si="127"/>
        <v>0</v>
      </c>
      <c r="U194" s="203">
        <f t="shared" si="127"/>
        <v>0</v>
      </c>
      <c r="V194" s="203">
        <f t="shared" si="127"/>
        <v>0</v>
      </c>
      <c r="W194" s="203">
        <f t="shared" si="127"/>
        <v>0</v>
      </c>
      <c r="X194" s="203">
        <f t="shared" si="127"/>
        <v>0</v>
      </c>
      <c r="Y194" s="203">
        <f t="shared" si="121"/>
        <v>0</v>
      </c>
      <c r="Z194" s="203">
        <f>SUM(Z195:Z200)</f>
        <v>0</v>
      </c>
      <c r="AA194" s="203">
        <f>SUM(AA195:AA200)</f>
        <v>0</v>
      </c>
      <c r="AB194" s="203">
        <f>SUM(AB195:AB200)</f>
        <v>0</v>
      </c>
      <c r="AC194" s="203">
        <f t="shared" si="122"/>
        <v>0</v>
      </c>
      <c r="AD194" s="203">
        <f>SUM(AD195:AD200)</f>
        <v>0</v>
      </c>
      <c r="AE194" s="203">
        <f>SUM(AE195:AE200)</f>
        <v>0</v>
      </c>
      <c r="AF194" s="203">
        <f>SUM(AF195:AF200)</f>
        <v>0</v>
      </c>
      <c r="AG194" s="203">
        <f t="shared" si="123"/>
        <v>0</v>
      </c>
      <c r="AH194" s="203">
        <f>SUM(AH195:AH200)</f>
        <v>0</v>
      </c>
      <c r="AI194" s="203">
        <f>SUM(AI195:AI200)</f>
        <v>0</v>
      </c>
      <c r="AJ194" s="203">
        <f>SUM(AJ195:AJ200)</f>
        <v>0</v>
      </c>
      <c r="AK194" s="203">
        <f t="shared" si="124"/>
        <v>0</v>
      </c>
      <c r="AL194" s="203">
        <f t="shared" si="125"/>
        <v>0</v>
      </c>
    </row>
    <row r="195" spans="2:38" x14ac:dyDescent="0.25">
      <c r="B195" s="192" t="s">
        <v>382</v>
      </c>
      <c r="C195" s="193" t="s">
        <v>260</v>
      </c>
      <c r="D19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194">
        <f t="shared" si="118"/>
        <v>0</v>
      </c>
      <c r="G195" s="194"/>
      <c r="H195" s="194">
        <f t="shared" si="119"/>
        <v>0</v>
      </c>
      <c r="I195" s="194"/>
      <c r="J195" s="194">
        <f t="shared" si="120"/>
        <v>0</v>
      </c>
      <c r="K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194">
        <f t="shared" si="121"/>
        <v>0</v>
      </c>
      <c r="Z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194">
        <f t="shared" si="122"/>
        <v>0</v>
      </c>
      <c r="AD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194">
        <f t="shared" si="123"/>
        <v>0</v>
      </c>
      <c r="AH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194">
        <f t="shared" si="124"/>
        <v>0</v>
      </c>
      <c r="AL195" s="194">
        <f t="shared" si="125"/>
        <v>0</v>
      </c>
    </row>
    <row r="196" spans="2:38" x14ac:dyDescent="0.25">
      <c r="B196" s="192" t="s">
        <v>975</v>
      </c>
      <c r="C196" s="193" t="s">
        <v>976</v>
      </c>
      <c r="D19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194">
        <f t="shared" si="118"/>
        <v>0</v>
      </c>
      <c r="G196" s="194"/>
      <c r="H196" s="194">
        <f t="shared" si="119"/>
        <v>0</v>
      </c>
      <c r="I196" s="194"/>
      <c r="J196" s="194">
        <f t="shared" si="120"/>
        <v>0</v>
      </c>
      <c r="K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194">
        <f t="shared" si="121"/>
        <v>0</v>
      </c>
      <c r="Z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194">
        <f t="shared" si="122"/>
        <v>0</v>
      </c>
      <c r="AD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194">
        <f t="shared" si="123"/>
        <v>0</v>
      </c>
      <c r="AH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194">
        <f t="shared" si="124"/>
        <v>0</v>
      </c>
      <c r="AL196" s="194">
        <f t="shared" si="125"/>
        <v>0</v>
      </c>
    </row>
    <row r="197" spans="2:38" x14ac:dyDescent="0.25">
      <c r="B197" s="192" t="s">
        <v>977</v>
      </c>
      <c r="C197" s="193" t="s">
        <v>978</v>
      </c>
      <c r="D19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194">
        <f t="shared" si="118"/>
        <v>0</v>
      </c>
      <c r="G197" s="194"/>
      <c r="H197" s="194">
        <f t="shared" si="119"/>
        <v>0</v>
      </c>
      <c r="I197" s="194"/>
      <c r="J197" s="194">
        <f t="shared" si="120"/>
        <v>0</v>
      </c>
      <c r="K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194">
        <f t="shared" si="121"/>
        <v>0</v>
      </c>
      <c r="Z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194">
        <f t="shared" si="122"/>
        <v>0</v>
      </c>
      <c r="AD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194">
        <f t="shared" si="123"/>
        <v>0</v>
      </c>
      <c r="AH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194">
        <f t="shared" si="124"/>
        <v>0</v>
      </c>
      <c r="AL197" s="194">
        <f t="shared" si="125"/>
        <v>0</v>
      </c>
    </row>
    <row r="198" spans="2:38" x14ac:dyDescent="0.25">
      <c r="B198" s="192" t="s">
        <v>979</v>
      </c>
      <c r="C198" s="193" t="s">
        <v>980</v>
      </c>
      <c r="D19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194">
        <f t="shared" si="118"/>
        <v>0</v>
      </c>
      <c r="G198" s="194"/>
      <c r="H198" s="194">
        <f t="shared" si="119"/>
        <v>0</v>
      </c>
      <c r="I198" s="194"/>
      <c r="J198" s="194">
        <f t="shared" si="120"/>
        <v>0</v>
      </c>
      <c r="K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194">
        <f t="shared" si="121"/>
        <v>0</v>
      </c>
      <c r="Z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194">
        <f t="shared" si="122"/>
        <v>0</v>
      </c>
      <c r="AD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194">
        <f t="shared" si="123"/>
        <v>0</v>
      </c>
      <c r="AH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194">
        <f t="shared" si="124"/>
        <v>0</v>
      </c>
      <c r="AL198" s="194">
        <f t="shared" si="125"/>
        <v>0</v>
      </c>
    </row>
    <row r="199" spans="2:38" x14ac:dyDescent="0.25">
      <c r="B199" s="192" t="s">
        <v>981</v>
      </c>
      <c r="C199" s="193" t="s">
        <v>982</v>
      </c>
      <c r="D19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194">
        <f t="shared" si="118"/>
        <v>0</v>
      </c>
      <c r="G199" s="194"/>
      <c r="H199" s="194">
        <f t="shared" si="119"/>
        <v>0</v>
      </c>
      <c r="I199" s="194"/>
      <c r="J199" s="194">
        <f t="shared" si="120"/>
        <v>0</v>
      </c>
      <c r="K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194">
        <f t="shared" si="121"/>
        <v>0</v>
      </c>
      <c r="Z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194">
        <f t="shared" si="122"/>
        <v>0</v>
      </c>
      <c r="AD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194">
        <f t="shared" si="123"/>
        <v>0</v>
      </c>
      <c r="AH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194">
        <f t="shared" si="124"/>
        <v>0</v>
      </c>
      <c r="AL199" s="194">
        <f t="shared" si="125"/>
        <v>0</v>
      </c>
    </row>
    <row r="200" spans="2:38" x14ac:dyDescent="0.25">
      <c r="B200" s="192" t="s">
        <v>983</v>
      </c>
      <c r="C200" s="193" t="s">
        <v>984</v>
      </c>
      <c r="D20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194">
        <f t="shared" si="118"/>
        <v>0</v>
      </c>
      <c r="G200" s="194"/>
      <c r="H200" s="194">
        <f t="shared" si="119"/>
        <v>0</v>
      </c>
      <c r="I200" s="194"/>
      <c r="J200" s="194">
        <f t="shared" si="120"/>
        <v>0</v>
      </c>
      <c r="K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194">
        <f t="shared" si="121"/>
        <v>0</v>
      </c>
      <c r="Z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194">
        <f t="shared" si="122"/>
        <v>0</v>
      </c>
      <c r="AD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194">
        <f t="shared" si="123"/>
        <v>0</v>
      </c>
      <c r="AH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194">
        <f t="shared" si="124"/>
        <v>0</v>
      </c>
      <c r="AL200" s="194">
        <f t="shared" si="125"/>
        <v>0</v>
      </c>
    </row>
    <row r="201" spans="2:38" x14ac:dyDescent="0.25">
      <c r="B201" s="201" t="s">
        <v>383</v>
      </c>
      <c r="C201" s="202" t="s">
        <v>261</v>
      </c>
      <c r="D201" s="203">
        <f>SUM(D202:D208)</f>
        <v>0</v>
      </c>
      <c r="E201" s="203">
        <f>SUM(E202:E208)</f>
        <v>825400</v>
      </c>
      <c r="F201" s="203">
        <f t="shared" si="118"/>
        <v>825400</v>
      </c>
      <c r="G201" s="203">
        <f>SUM(G202:G208)</f>
        <v>0</v>
      </c>
      <c r="H201" s="203">
        <f t="shared" si="119"/>
        <v>825400</v>
      </c>
      <c r="I201" s="203">
        <f>SUM(I202:I208)</f>
        <v>0</v>
      </c>
      <c r="J201" s="203">
        <f t="shared" si="120"/>
        <v>825400</v>
      </c>
      <c r="K201" s="203">
        <f t="shared" ref="K201:X201" si="128">SUM(K202:K208)</f>
        <v>0</v>
      </c>
      <c r="L201" s="203">
        <f t="shared" si="128"/>
        <v>500000</v>
      </c>
      <c r="M201" s="203">
        <f t="shared" si="128"/>
        <v>0</v>
      </c>
      <c r="N201" s="203">
        <f t="shared" si="128"/>
        <v>0</v>
      </c>
      <c r="O201" s="203">
        <f t="shared" si="128"/>
        <v>0</v>
      </c>
      <c r="P201" s="203">
        <f t="shared" si="128"/>
        <v>0</v>
      </c>
      <c r="Q201" s="203">
        <f t="shared" si="128"/>
        <v>0</v>
      </c>
      <c r="R201" s="203">
        <f t="shared" si="128"/>
        <v>0</v>
      </c>
      <c r="S201" s="203">
        <f t="shared" si="128"/>
        <v>25400</v>
      </c>
      <c r="T201" s="203">
        <f t="shared" si="128"/>
        <v>0</v>
      </c>
      <c r="U201" s="203">
        <f t="shared" si="128"/>
        <v>300000</v>
      </c>
      <c r="V201" s="203">
        <f t="shared" si="128"/>
        <v>25400</v>
      </c>
      <c r="W201" s="203">
        <f t="shared" si="128"/>
        <v>300000</v>
      </c>
      <c r="X201" s="203">
        <f t="shared" si="128"/>
        <v>0</v>
      </c>
      <c r="Y201" s="203">
        <f t="shared" si="121"/>
        <v>325400</v>
      </c>
      <c r="Z201" s="203">
        <f>SUM(Z202:Z208)</f>
        <v>0</v>
      </c>
      <c r="AA201" s="203">
        <f>SUM(AA202:AA208)</f>
        <v>0</v>
      </c>
      <c r="AB201" s="203">
        <f>SUM(AB202:AB208)</f>
        <v>0</v>
      </c>
      <c r="AC201" s="203">
        <f t="shared" si="122"/>
        <v>0</v>
      </c>
      <c r="AD201" s="203">
        <f>SUM(AD202:AD208)</f>
        <v>0</v>
      </c>
      <c r="AE201" s="203">
        <f>SUM(AE202:AE208)</f>
        <v>0</v>
      </c>
      <c r="AF201" s="203">
        <f>SUM(AF202:AF208)</f>
        <v>0</v>
      </c>
      <c r="AG201" s="203">
        <f t="shared" si="123"/>
        <v>0</v>
      </c>
      <c r="AH201" s="203">
        <f>SUM(AH202:AH208)</f>
        <v>0</v>
      </c>
      <c r="AI201" s="203">
        <f>SUM(AI202:AI208)</f>
        <v>500000</v>
      </c>
      <c r="AJ201" s="203">
        <f>SUM(AJ202:AJ208)</f>
        <v>0</v>
      </c>
      <c r="AK201" s="203">
        <f t="shared" si="124"/>
        <v>500000</v>
      </c>
      <c r="AL201" s="203">
        <f t="shared" si="125"/>
        <v>825400</v>
      </c>
    </row>
    <row r="202" spans="2:38" x14ac:dyDescent="0.25">
      <c r="B202" s="192" t="s">
        <v>384</v>
      </c>
      <c r="C202" s="193" t="s">
        <v>262</v>
      </c>
      <c r="D20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194">
        <f t="shared" si="118"/>
        <v>0</v>
      </c>
      <c r="G202" s="194"/>
      <c r="H202" s="194">
        <f t="shared" si="119"/>
        <v>0</v>
      </c>
      <c r="I202" s="194"/>
      <c r="J202" s="194">
        <f t="shared" si="120"/>
        <v>0</v>
      </c>
      <c r="K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194">
        <f t="shared" si="121"/>
        <v>0</v>
      </c>
      <c r="Z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194">
        <f t="shared" si="122"/>
        <v>0</v>
      </c>
      <c r="AD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194">
        <f t="shared" si="123"/>
        <v>0</v>
      </c>
      <c r="AH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194">
        <f t="shared" si="124"/>
        <v>0</v>
      </c>
      <c r="AL202" s="194">
        <f t="shared" si="125"/>
        <v>0</v>
      </c>
    </row>
    <row r="203" spans="2:38" x14ac:dyDescent="0.25">
      <c r="B203" s="192" t="s">
        <v>985</v>
      </c>
      <c r="C203" s="504" t="s">
        <v>986</v>
      </c>
      <c r="D20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140000</v>
      </c>
      <c r="F203" s="194">
        <f t="shared" si="118"/>
        <v>140000</v>
      </c>
      <c r="G203" s="194"/>
      <c r="H203" s="194">
        <f t="shared" si="119"/>
        <v>140000</v>
      </c>
      <c r="I203" s="194"/>
      <c r="J203" s="194">
        <f t="shared" si="120"/>
        <v>140000</v>
      </c>
      <c r="K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140000</v>
      </c>
      <c r="V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140000</v>
      </c>
      <c r="X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194">
        <f t="shared" si="121"/>
        <v>140000</v>
      </c>
      <c r="Z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194">
        <f t="shared" si="122"/>
        <v>0</v>
      </c>
      <c r="AD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194">
        <f t="shared" si="123"/>
        <v>0</v>
      </c>
      <c r="AH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194">
        <f t="shared" si="124"/>
        <v>0</v>
      </c>
      <c r="AL203" s="194">
        <f t="shared" si="125"/>
        <v>140000</v>
      </c>
    </row>
    <row r="204" spans="2:38" x14ac:dyDescent="0.25">
      <c r="B204" s="192" t="s">
        <v>987</v>
      </c>
      <c r="C204" s="193" t="s">
        <v>988</v>
      </c>
      <c r="D20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685400</v>
      </c>
      <c r="F204" s="194">
        <f t="shared" si="118"/>
        <v>685400</v>
      </c>
      <c r="G204" s="194"/>
      <c r="H204" s="194">
        <f t="shared" si="119"/>
        <v>685400</v>
      </c>
      <c r="I204" s="194"/>
      <c r="J204" s="194">
        <f t="shared" si="120"/>
        <v>685400</v>
      </c>
      <c r="K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500000</v>
      </c>
      <c r="M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25400</v>
      </c>
      <c r="T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160000</v>
      </c>
      <c r="V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25400</v>
      </c>
      <c r="W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160000</v>
      </c>
      <c r="X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194">
        <f t="shared" si="121"/>
        <v>185400</v>
      </c>
      <c r="Z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194">
        <f t="shared" si="122"/>
        <v>0</v>
      </c>
      <c r="AD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194">
        <f t="shared" si="123"/>
        <v>0</v>
      </c>
      <c r="AH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500000</v>
      </c>
      <c r="AJ2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194">
        <f t="shared" si="124"/>
        <v>500000</v>
      </c>
      <c r="AL204" s="194">
        <f t="shared" si="125"/>
        <v>685400</v>
      </c>
    </row>
    <row r="205" spans="2:38" x14ac:dyDescent="0.25">
      <c r="B205" s="192" t="s">
        <v>989</v>
      </c>
      <c r="C205" s="193" t="s">
        <v>990</v>
      </c>
      <c r="D20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194">
        <f t="shared" si="118"/>
        <v>0</v>
      </c>
      <c r="G205" s="194"/>
      <c r="H205" s="194">
        <f t="shared" si="119"/>
        <v>0</v>
      </c>
      <c r="I205" s="194"/>
      <c r="J205" s="194">
        <f t="shared" si="120"/>
        <v>0</v>
      </c>
      <c r="K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194">
        <f t="shared" si="121"/>
        <v>0</v>
      </c>
      <c r="Z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194">
        <f t="shared" si="122"/>
        <v>0</v>
      </c>
      <c r="AD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194">
        <f t="shared" si="123"/>
        <v>0</v>
      </c>
      <c r="AH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194">
        <f t="shared" si="124"/>
        <v>0</v>
      </c>
      <c r="AL205" s="194">
        <f t="shared" si="125"/>
        <v>0</v>
      </c>
    </row>
    <row r="206" spans="2:38" x14ac:dyDescent="0.25">
      <c r="B206" s="192" t="s">
        <v>991</v>
      </c>
      <c r="C206" s="193" t="s">
        <v>992</v>
      </c>
      <c r="D20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194">
        <f t="shared" si="118"/>
        <v>0</v>
      </c>
      <c r="G206" s="194"/>
      <c r="H206" s="194">
        <f t="shared" si="119"/>
        <v>0</v>
      </c>
      <c r="I206" s="194"/>
      <c r="J206" s="194">
        <f t="shared" si="120"/>
        <v>0</v>
      </c>
      <c r="K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194">
        <f t="shared" si="121"/>
        <v>0</v>
      </c>
      <c r="Z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194">
        <f t="shared" si="122"/>
        <v>0</v>
      </c>
      <c r="AD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194">
        <f t="shared" si="123"/>
        <v>0</v>
      </c>
      <c r="AH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194">
        <f t="shared" si="124"/>
        <v>0</v>
      </c>
      <c r="AL206" s="194">
        <f t="shared" si="125"/>
        <v>0</v>
      </c>
    </row>
    <row r="207" spans="2:38" x14ac:dyDescent="0.25">
      <c r="B207" s="192" t="s">
        <v>993</v>
      </c>
      <c r="C207" s="193" t="s">
        <v>994</v>
      </c>
      <c r="D20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194">
        <f t="shared" si="118"/>
        <v>0</v>
      </c>
      <c r="G207" s="194"/>
      <c r="H207" s="194">
        <f t="shared" si="119"/>
        <v>0</v>
      </c>
      <c r="I207" s="194"/>
      <c r="J207" s="194">
        <f t="shared" si="120"/>
        <v>0</v>
      </c>
      <c r="K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194">
        <f t="shared" si="121"/>
        <v>0</v>
      </c>
      <c r="Z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194">
        <f t="shared" si="122"/>
        <v>0</v>
      </c>
      <c r="AD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194">
        <f t="shared" si="123"/>
        <v>0</v>
      </c>
      <c r="AH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194">
        <f t="shared" si="124"/>
        <v>0</v>
      </c>
      <c r="AL207" s="194">
        <f t="shared" si="125"/>
        <v>0</v>
      </c>
    </row>
    <row r="208" spans="2:38" x14ac:dyDescent="0.25">
      <c r="B208" s="192" t="s">
        <v>995</v>
      </c>
      <c r="C208" s="193" t="s">
        <v>996</v>
      </c>
      <c r="D20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8" s="194">
        <f t="shared" si="118"/>
        <v>0</v>
      </c>
      <c r="G208" s="194"/>
      <c r="H208" s="194">
        <f t="shared" si="119"/>
        <v>0</v>
      </c>
      <c r="I208" s="194"/>
      <c r="J208" s="194">
        <f t="shared" si="120"/>
        <v>0</v>
      </c>
      <c r="K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194">
        <f t="shared" si="121"/>
        <v>0</v>
      </c>
      <c r="Z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194">
        <f t="shared" si="122"/>
        <v>0</v>
      </c>
      <c r="AD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194">
        <f t="shared" si="123"/>
        <v>0</v>
      </c>
      <c r="AH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194">
        <f t="shared" si="124"/>
        <v>0</v>
      </c>
      <c r="AL208" s="194">
        <f t="shared" si="125"/>
        <v>0</v>
      </c>
    </row>
    <row r="209" spans="2:38" x14ac:dyDescent="0.25">
      <c r="B209" s="189" t="s">
        <v>378</v>
      </c>
      <c r="C209" s="190" t="s">
        <v>256</v>
      </c>
      <c r="D209" s="191">
        <f>D210+D218</f>
        <v>4400</v>
      </c>
      <c r="E209" s="191">
        <f>E210+E218</f>
        <v>48400</v>
      </c>
      <c r="F209" s="191">
        <f t="shared" si="118"/>
        <v>52800</v>
      </c>
      <c r="G209" s="191">
        <f>G210+G218</f>
        <v>0</v>
      </c>
      <c r="H209" s="191">
        <f t="shared" si="119"/>
        <v>52800</v>
      </c>
      <c r="I209" s="191">
        <f>I210+I218</f>
        <v>0</v>
      </c>
      <c r="J209" s="191">
        <f t="shared" si="120"/>
        <v>52800</v>
      </c>
      <c r="K209" s="191">
        <f t="shared" ref="K209:X209" si="129">K210+K218</f>
        <v>1100</v>
      </c>
      <c r="L209" s="191">
        <f t="shared" si="129"/>
        <v>10000</v>
      </c>
      <c r="M209" s="191">
        <f t="shared" si="129"/>
        <v>1100</v>
      </c>
      <c r="N209" s="191">
        <f t="shared" si="129"/>
        <v>38400</v>
      </c>
      <c r="O209" s="191">
        <f t="shared" si="129"/>
        <v>2200</v>
      </c>
      <c r="P209" s="191">
        <f t="shared" si="129"/>
        <v>0</v>
      </c>
      <c r="Q209" s="191">
        <f t="shared" si="129"/>
        <v>0</v>
      </c>
      <c r="R209" s="191">
        <f t="shared" si="129"/>
        <v>0</v>
      </c>
      <c r="S209" s="191">
        <f t="shared" si="129"/>
        <v>0</v>
      </c>
      <c r="T209" s="191">
        <f t="shared" si="129"/>
        <v>0</v>
      </c>
      <c r="U209" s="191">
        <f t="shared" si="129"/>
        <v>0</v>
      </c>
      <c r="V209" s="191">
        <f t="shared" si="129"/>
        <v>38400</v>
      </c>
      <c r="W209" s="191">
        <f t="shared" si="129"/>
        <v>0</v>
      </c>
      <c r="X209" s="191">
        <f t="shared" si="129"/>
        <v>0</v>
      </c>
      <c r="Y209" s="191">
        <f t="shared" si="121"/>
        <v>38400</v>
      </c>
      <c r="Z209" s="191">
        <f>Z210+Z218</f>
        <v>0</v>
      </c>
      <c r="AA209" s="191">
        <f>AA210+AA218</f>
        <v>10000</v>
      </c>
      <c r="AB209" s="191">
        <f>AB210+AB218</f>
        <v>0</v>
      </c>
      <c r="AC209" s="191">
        <f t="shared" si="122"/>
        <v>10000</v>
      </c>
      <c r="AD209" s="191">
        <f>AD210+AD218</f>
        <v>0</v>
      </c>
      <c r="AE209" s="191">
        <f>AE210+AE218</f>
        <v>0</v>
      </c>
      <c r="AF209" s="191">
        <f>AF210+AF218</f>
        <v>0</v>
      </c>
      <c r="AG209" s="191">
        <f t="shared" si="123"/>
        <v>0</v>
      </c>
      <c r="AH209" s="191">
        <f>AH210+AH218</f>
        <v>0</v>
      </c>
      <c r="AI209" s="191">
        <f>AI210+AI218</f>
        <v>0</v>
      </c>
      <c r="AJ209" s="191">
        <f>AJ210+AJ218</f>
        <v>0</v>
      </c>
      <c r="AK209" s="191">
        <f t="shared" si="124"/>
        <v>0</v>
      </c>
      <c r="AL209" s="191">
        <f t="shared" si="125"/>
        <v>48400</v>
      </c>
    </row>
    <row r="210" spans="2:38" x14ac:dyDescent="0.25">
      <c r="B210" s="201" t="s">
        <v>379</v>
      </c>
      <c r="C210" s="202" t="s">
        <v>257</v>
      </c>
      <c r="D210" s="203">
        <f>SUM(D211:D217)</f>
        <v>4400</v>
      </c>
      <c r="E210" s="203">
        <f>SUM(E211:E217)</f>
        <v>48400</v>
      </c>
      <c r="F210" s="203">
        <f t="shared" si="118"/>
        <v>52800</v>
      </c>
      <c r="G210" s="203">
        <f>SUM(G211:G217)</f>
        <v>0</v>
      </c>
      <c r="H210" s="203">
        <f t="shared" si="119"/>
        <v>52800</v>
      </c>
      <c r="I210" s="203">
        <f>SUM(I211:I217)</f>
        <v>0</v>
      </c>
      <c r="J210" s="203">
        <f t="shared" si="120"/>
        <v>52800</v>
      </c>
      <c r="K210" s="203">
        <f t="shared" ref="K210:X210" si="130">SUM(K211:K217)</f>
        <v>1100</v>
      </c>
      <c r="L210" s="203">
        <f t="shared" si="130"/>
        <v>10000</v>
      </c>
      <c r="M210" s="203">
        <f t="shared" si="130"/>
        <v>1100</v>
      </c>
      <c r="N210" s="203">
        <f t="shared" si="130"/>
        <v>38400</v>
      </c>
      <c r="O210" s="203">
        <f t="shared" si="130"/>
        <v>2200</v>
      </c>
      <c r="P210" s="203">
        <f t="shared" si="130"/>
        <v>0</v>
      </c>
      <c r="Q210" s="203">
        <f t="shared" si="130"/>
        <v>0</v>
      </c>
      <c r="R210" s="203">
        <f t="shared" si="130"/>
        <v>0</v>
      </c>
      <c r="S210" s="203">
        <f t="shared" si="130"/>
        <v>0</v>
      </c>
      <c r="T210" s="203">
        <f t="shared" si="130"/>
        <v>0</v>
      </c>
      <c r="U210" s="203">
        <f t="shared" si="130"/>
        <v>0</v>
      </c>
      <c r="V210" s="203">
        <f t="shared" si="130"/>
        <v>38400</v>
      </c>
      <c r="W210" s="203">
        <f t="shared" si="130"/>
        <v>0</v>
      </c>
      <c r="X210" s="203">
        <f t="shared" si="130"/>
        <v>0</v>
      </c>
      <c r="Y210" s="203">
        <f t="shared" si="121"/>
        <v>38400</v>
      </c>
      <c r="Z210" s="203">
        <f>SUM(Z211:Z217)</f>
        <v>0</v>
      </c>
      <c r="AA210" s="203">
        <f>SUM(AA211:AA217)</f>
        <v>10000</v>
      </c>
      <c r="AB210" s="203">
        <f>SUM(AB211:AB217)</f>
        <v>0</v>
      </c>
      <c r="AC210" s="203">
        <f t="shared" si="122"/>
        <v>10000</v>
      </c>
      <c r="AD210" s="203">
        <f>SUM(AD211:AD217)</f>
        <v>0</v>
      </c>
      <c r="AE210" s="203">
        <f>SUM(AE211:AE217)</f>
        <v>0</v>
      </c>
      <c r="AF210" s="203">
        <f>SUM(AF211:AF217)</f>
        <v>0</v>
      </c>
      <c r="AG210" s="203">
        <f t="shared" si="123"/>
        <v>0</v>
      </c>
      <c r="AH210" s="203">
        <f>SUM(AH211:AH217)</f>
        <v>0</v>
      </c>
      <c r="AI210" s="203">
        <f>SUM(AI211:AI217)</f>
        <v>0</v>
      </c>
      <c r="AJ210" s="203">
        <f>SUM(AJ211:AJ217)</f>
        <v>0</v>
      </c>
      <c r="AK210" s="203">
        <f t="shared" si="124"/>
        <v>0</v>
      </c>
      <c r="AL210" s="203">
        <f t="shared" si="125"/>
        <v>48400</v>
      </c>
    </row>
    <row r="211" spans="2:38" x14ac:dyDescent="0.25">
      <c r="B211" s="192" t="s">
        <v>385</v>
      </c>
      <c r="C211" s="193" t="s">
        <v>263</v>
      </c>
      <c r="D2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4400</v>
      </c>
      <c r="E2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194">
        <f t="shared" si="118"/>
        <v>4400</v>
      </c>
      <c r="G211" s="194"/>
      <c r="H211" s="194">
        <f t="shared" si="119"/>
        <v>4400</v>
      </c>
      <c r="I211" s="194"/>
      <c r="J211" s="194">
        <f t="shared" si="120"/>
        <v>4400</v>
      </c>
      <c r="K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1100</v>
      </c>
      <c r="L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1100</v>
      </c>
      <c r="N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2200</v>
      </c>
      <c r="P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194">
        <f t="shared" si="121"/>
        <v>0</v>
      </c>
      <c r="Z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194">
        <f t="shared" si="122"/>
        <v>0</v>
      </c>
      <c r="AD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194">
        <f t="shared" si="123"/>
        <v>0</v>
      </c>
      <c r="AH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194">
        <f t="shared" si="124"/>
        <v>0</v>
      </c>
      <c r="AL211" s="194">
        <f t="shared" si="125"/>
        <v>0</v>
      </c>
    </row>
    <row r="212" spans="2:38" x14ac:dyDescent="0.25">
      <c r="B212" s="192" t="s">
        <v>954</v>
      </c>
      <c r="C212" s="193" t="s">
        <v>955</v>
      </c>
      <c r="D21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2" s="194">
        <f t="shared" si="118"/>
        <v>0</v>
      </c>
      <c r="G212" s="194"/>
      <c r="H212" s="194">
        <f t="shared" si="119"/>
        <v>0</v>
      </c>
      <c r="I212" s="194"/>
      <c r="J212" s="194">
        <f t="shared" si="120"/>
        <v>0</v>
      </c>
      <c r="K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194">
        <f t="shared" si="121"/>
        <v>0</v>
      </c>
      <c r="Z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194">
        <f t="shared" si="122"/>
        <v>0</v>
      </c>
      <c r="AD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194">
        <f t="shared" si="123"/>
        <v>0</v>
      </c>
      <c r="AH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194">
        <f t="shared" si="124"/>
        <v>0</v>
      </c>
      <c r="AL212" s="194">
        <f t="shared" si="125"/>
        <v>0</v>
      </c>
    </row>
    <row r="213" spans="2:38" x14ac:dyDescent="0.25">
      <c r="B213" s="192" t="s">
        <v>956</v>
      </c>
      <c r="C213" s="193" t="s">
        <v>957</v>
      </c>
      <c r="D2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194">
        <f t="shared" si="118"/>
        <v>0</v>
      </c>
      <c r="G213" s="194"/>
      <c r="H213" s="194">
        <f t="shared" si="119"/>
        <v>0</v>
      </c>
      <c r="I213" s="194"/>
      <c r="J213" s="194">
        <f t="shared" si="120"/>
        <v>0</v>
      </c>
      <c r="K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194">
        <f t="shared" si="121"/>
        <v>0</v>
      </c>
      <c r="Z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194">
        <f t="shared" si="122"/>
        <v>0</v>
      </c>
      <c r="AD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194">
        <f t="shared" si="123"/>
        <v>0</v>
      </c>
      <c r="AH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194">
        <f t="shared" si="124"/>
        <v>0</v>
      </c>
      <c r="AL213" s="194">
        <f t="shared" si="125"/>
        <v>0</v>
      </c>
    </row>
    <row r="214" spans="2:38" x14ac:dyDescent="0.25">
      <c r="B214" s="192" t="s">
        <v>958</v>
      </c>
      <c r="C214" s="193" t="s">
        <v>959</v>
      </c>
      <c r="D2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194">
        <f t="shared" si="118"/>
        <v>0</v>
      </c>
      <c r="G214" s="194"/>
      <c r="H214" s="194">
        <f t="shared" si="119"/>
        <v>0</v>
      </c>
      <c r="I214" s="194"/>
      <c r="J214" s="194">
        <f t="shared" si="120"/>
        <v>0</v>
      </c>
      <c r="K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194">
        <f t="shared" si="121"/>
        <v>0</v>
      </c>
      <c r="Z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194">
        <f t="shared" si="122"/>
        <v>0</v>
      </c>
      <c r="AD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194">
        <f t="shared" si="123"/>
        <v>0</v>
      </c>
      <c r="AH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194">
        <f t="shared" si="124"/>
        <v>0</v>
      </c>
      <c r="AL214" s="194">
        <f t="shared" si="125"/>
        <v>0</v>
      </c>
    </row>
    <row r="215" spans="2:38" x14ac:dyDescent="0.25">
      <c r="B215" s="192" t="s">
        <v>960</v>
      </c>
      <c r="C215" s="193" t="s">
        <v>961</v>
      </c>
      <c r="D21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48400</v>
      </c>
      <c r="F215" s="194">
        <f t="shared" si="118"/>
        <v>48400</v>
      </c>
      <c r="G215" s="194"/>
      <c r="H215" s="194">
        <f t="shared" si="119"/>
        <v>48400</v>
      </c>
      <c r="I215" s="194"/>
      <c r="J215" s="194">
        <f t="shared" si="120"/>
        <v>48400</v>
      </c>
      <c r="K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v>
      </c>
      <c r="M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38400</v>
      </c>
      <c r="O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38400</v>
      </c>
      <c r="W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194">
        <f t="shared" si="121"/>
        <v>38400</v>
      </c>
      <c r="Z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AB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194">
        <f t="shared" si="122"/>
        <v>10000</v>
      </c>
      <c r="AD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194">
        <f t="shared" si="123"/>
        <v>0</v>
      </c>
      <c r="AH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194">
        <f t="shared" si="124"/>
        <v>0</v>
      </c>
      <c r="AL215" s="194">
        <f t="shared" si="125"/>
        <v>48400</v>
      </c>
    </row>
    <row r="216" spans="2:38" x14ac:dyDescent="0.25">
      <c r="B216" s="192" t="s">
        <v>962</v>
      </c>
      <c r="C216" s="193" t="s">
        <v>963</v>
      </c>
      <c r="D21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194">
        <f t="shared" si="118"/>
        <v>0</v>
      </c>
      <c r="G216" s="194"/>
      <c r="H216" s="194">
        <f t="shared" si="119"/>
        <v>0</v>
      </c>
      <c r="I216" s="194"/>
      <c r="J216" s="194">
        <f t="shared" si="120"/>
        <v>0</v>
      </c>
      <c r="K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194">
        <f t="shared" si="121"/>
        <v>0</v>
      </c>
      <c r="Z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194">
        <f t="shared" si="122"/>
        <v>0</v>
      </c>
      <c r="AD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194">
        <f t="shared" si="123"/>
        <v>0</v>
      </c>
      <c r="AH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194">
        <f t="shared" si="124"/>
        <v>0</v>
      </c>
      <c r="AL216" s="194">
        <f t="shared" si="125"/>
        <v>0</v>
      </c>
    </row>
    <row r="217" spans="2:38" x14ac:dyDescent="0.25">
      <c r="B217" s="192" t="s">
        <v>964</v>
      </c>
      <c r="C217" s="193" t="s">
        <v>965</v>
      </c>
      <c r="D2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194">
        <f t="shared" si="118"/>
        <v>0</v>
      </c>
      <c r="G217" s="194"/>
      <c r="H217" s="194">
        <f t="shared" si="119"/>
        <v>0</v>
      </c>
      <c r="I217" s="194"/>
      <c r="J217" s="194">
        <f t="shared" si="120"/>
        <v>0</v>
      </c>
      <c r="K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194">
        <f t="shared" si="121"/>
        <v>0</v>
      </c>
      <c r="Z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194">
        <f t="shared" si="122"/>
        <v>0</v>
      </c>
      <c r="AD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194">
        <f t="shared" si="123"/>
        <v>0</v>
      </c>
      <c r="AH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194">
        <f t="shared" si="124"/>
        <v>0</v>
      </c>
      <c r="AL217" s="194">
        <f t="shared" si="125"/>
        <v>0</v>
      </c>
    </row>
    <row r="218" spans="2:38" x14ac:dyDescent="0.25">
      <c r="B218" s="201" t="s">
        <v>380</v>
      </c>
      <c r="C218" s="202" t="s">
        <v>258</v>
      </c>
      <c r="D218" s="203">
        <f>SUM(D219:D225)</f>
        <v>0</v>
      </c>
      <c r="E218" s="203">
        <f>SUM(E219:E225)</f>
        <v>0</v>
      </c>
      <c r="F218" s="203">
        <f t="shared" si="118"/>
        <v>0</v>
      </c>
      <c r="G218" s="203">
        <f>SUM(G219:G225)</f>
        <v>0</v>
      </c>
      <c r="H218" s="203">
        <f t="shared" si="119"/>
        <v>0</v>
      </c>
      <c r="I218" s="203">
        <f>SUM(I219:I225)</f>
        <v>0</v>
      </c>
      <c r="J218" s="203">
        <f t="shared" si="120"/>
        <v>0</v>
      </c>
      <c r="K218" s="203">
        <f t="shared" ref="K218:AJ218" si="131">SUM(K219:K225)</f>
        <v>0</v>
      </c>
      <c r="L218" s="203">
        <f t="shared" si="131"/>
        <v>0</v>
      </c>
      <c r="M218" s="203">
        <f t="shared" si="131"/>
        <v>0</v>
      </c>
      <c r="N218" s="203">
        <f t="shared" si="131"/>
        <v>0</v>
      </c>
      <c r="O218" s="203">
        <f t="shared" si="131"/>
        <v>0</v>
      </c>
      <c r="P218" s="203">
        <f t="shared" si="131"/>
        <v>0</v>
      </c>
      <c r="Q218" s="203">
        <f t="shared" si="131"/>
        <v>0</v>
      </c>
      <c r="R218" s="203">
        <f t="shared" si="131"/>
        <v>0</v>
      </c>
      <c r="S218" s="203">
        <f t="shared" si="131"/>
        <v>0</v>
      </c>
      <c r="T218" s="203">
        <f t="shared" si="131"/>
        <v>0</v>
      </c>
      <c r="U218" s="203">
        <f t="shared" si="131"/>
        <v>0</v>
      </c>
      <c r="V218" s="203">
        <f t="shared" si="131"/>
        <v>0</v>
      </c>
      <c r="W218" s="203">
        <f t="shared" si="131"/>
        <v>0</v>
      </c>
      <c r="X218" s="203">
        <f t="shared" si="131"/>
        <v>0</v>
      </c>
      <c r="Y218" s="203">
        <f t="shared" si="121"/>
        <v>0</v>
      </c>
      <c r="Z218" s="203">
        <f t="shared" si="131"/>
        <v>0</v>
      </c>
      <c r="AA218" s="203">
        <f t="shared" si="131"/>
        <v>0</v>
      </c>
      <c r="AB218" s="203">
        <f t="shared" si="131"/>
        <v>0</v>
      </c>
      <c r="AC218" s="203">
        <f t="shared" si="122"/>
        <v>0</v>
      </c>
      <c r="AD218" s="203">
        <f t="shared" si="131"/>
        <v>0</v>
      </c>
      <c r="AE218" s="203">
        <f t="shared" si="131"/>
        <v>0</v>
      </c>
      <c r="AF218" s="203">
        <f t="shared" si="131"/>
        <v>0</v>
      </c>
      <c r="AG218" s="203">
        <f t="shared" si="123"/>
        <v>0</v>
      </c>
      <c r="AH218" s="203">
        <f t="shared" si="131"/>
        <v>0</v>
      </c>
      <c r="AI218" s="203">
        <f t="shared" si="131"/>
        <v>0</v>
      </c>
      <c r="AJ218" s="203">
        <f t="shared" si="131"/>
        <v>0</v>
      </c>
      <c r="AK218" s="203">
        <f t="shared" si="124"/>
        <v>0</v>
      </c>
      <c r="AL218" s="203">
        <f t="shared" si="125"/>
        <v>0</v>
      </c>
    </row>
    <row r="219" spans="2:38" x14ac:dyDescent="0.25">
      <c r="B219" s="192" t="s">
        <v>386</v>
      </c>
      <c r="C219" s="193" t="s">
        <v>264</v>
      </c>
      <c r="D21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194">
        <f t="shared" ref="F219:F244" si="132">D219+E219</f>
        <v>0</v>
      </c>
      <c r="G219" s="194"/>
      <c r="H219" s="194">
        <f t="shared" ref="H219:H225" si="133">F219-G219</f>
        <v>0</v>
      </c>
      <c r="I219" s="194"/>
      <c r="J219" s="194">
        <f t="shared" ref="J219:J225" si="134">F219-I219</f>
        <v>0</v>
      </c>
      <c r="K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194">
        <f t="shared" ref="Y219:Y225" si="135">V219+W219+X219</f>
        <v>0</v>
      </c>
      <c r="Z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194">
        <f t="shared" ref="AC219:AC225" si="136">Z219+AA219+AB219</f>
        <v>0</v>
      </c>
      <c r="AD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194">
        <f t="shared" ref="AG219:AG225" si="137">AD219+AE219+AF219</f>
        <v>0</v>
      </c>
      <c r="AH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194">
        <f t="shared" ref="AK219:AK225" si="138">AH219+AI219+AJ219</f>
        <v>0</v>
      </c>
      <c r="AL219" s="194">
        <f t="shared" ref="AL219:AL225" si="139">Y219+AC219+AG219+AK219</f>
        <v>0</v>
      </c>
    </row>
    <row r="220" spans="2:38" x14ac:dyDescent="0.25">
      <c r="B220" s="192" t="s">
        <v>966</v>
      </c>
      <c r="C220" s="193" t="s">
        <v>967</v>
      </c>
      <c r="D2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0" s="194">
        <f t="shared" si="132"/>
        <v>0</v>
      </c>
      <c r="G220" s="194"/>
      <c r="H220" s="194">
        <f t="shared" si="133"/>
        <v>0</v>
      </c>
      <c r="I220" s="194"/>
      <c r="J220" s="194">
        <f t="shared" si="134"/>
        <v>0</v>
      </c>
      <c r="K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194">
        <f t="shared" si="135"/>
        <v>0</v>
      </c>
      <c r="Z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194">
        <f t="shared" si="136"/>
        <v>0</v>
      </c>
      <c r="AD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194">
        <f t="shared" si="137"/>
        <v>0</v>
      </c>
      <c r="AH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194">
        <f t="shared" si="138"/>
        <v>0</v>
      </c>
      <c r="AL220" s="194">
        <f t="shared" si="139"/>
        <v>0</v>
      </c>
    </row>
    <row r="221" spans="2:38" x14ac:dyDescent="0.25">
      <c r="B221" s="192" t="s">
        <v>968</v>
      </c>
      <c r="C221" s="193" t="s">
        <v>967</v>
      </c>
      <c r="D22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194">
        <f t="shared" si="132"/>
        <v>0</v>
      </c>
      <c r="G221" s="194"/>
      <c r="H221" s="194">
        <f>F221-G221</f>
        <v>0</v>
      </c>
      <c r="I221" s="194"/>
      <c r="J221" s="194">
        <f>F221-I221</f>
        <v>0</v>
      </c>
      <c r="K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194">
        <f>V221+W221+X221</f>
        <v>0</v>
      </c>
      <c r="Z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194">
        <f>Z221+AA221+AB221</f>
        <v>0</v>
      </c>
      <c r="AD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194">
        <f>AD221+AE221+AF221</f>
        <v>0</v>
      </c>
      <c r="AH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194">
        <f>AH221+AI221+AJ221</f>
        <v>0</v>
      </c>
      <c r="AL221" s="194">
        <f>Y221+AC221+AG221+AK221</f>
        <v>0</v>
      </c>
    </row>
    <row r="222" spans="2:38" x14ac:dyDescent="0.25">
      <c r="B222" s="192" t="s">
        <v>969</v>
      </c>
      <c r="C222" s="193" t="s">
        <v>970</v>
      </c>
      <c r="D2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194">
        <f t="shared" si="132"/>
        <v>0</v>
      </c>
      <c r="G222" s="194"/>
      <c r="H222" s="194">
        <f>F222-G222</f>
        <v>0</v>
      </c>
      <c r="I222" s="194"/>
      <c r="J222" s="194">
        <f>F222-I222</f>
        <v>0</v>
      </c>
      <c r="K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194">
        <f>V222+W222+X222</f>
        <v>0</v>
      </c>
      <c r="Z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194">
        <f>Z222+AA222+AB222</f>
        <v>0</v>
      </c>
      <c r="AD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194">
        <f>AD222+AE222+AF222</f>
        <v>0</v>
      </c>
      <c r="AH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194">
        <f>AH222+AI222+AJ222</f>
        <v>0</v>
      </c>
      <c r="AL222" s="194">
        <f>Y222+AC222+AG222+AK222</f>
        <v>0</v>
      </c>
    </row>
    <row r="223" spans="2:38" x14ac:dyDescent="0.25">
      <c r="B223" s="192" t="s">
        <v>387</v>
      </c>
      <c r="C223" s="193" t="s">
        <v>971</v>
      </c>
      <c r="D2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194">
        <f t="shared" si="132"/>
        <v>0</v>
      </c>
      <c r="G223" s="194"/>
      <c r="H223" s="194">
        <f>F223-G223</f>
        <v>0</v>
      </c>
      <c r="I223" s="194"/>
      <c r="J223" s="194">
        <f>F223-I223</f>
        <v>0</v>
      </c>
      <c r="K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194">
        <f>V223+W223+X223</f>
        <v>0</v>
      </c>
      <c r="Z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194">
        <f>Z223+AA223+AB223</f>
        <v>0</v>
      </c>
      <c r="AD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194">
        <f>AD223+AE223+AF223</f>
        <v>0</v>
      </c>
      <c r="AH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194">
        <f>AH223+AI223+AJ223</f>
        <v>0</v>
      </c>
      <c r="AL223" s="194">
        <f>Y223+AC223+AG223+AK223</f>
        <v>0</v>
      </c>
    </row>
    <row r="224" spans="2:38" x14ac:dyDescent="0.25">
      <c r="B224" s="192" t="s">
        <v>972</v>
      </c>
      <c r="C224" s="193" t="s">
        <v>971</v>
      </c>
      <c r="D2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4" s="194">
        <f t="shared" si="132"/>
        <v>0</v>
      </c>
      <c r="G224" s="194"/>
      <c r="H224" s="194">
        <f>F224-G224</f>
        <v>0</v>
      </c>
      <c r="I224" s="194"/>
      <c r="J224" s="194">
        <f>F224-I224</f>
        <v>0</v>
      </c>
      <c r="K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194">
        <f>V224+W224+X224</f>
        <v>0</v>
      </c>
      <c r="Z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194">
        <f>Z224+AA224+AB224</f>
        <v>0</v>
      </c>
      <c r="AD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194">
        <f>AD224+AE224+AF224</f>
        <v>0</v>
      </c>
      <c r="AH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194">
        <f>AH224+AI224+AJ224</f>
        <v>0</v>
      </c>
      <c r="AL224" s="194">
        <f>Y224+AC224+AG224+AK224</f>
        <v>0</v>
      </c>
    </row>
    <row r="225" spans="2:38" x14ac:dyDescent="0.25">
      <c r="B225" s="192" t="s">
        <v>973</v>
      </c>
      <c r="C225" s="193" t="s">
        <v>974</v>
      </c>
      <c r="D22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194">
        <f t="shared" si="132"/>
        <v>0</v>
      </c>
      <c r="G225" s="194"/>
      <c r="H225" s="194">
        <f t="shared" si="133"/>
        <v>0</v>
      </c>
      <c r="I225" s="194"/>
      <c r="J225" s="194">
        <f t="shared" si="134"/>
        <v>0</v>
      </c>
      <c r="K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194">
        <f t="shared" si="135"/>
        <v>0</v>
      </c>
      <c r="Z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194">
        <f t="shared" si="136"/>
        <v>0</v>
      </c>
      <c r="AD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194">
        <f t="shared" si="137"/>
        <v>0</v>
      </c>
      <c r="AH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194">
        <f t="shared" si="138"/>
        <v>0</v>
      </c>
      <c r="AL225" s="194">
        <f t="shared" si="139"/>
        <v>0</v>
      </c>
    </row>
    <row r="226" spans="2:38" x14ac:dyDescent="0.25">
      <c r="B226" s="189" t="s">
        <v>388</v>
      </c>
      <c r="C226" s="190" t="s">
        <v>265</v>
      </c>
      <c r="D226" s="191">
        <f>D227+D235+D243+D260+D267+D312</f>
        <v>45960</v>
      </c>
      <c r="E226" s="191">
        <f>E227+E235+E243+E260+E267+E312</f>
        <v>5713121</v>
      </c>
      <c r="F226" s="191">
        <f t="shared" si="132"/>
        <v>5759081</v>
      </c>
      <c r="G226" s="191">
        <f>G227+G235+G243+G260+G267+G312</f>
        <v>0</v>
      </c>
      <c r="H226" s="191">
        <f t="shared" ref="H226:H244" si="140">F226-G226</f>
        <v>5759081</v>
      </c>
      <c r="I226" s="191">
        <f>I227+I235+I243+I260+I267+I312</f>
        <v>0</v>
      </c>
      <c r="J226" s="191">
        <f t="shared" ref="J226:J244" si="141">F226-I226</f>
        <v>5759081</v>
      </c>
      <c r="K226" s="191">
        <f t="shared" ref="K226:X226" si="142">K227+K235+K243+K260+K267+K312</f>
        <v>217691</v>
      </c>
      <c r="L226" s="191">
        <f t="shared" si="142"/>
        <v>71672.5</v>
      </c>
      <c r="M226" s="191">
        <f t="shared" si="142"/>
        <v>11490</v>
      </c>
      <c r="N226" s="191">
        <f t="shared" si="142"/>
        <v>91970</v>
      </c>
      <c r="O226" s="191">
        <f t="shared" si="142"/>
        <v>5209660</v>
      </c>
      <c r="P226" s="191">
        <f t="shared" si="142"/>
        <v>0</v>
      </c>
      <c r="Q226" s="191">
        <f t="shared" si="142"/>
        <v>0</v>
      </c>
      <c r="R226" s="191">
        <f t="shared" si="142"/>
        <v>52245</v>
      </c>
      <c r="S226" s="191">
        <f t="shared" si="142"/>
        <v>68152.5</v>
      </c>
      <c r="T226" s="191">
        <f t="shared" si="142"/>
        <v>0</v>
      </c>
      <c r="U226" s="191">
        <f t="shared" si="142"/>
        <v>36200</v>
      </c>
      <c r="V226" s="191">
        <f t="shared" si="142"/>
        <v>90000</v>
      </c>
      <c r="W226" s="191">
        <f t="shared" si="142"/>
        <v>5267935</v>
      </c>
      <c r="X226" s="191">
        <f t="shared" si="142"/>
        <v>51422.5</v>
      </c>
      <c r="Y226" s="191">
        <f t="shared" ref="Y226:Y244" si="143">V226+W226+X226</f>
        <v>5409357.5</v>
      </c>
      <c r="Z226" s="191">
        <f>Z227+Z235+Z243+Z260+Z267+Z312</f>
        <v>46857.5</v>
      </c>
      <c r="AA226" s="191">
        <f>AA227+AA235+AA243+AA260+AA267+AA312</f>
        <v>94516</v>
      </c>
      <c r="AB226" s="191">
        <f>AB227+AB235+AB243+AB260+AB267+AB312</f>
        <v>18184</v>
      </c>
      <c r="AC226" s="191">
        <f t="shared" ref="AC226:AC244" si="144">Z226+AA226+AB226</f>
        <v>159557.5</v>
      </c>
      <c r="AD226" s="191">
        <f>AD227+AD235+AD243+AD260+AD267+AD312</f>
        <v>3000</v>
      </c>
      <c r="AE226" s="191">
        <f>AE227+AE235+AE243+AE260+AE267+AE312</f>
        <v>0</v>
      </c>
      <c r="AF226" s="191">
        <f>AF227+AF235+AF243+AF260+AF267+AF312</f>
        <v>54395</v>
      </c>
      <c r="AG226" s="191">
        <f t="shared" ref="AG226:AG244" si="145">AD226+AE226+AF226</f>
        <v>57395</v>
      </c>
      <c r="AH226" s="191">
        <f>AH227+AH235+AH243+AH260+AH267+AH312</f>
        <v>71535</v>
      </c>
      <c r="AI226" s="191">
        <f>AI227+AI235+AI243+AI260+AI267+AI312</f>
        <v>2712</v>
      </c>
      <c r="AJ226" s="191">
        <f>AJ227+AJ235+AJ243+AJ260+AJ267+AJ312</f>
        <v>0</v>
      </c>
      <c r="AK226" s="191">
        <f t="shared" ref="AK226:AK244" si="146">AH226+AI226+AJ226</f>
        <v>74247</v>
      </c>
      <c r="AL226" s="191">
        <f t="shared" ref="AL226:AL244" si="147">Y226+AC226+AG226+AK226</f>
        <v>5700557</v>
      </c>
    </row>
    <row r="227" spans="2:38" x14ac:dyDescent="0.25">
      <c r="B227" s="201" t="s">
        <v>389</v>
      </c>
      <c r="C227" s="202" t="s">
        <v>266</v>
      </c>
      <c r="D227" s="203">
        <f>SUM(D228:D234)</f>
        <v>21600</v>
      </c>
      <c r="E227" s="203">
        <f>SUM(E228:E234)</f>
        <v>277580</v>
      </c>
      <c r="F227" s="203">
        <f t="shared" si="132"/>
        <v>299180</v>
      </c>
      <c r="G227" s="203">
        <f>SUM(G228:G234)</f>
        <v>0</v>
      </c>
      <c r="H227" s="203">
        <f t="shared" si="140"/>
        <v>299180</v>
      </c>
      <c r="I227" s="203">
        <f>SUM(I228:I234)</f>
        <v>0</v>
      </c>
      <c r="J227" s="203">
        <f t="shared" si="141"/>
        <v>299180</v>
      </c>
      <c r="K227" s="203">
        <f t="shared" ref="K227:X227" si="148">SUM(K228:K234)</f>
        <v>130850</v>
      </c>
      <c r="L227" s="203">
        <f t="shared" si="148"/>
        <v>53650</v>
      </c>
      <c r="M227" s="203">
        <f t="shared" si="148"/>
        <v>5400</v>
      </c>
      <c r="N227" s="203">
        <f t="shared" si="148"/>
        <v>720</v>
      </c>
      <c r="O227" s="203">
        <f t="shared" si="148"/>
        <v>29760</v>
      </c>
      <c r="P227" s="203">
        <f t="shared" si="148"/>
        <v>0</v>
      </c>
      <c r="Q227" s="203">
        <f t="shared" si="148"/>
        <v>0</v>
      </c>
      <c r="R227" s="203">
        <f t="shared" si="148"/>
        <v>10800</v>
      </c>
      <c r="S227" s="203">
        <f t="shared" si="148"/>
        <v>66800</v>
      </c>
      <c r="T227" s="203">
        <f t="shared" si="148"/>
        <v>0</v>
      </c>
      <c r="U227" s="203">
        <f t="shared" si="148"/>
        <v>1200</v>
      </c>
      <c r="V227" s="203">
        <f t="shared" si="148"/>
        <v>0</v>
      </c>
      <c r="W227" s="203">
        <f t="shared" si="148"/>
        <v>40800</v>
      </c>
      <c r="X227" s="203">
        <f t="shared" si="148"/>
        <v>13500</v>
      </c>
      <c r="Y227" s="203">
        <f t="shared" si="143"/>
        <v>54300</v>
      </c>
      <c r="Z227" s="203">
        <f>SUM(Z228:Z234)</f>
        <v>43000</v>
      </c>
      <c r="AA227" s="203">
        <f>SUM(AA228:AA234)</f>
        <v>90570</v>
      </c>
      <c r="AB227" s="203">
        <f>SUM(AB228:AB234)</f>
        <v>16050</v>
      </c>
      <c r="AC227" s="203">
        <f t="shared" si="144"/>
        <v>149620</v>
      </c>
      <c r="AD227" s="203">
        <f>SUM(AD228:AD234)</f>
        <v>0</v>
      </c>
      <c r="AE227" s="203">
        <f>SUM(AE228:AE234)</f>
        <v>0</v>
      </c>
      <c r="AF227" s="203">
        <f>SUM(AF228:AF234)</f>
        <v>11700</v>
      </c>
      <c r="AG227" s="203">
        <f t="shared" si="145"/>
        <v>11700</v>
      </c>
      <c r="AH227" s="203">
        <f>SUM(AH228:AH234)</f>
        <v>49000</v>
      </c>
      <c r="AI227" s="203">
        <f>SUM(AI228:AI234)</f>
        <v>0</v>
      </c>
      <c r="AJ227" s="203">
        <f>SUM(AJ228:AJ234)</f>
        <v>0</v>
      </c>
      <c r="AK227" s="203">
        <f t="shared" si="146"/>
        <v>49000</v>
      </c>
      <c r="AL227" s="203">
        <f t="shared" si="147"/>
        <v>264620</v>
      </c>
    </row>
    <row r="228" spans="2:38" x14ac:dyDescent="0.25">
      <c r="B228" s="192" t="s">
        <v>390</v>
      </c>
      <c r="C228" s="193" t="s">
        <v>267</v>
      </c>
      <c r="D22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201450</v>
      </c>
      <c r="F228" s="194">
        <f t="shared" si="132"/>
        <v>201450</v>
      </c>
      <c r="G228" s="194"/>
      <c r="H228" s="194">
        <f t="shared" si="140"/>
        <v>201450</v>
      </c>
      <c r="I228" s="194"/>
      <c r="J228" s="194">
        <f t="shared" si="141"/>
        <v>201450</v>
      </c>
      <c r="K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82300</v>
      </c>
      <c r="L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52350</v>
      </c>
      <c r="M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66800</v>
      </c>
      <c r="T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39600</v>
      </c>
      <c r="X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13500</v>
      </c>
      <c r="Y228" s="194">
        <f t="shared" si="143"/>
        <v>53100</v>
      </c>
      <c r="Z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3000</v>
      </c>
      <c r="AA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86300</v>
      </c>
      <c r="AB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10050</v>
      </c>
      <c r="AC228" s="194">
        <f t="shared" si="144"/>
        <v>99350</v>
      </c>
      <c r="AD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194">
        <f t="shared" si="145"/>
        <v>0</v>
      </c>
      <c r="AH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49000</v>
      </c>
      <c r="AI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194">
        <f t="shared" si="146"/>
        <v>49000</v>
      </c>
      <c r="AL228" s="194">
        <f t="shared" si="147"/>
        <v>201450</v>
      </c>
    </row>
    <row r="229" spans="2:38" x14ac:dyDescent="0.25">
      <c r="B229" s="192" t="s">
        <v>997</v>
      </c>
      <c r="C229" s="193" t="s">
        <v>998</v>
      </c>
      <c r="D22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21600</v>
      </c>
      <c r="E22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76130</v>
      </c>
      <c r="F229" s="194">
        <f t="shared" si="132"/>
        <v>97730</v>
      </c>
      <c r="G229" s="194"/>
      <c r="H229" s="194">
        <f t="shared" si="140"/>
        <v>97730</v>
      </c>
      <c r="I229" s="194"/>
      <c r="J229" s="194">
        <f t="shared" si="141"/>
        <v>97730</v>
      </c>
      <c r="K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48550</v>
      </c>
      <c r="L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1300</v>
      </c>
      <c r="M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5400</v>
      </c>
      <c r="N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720</v>
      </c>
      <c r="O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29760</v>
      </c>
      <c r="P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10800</v>
      </c>
      <c r="S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1200</v>
      </c>
      <c r="V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1200</v>
      </c>
      <c r="X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9" s="194">
        <f t="shared" si="143"/>
        <v>1200</v>
      </c>
      <c r="Z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40000</v>
      </c>
      <c r="AA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4270</v>
      </c>
      <c r="AB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6000</v>
      </c>
      <c r="AC229" s="194">
        <f t="shared" si="144"/>
        <v>50270</v>
      </c>
      <c r="AD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11700</v>
      </c>
      <c r="AG229" s="194">
        <f t="shared" si="145"/>
        <v>11700</v>
      </c>
      <c r="AH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194">
        <f t="shared" si="146"/>
        <v>0</v>
      </c>
      <c r="AL229" s="194">
        <f t="shared" si="147"/>
        <v>63170</v>
      </c>
    </row>
    <row r="230" spans="2:38" x14ac:dyDescent="0.25">
      <c r="B230" s="192" t="s">
        <v>999</v>
      </c>
      <c r="C230" s="193" t="s">
        <v>1000</v>
      </c>
      <c r="D2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194">
        <f t="shared" si="132"/>
        <v>0</v>
      </c>
      <c r="G230" s="194"/>
      <c r="H230" s="194">
        <f t="shared" si="140"/>
        <v>0</v>
      </c>
      <c r="I230" s="194"/>
      <c r="J230" s="194">
        <f t="shared" si="141"/>
        <v>0</v>
      </c>
      <c r="K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194">
        <f t="shared" si="143"/>
        <v>0</v>
      </c>
      <c r="Z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194">
        <f t="shared" si="144"/>
        <v>0</v>
      </c>
      <c r="AD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194">
        <f t="shared" si="145"/>
        <v>0</v>
      </c>
      <c r="AH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194">
        <f t="shared" si="146"/>
        <v>0</v>
      </c>
      <c r="AL230" s="194">
        <f t="shared" si="147"/>
        <v>0</v>
      </c>
    </row>
    <row r="231" spans="2:38" x14ac:dyDescent="0.25">
      <c r="B231" s="192" t="s">
        <v>1001</v>
      </c>
      <c r="C231" s="193" t="s">
        <v>1002</v>
      </c>
      <c r="D2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194">
        <f t="shared" si="132"/>
        <v>0</v>
      </c>
      <c r="G231" s="194"/>
      <c r="H231" s="194">
        <f t="shared" si="140"/>
        <v>0</v>
      </c>
      <c r="I231" s="194"/>
      <c r="J231" s="194">
        <f t="shared" si="141"/>
        <v>0</v>
      </c>
      <c r="K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194">
        <f t="shared" si="143"/>
        <v>0</v>
      </c>
      <c r="Z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194">
        <f t="shared" si="144"/>
        <v>0</v>
      </c>
      <c r="AD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194">
        <f t="shared" si="145"/>
        <v>0</v>
      </c>
      <c r="AH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194">
        <f t="shared" si="146"/>
        <v>0</v>
      </c>
      <c r="AL231" s="194">
        <f t="shared" si="147"/>
        <v>0</v>
      </c>
    </row>
    <row r="232" spans="2:38" x14ac:dyDescent="0.25">
      <c r="B232" s="192" t="s">
        <v>1003</v>
      </c>
      <c r="C232" s="193" t="s">
        <v>1004</v>
      </c>
      <c r="D23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2" s="194">
        <f t="shared" si="132"/>
        <v>0</v>
      </c>
      <c r="G232" s="194"/>
      <c r="H232" s="194">
        <f t="shared" si="140"/>
        <v>0</v>
      </c>
      <c r="I232" s="194"/>
      <c r="J232" s="194">
        <f t="shared" si="141"/>
        <v>0</v>
      </c>
      <c r="K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194">
        <f t="shared" si="143"/>
        <v>0</v>
      </c>
      <c r="Z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194">
        <f t="shared" si="144"/>
        <v>0</v>
      </c>
      <c r="AD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194">
        <f t="shared" si="145"/>
        <v>0</v>
      </c>
      <c r="AH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194">
        <f t="shared" si="146"/>
        <v>0</v>
      </c>
      <c r="AL232" s="194">
        <f t="shared" si="147"/>
        <v>0</v>
      </c>
    </row>
    <row r="233" spans="2:38" x14ac:dyDescent="0.25">
      <c r="B233" s="192" t="s">
        <v>391</v>
      </c>
      <c r="C233" s="193" t="s">
        <v>1005</v>
      </c>
      <c r="D23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194">
        <f t="shared" si="132"/>
        <v>0</v>
      </c>
      <c r="G233" s="194"/>
      <c r="H233" s="194">
        <f t="shared" si="140"/>
        <v>0</v>
      </c>
      <c r="I233" s="194"/>
      <c r="J233" s="194">
        <f t="shared" si="141"/>
        <v>0</v>
      </c>
      <c r="K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194">
        <f t="shared" si="143"/>
        <v>0</v>
      </c>
      <c r="Z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194">
        <f t="shared" si="144"/>
        <v>0</v>
      </c>
      <c r="AD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194">
        <f t="shared" si="145"/>
        <v>0</v>
      </c>
      <c r="AH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194">
        <f t="shared" si="146"/>
        <v>0</v>
      </c>
      <c r="AL233" s="194">
        <f t="shared" si="147"/>
        <v>0</v>
      </c>
    </row>
    <row r="234" spans="2:38" x14ac:dyDescent="0.25">
      <c r="B234" s="192" t="s">
        <v>1006</v>
      </c>
      <c r="C234" s="193" t="s">
        <v>1007</v>
      </c>
      <c r="D23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194">
        <f t="shared" si="132"/>
        <v>0</v>
      </c>
      <c r="G234" s="194"/>
      <c r="H234" s="194">
        <f t="shared" si="140"/>
        <v>0</v>
      </c>
      <c r="I234" s="194"/>
      <c r="J234" s="194">
        <f t="shared" si="141"/>
        <v>0</v>
      </c>
      <c r="K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194">
        <f t="shared" si="143"/>
        <v>0</v>
      </c>
      <c r="Z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194">
        <f t="shared" si="144"/>
        <v>0</v>
      </c>
      <c r="AD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194">
        <f t="shared" si="145"/>
        <v>0</v>
      </c>
      <c r="AH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194">
        <f t="shared" si="146"/>
        <v>0</v>
      </c>
      <c r="AL234" s="194">
        <f t="shared" si="147"/>
        <v>0</v>
      </c>
    </row>
    <row r="235" spans="2:38" x14ac:dyDescent="0.25">
      <c r="B235" s="201" t="s">
        <v>392</v>
      </c>
      <c r="C235" s="202" t="s">
        <v>269</v>
      </c>
      <c r="D235" s="203">
        <f>SUM(D236:D242)</f>
        <v>0</v>
      </c>
      <c r="E235" s="203">
        <f>SUM(E236:E242)</f>
        <v>0</v>
      </c>
      <c r="F235" s="203">
        <f t="shared" si="132"/>
        <v>0</v>
      </c>
      <c r="G235" s="203">
        <f>SUM(G236:G242)</f>
        <v>0</v>
      </c>
      <c r="H235" s="203">
        <f t="shared" si="140"/>
        <v>0</v>
      </c>
      <c r="I235" s="203">
        <f>SUM(I236:I242)</f>
        <v>0</v>
      </c>
      <c r="J235" s="203">
        <f t="shared" si="141"/>
        <v>0</v>
      </c>
      <c r="K235" s="203">
        <f t="shared" ref="K235:X235" si="149">SUM(K236:K242)</f>
        <v>0</v>
      </c>
      <c r="L235" s="203">
        <f t="shared" si="149"/>
        <v>0</v>
      </c>
      <c r="M235" s="203">
        <f t="shared" si="149"/>
        <v>0</v>
      </c>
      <c r="N235" s="203">
        <f t="shared" si="149"/>
        <v>0</v>
      </c>
      <c r="O235" s="203">
        <f t="shared" si="149"/>
        <v>0</v>
      </c>
      <c r="P235" s="203">
        <f t="shared" si="149"/>
        <v>0</v>
      </c>
      <c r="Q235" s="203">
        <f t="shared" si="149"/>
        <v>0</v>
      </c>
      <c r="R235" s="203">
        <f t="shared" si="149"/>
        <v>0</v>
      </c>
      <c r="S235" s="203">
        <f t="shared" si="149"/>
        <v>0</v>
      </c>
      <c r="T235" s="203">
        <f t="shared" si="149"/>
        <v>0</v>
      </c>
      <c r="U235" s="203">
        <f t="shared" si="149"/>
        <v>0</v>
      </c>
      <c r="V235" s="203">
        <f t="shared" si="149"/>
        <v>0</v>
      </c>
      <c r="W235" s="203">
        <f t="shared" si="149"/>
        <v>0</v>
      </c>
      <c r="X235" s="203">
        <f t="shared" si="149"/>
        <v>0</v>
      </c>
      <c r="Y235" s="203">
        <f t="shared" si="143"/>
        <v>0</v>
      </c>
      <c r="Z235" s="203">
        <f>SUM(Z236:Z242)</f>
        <v>0</v>
      </c>
      <c r="AA235" s="203">
        <f>SUM(AA236:AA242)</f>
        <v>0</v>
      </c>
      <c r="AB235" s="203">
        <f>SUM(AB236:AB242)</f>
        <v>0</v>
      </c>
      <c r="AC235" s="203">
        <f t="shared" si="144"/>
        <v>0</v>
      </c>
      <c r="AD235" s="203">
        <f>SUM(AD236:AD242)</f>
        <v>0</v>
      </c>
      <c r="AE235" s="203">
        <f>SUM(AE236:AE242)</f>
        <v>0</v>
      </c>
      <c r="AF235" s="203">
        <f>SUM(AF236:AF242)</f>
        <v>0</v>
      </c>
      <c r="AG235" s="203">
        <f t="shared" si="145"/>
        <v>0</v>
      </c>
      <c r="AH235" s="203">
        <f>SUM(AH236:AH242)</f>
        <v>0</v>
      </c>
      <c r="AI235" s="203">
        <f>SUM(AI236:AI242)</f>
        <v>0</v>
      </c>
      <c r="AJ235" s="203">
        <f>SUM(AJ236:AJ242)</f>
        <v>0</v>
      </c>
      <c r="AK235" s="203">
        <f t="shared" si="146"/>
        <v>0</v>
      </c>
      <c r="AL235" s="203">
        <f t="shared" si="147"/>
        <v>0</v>
      </c>
    </row>
    <row r="236" spans="2:38" x14ac:dyDescent="0.25">
      <c r="B236" s="192" t="s">
        <v>1008</v>
      </c>
      <c r="C236" s="193" t="s">
        <v>1009</v>
      </c>
      <c r="D23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194">
        <f t="shared" si="132"/>
        <v>0</v>
      </c>
      <c r="G236" s="194"/>
      <c r="H236" s="194">
        <f t="shared" si="140"/>
        <v>0</v>
      </c>
      <c r="I236" s="194"/>
      <c r="J236" s="194">
        <f t="shared" si="141"/>
        <v>0</v>
      </c>
      <c r="K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194">
        <f t="shared" si="143"/>
        <v>0</v>
      </c>
      <c r="Z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194">
        <f t="shared" si="144"/>
        <v>0</v>
      </c>
      <c r="AD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194">
        <f t="shared" si="145"/>
        <v>0</v>
      </c>
      <c r="AH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194">
        <f t="shared" si="146"/>
        <v>0</v>
      </c>
      <c r="AL236" s="194">
        <f t="shared" si="147"/>
        <v>0</v>
      </c>
    </row>
    <row r="237" spans="2:38" x14ac:dyDescent="0.25">
      <c r="B237" s="192" t="s">
        <v>1010</v>
      </c>
      <c r="C237" s="193" t="s">
        <v>1011</v>
      </c>
      <c r="D23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194">
        <f t="shared" si="132"/>
        <v>0</v>
      </c>
      <c r="G237" s="194"/>
      <c r="H237" s="194">
        <f t="shared" si="140"/>
        <v>0</v>
      </c>
      <c r="I237" s="194"/>
      <c r="J237" s="194">
        <f t="shared" si="141"/>
        <v>0</v>
      </c>
      <c r="K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194">
        <f t="shared" si="143"/>
        <v>0</v>
      </c>
      <c r="Z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194">
        <f t="shared" si="144"/>
        <v>0</v>
      </c>
      <c r="AD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194">
        <f t="shared" si="145"/>
        <v>0</v>
      </c>
      <c r="AH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194">
        <f t="shared" si="146"/>
        <v>0</v>
      </c>
      <c r="AL237" s="194">
        <f t="shared" si="147"/>
        <v>0</v>
      </c>
    </row>
    <row r="238" spans="2:38" x14ac:dyDescent="0.25">
      <c r="B238" s="192" t="s">
        <v>393</v>
      </c>
      <c r="C238" s="193" t="s">
        <v>1012</v>
      </c>
      <c r="D2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194">
        <f t="shared" si="132"/>
        <v>0</v>
      </c>
      <c r="G238" s="194"/>
      <c r="H238" s="194">
        <f t="shared" si="140"/>
        <v>0</v>
      </c>
      <c r="I238" s="194"/>
      <c r="J238" s="194">
        <f t="shared" si="141"/>
        <v>0</v>
      </c>
      <c r="K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194">
        <f t="shared" si="143"/>
        <v>0</v>
      </c>
      <c r="Z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194">
        <f t="shared" si="144"/>
        <v>0</v>
      </c>
      <c r="AD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194">
        <f t="shared" si="145"/>
        <v>0</v>
      </c>
      <c r="AH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194">
        <f t="shared" si="146"/>
        <v>0</v>
      </c>
      <c r="AL238" s="194">
        <f t="shared" si="147"/>
        <v>0</v>
      </c>
    </row>
    <row r="239" spans="2:38" x14ac:dyDescent="0.25">
      <c r="B239" s="192" t="s">
        <v>1013</v>
      </c>
      <c r="C239" s="193" t="s">
        <v>1014</v>
      </c>
      <c r="D2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9" s="194">
        <f t="shared" si="132"/>
        <v>0</v>
      </c>
      <c r="G239" s="194"/>
      <c r="H239" s="194">
        <f t="shared" si="140"/>
        <v>0</v>
      </c>
      <c r="I239" s="194"/>
      <c r="J239" s="194">
        <f t="shared" si="141"/>
        <v>0</v>
      </c>
      <c r="K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194">
        <f t="shared" si="143"/>
        <v>0</v>
      </c>
      <c r="Z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194">
        <f t="shared" si="144"/>
        <v>0</v>
      </c>
      <c r="AD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194">
        <f t="shared" si="145"/>
        <v>0</v>
      </c>
      <c r="AH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194">
        <f t="shared" si="146"/>
        <v>0</v>
      </c>
      <c r="AL239" s="194">
        <f t="shared" si="147"/>
        <v>0</v>
      </c>
    </row>
    <row r="240" spans="2:38" x14ac:dyDescent="0.25">
      <c r="B240" s="192" t="s">
        <v>1015</v>
      </c>
      <c r="C240" s="193" t="s">
        <v>1012</v>
      </c>
      <c r="D2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194">
        <f t="shared" si="132"/>
        <v>0</v>
      </c>
      <c r="G240" s="194"/>
      <c r="H240" s="194">
        <f t="shared" si="140"/>
        <v>0</v>
      </c>
      <c r="I240" s="194"/>
      <c r="J240" s="194">
        <f t="shared" si="141"/>
        <v>0</v>
      </c>
      <c r="K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194">
        <f t="shared" si="143"/>
        <v>0</v>
      </c>
      <c r="Z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194">
        <f t="shared" si="144"/>
        <v>0</v>
      </c>
      <c r="AD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194">
        <f t="shared" si="145"/>
        <v>0</v>
      </c>
      <c r="AH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194">
        <f t="shared" si="146"/>
        <v>0</v>
      </c>
      <c r="AL240" s="194">
        <f t="shared" si="147"/>
        <v>0</v>
      </c>
    </row>
    <row r="241" spans="2:38" x14ac:dyDescent="0.25">
      <c r="B241" s="192" t="s">
        <v>1016</v>
      </c>
      <c r="C241" s="193" t="s">
        <v>1017</v>
      </c>
      <c r="D2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194">
        <f t="shared" si="132"/>
        <v>0</v>
      </c>
      <c r="G241" s="194"/>
      <c r="H241" s="194">
        <f t="shared" si="140"/>
        <v>0</v>
      </c>
      <c r="I241" s="194"/>
      <c r="J241" s="194">
        <f t="shared" si="141"/>
        <v>0</v>
      </c>
      <c r="K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194">
        <f t="shared" si="143"/>
        <v>0</v>
      </c>
      <c r="Z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194">
        <f t="shared" si="144"/>
        <v>0</v>
      </c>
      <c r="AD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194">
        <f t="shared" si="145"/>
        <v>0</v>
      </c>
      <c r="AH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194">
        <f t="shared" si="146"/>
        <v>0</v>
      </c>
      <c r="AL241" s="194">
        <f t="shared" si="147"/>
        <v>0</v>
      </c>
    </row>
    <row r="242" spans="2:38" x14ac:dyDescent="0.25">
      <c r="B242" s="192" t="s">
        <v>1018</v>
      </c>
      <c r="C242" s="193" t="s">
        <v>1019</v>
      </c>
      <c r="D24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194">
        <f t="shared" si="132"/>
        <v>0</v>
      </c>
      <c r="G242" s="194"/>
      <c r="H242" s="194">
        <f t="shared" si="140"/>
        <v>0</v>
      </c>
      <c r="I242" s="194"/>
      <c r="J242" s="194">
        <f t="shared" si="141"/>
        <v>0</v>
      </c>
      <c r="K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194">
        <f t="shared" si="143"/>
        <v>0</v>
      </c>
      <c r="Z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194">
        <f t="shared" si="144"/>
        <v>0</v>
      </c>
      <c r="AD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194">
        <f t="shared" si="145"/>
        <v>0</v>
      </c>
      <c r="AH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194">
        <f t="shared" si="146"/>
        <v>0</v>
      </c>
      <c r="AL242" s="194">
        <f t="shared" si="147"/>
        <v>0</v>
      </c>
    </row>
    <row r="243" spans="2:38" x14ac:dyDescent="0.25">
      <c r="B243" s="201" t="s">
        <v>394</v>
      </c>
      <c r="C243" s="202" t="s">
        <v>270</v>
      </c>
      <c r="D243" s="203">
        <f>SUM(D244:D259)</f>
        <v>24360</v>
      </c>
      <c r="E243" s="203">
        <f>SUM(E244:E259)</f>
        <v>5080933</v>
      </c>
      <c r="F243" s="203">
        <f t="shared" si="132"/>
        <v>5105293</v>
      </c>
      <c r="G243" s="203">
        <f>SUM(G244:G259)</f>
        <v>0</v>
      </c>
      <c r="H243" s="203">
        <f t="shared" si="140"/>
        <v>5105293</v>
      </c>
      <c r="I243" s="203">
        <f>SUM(I244:I259)</f>
        <v>0</v>
      </c>
      <c r="J243" s="203">
        <f t="shared" si="141"/>
        <v>5105293</v>
      </c>
      <c r="K243" s="203">
        <f t="shared" ref="K243:X243" si="150">SUM(K244:K259)</f>
        <v>42890</v>
      </c>
      <c r="L243" s="203">
        <f t="shared" si="150"/>
        <v>6742.5</v>
      </c>
      <c r="M243" s="203">
        <f t="shared" si="150"/>
        <v>6090</v>
      </c>
      <c r="N243" s="203">
        <f t="shared" si="150"/>
        <v>0</v>
      </c>
      <c r="O243" s="203">
        <f t="shared" si="150"/>
        <v>5013748</v>
      </c>
      <c r="P243" s="203">
        <f t="shared" si="150"/>
        <v>0</v>
      </c>
      <c r="Q243" s="203">
        <f t="shared" si="150"/>
        <v>0</v>
      </c>
      <c r="R243" s="203">
        <f t="shared" si="150"/>
        <v>0</v>
      </c>
      <c r="S243" s="203">
        <f t="shared" si="150"/>
        <v>822.5</v>
      </c>
      <c r="T243" s="203">
        <f t="shared" si="150"/>
        <v>0</v>
      </c>
      <c r="U243" s="203">
        <f t="shared" si="150"/>
        <v>35000</v>
      </c>
      <c r="V243" s="203">
        <f t="shared" si="150"/>
        <v>0</v>
      </c>
      <c r="W243" s="203">
        <f t="shared" si="150"/>
        <v>5035135</v>
      </c>
      <c r="X243" s="203">
        <f t="shared" si="150"/>
        <v>26842.5</v>
      </c>
      <c r="Y243" s="203">
        <f t="shared" si="143"/>
        <v>5061977.5</v>
      </c>
      <c r="Z243" s="203">
        <f>SUM(Z244:Z259)</f>
        <v>127.5</v>
      </c>
      <c r="AA243" s="203">
        <f>SUM(AA244:AA259)</f>
        <v>695</v>
      </c>
      <c r="AB243" s="203">
        <f>SUM(AB244:AB259)</f>
        <v>170</v>
      </c>
      <c r="AC243" s="203">
        <f t="shared" si="144"/>
        <v>992.5</v>
      </c>
      <c r="AD243" s="203">
        <f>SUM(AD244:AD259)</f>
        <v>3000</v>
      </c>
      <c r="AE243" s="203">
        <f>SUM(AE244:AE259)</f>
        <v>0</v>
      </c>
      <c r="AF243" s="203">
        <f>SUM(AF244:AF259)</f>
        <v>0</v>
      </c>
      <c r="AG243" s="203">
        <f t="shared" si="145"/>
        <v>3000</v>
      </c>
      <c r="AH243" s="203">
        <f>SUM(AH244:AH259)</f>
        <v>16835</v>
      </c>
      <c r="AI243" s="203">
        <f>SUM(AI244:AI259)</f>
        <v>1020</v>
      </c>
      <c r="AJ243" s="203">
        <f>SUM(AJ244:AJ259)</f>
        <v>0</v>
      </c>
      <c r="AK243" s="203">
        <f t="shared" si="146"/>
        <v>17855</v>
      </c>
      <c r="AL243" s="203">
        <f t="shared" si="147"/>
        <v>5083825</v>
      </c>
    </row>
    <row r="244" spans="2:38" x14ac:dyDescent="0.25">
      <c r="B244" s="192" t="s">
        <v>1020</v>
      </c>
      <c r="C244" s="193" t="s">
        <v>1021</v>
      </c>
      <c r="D2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360</v>
      </c>
      <c r="E2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12495</v>
      </c>
      <c r="F244" s="194">
        <f t="shared" si="132"/>
        <v>12855</v>
      </c>
      <c r="G244" s="194"/>
      <c r="H244" s="194">
        <f t="shared" si="140"/>
        <v>12855</v>
      </c>
      <c r="I244" s="194"/>
      <c r="J244" s="194">
        <f t="shared" si="141"/>
        <v>12855</v>
      </c>
      <c r="K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10090</v>
      </c>
      <c r="L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1700</v>
      </c>
      <c r="M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90</v>
      </c>
      <c r="N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450</v>
      </c>
      <c r="P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525</v>
      </c>
      <c r="T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135</v>
      </c>
      <c r="X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4" s="194">
        <f t="shared" si="143"/>
        <v>135</v>
      </c>
      <c r="Z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525</v>
      </c>
      <c r="AB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194">
        <f t="shared" si="144"/>
        <v>525</v>
      </c>
      <c r="AD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194">
        <f t="shared" si="145"/>
        <v>0</v>
      </c>
      <c r="AH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11835</v>
      </c>
      <c r="AI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194">
        <f t="shared" si="146"/>
        <v>11835</v>
      </c>
      <c r="AL244" s="194">
        <f t="shared" si="147"/>
        <v>12495</v>
      </c>
    </row>
    <row r="245" spans="2:38" x14ac:dyDescent="0.25">
      <c r="B245" s="192" t="s">
        <v>1022</v>
      </c>
      <c r="C245" s="193" t="s">
        <v>1023</v>
      </c>
      <c r="D2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194">
        <f t="shared" ref="F245:F253" si="151">D245+E245</f>
        <v>0</v>
      </c>
      <c r="G245" s="194"/>
      <c r="H245" s="194">
        <f t="shared" ref="H245:H253" si="152">F245-G245</f>
        <v>0</v>
      </c>
      <c r="I245" s="194"/>
      <c r="J245" s="194">
        <f t="shared" ref="J245:J253" si="153">F245-I245</f>
        <v>0</v>
      </c>
      <c r="K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194">
        <f t="shared" ref="Y245:Y253" si="154">V245+W245+X245</f>
        <v>0</v>
      </c>
      <c r="Z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194">
        <f t="shared" ref="AC245:AC253" si="155">Z245+AA245+AB245</f>
        <v>0</v>
      </c>
      <c r="AD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194">
        <f t="shared" ref="AG245:AG253" si="156">AD245+AE245+AF245</f>
        <v>0</v>
      </c>
      <c r="AH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194">
        <f t="shared" ref="AK245:AK253" si="157">AH245+AI245+AJ245</f>
        <v>0</v>
      </c>
      <c r="AL245" s="194">
        <f t="shared" ref="AL245:AL253" si="158">Y245+AC245+AG245+AK245</f>
        <v>0</v>
      </c>
    </row>
    <row r="246" spans="2:38" x14ac:dyDescent="0.25">
      <c r="B246" s="192" t="s">
        <v>1024</v>
      </c>
      <c r="C246" s="193" t="s">
        <v>1025</v>
      </c>
      <c r="D24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24000</v>
      </c>
      <c r="E24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15000</v>
      </c>
      <c r="F246" s="194">
        <f t="shared" si="151"/>
        <v>39000</v>
      </c>
      <c r="G246" s="194"/>
      <c r="H246" s="194">
        <f t="shared" si="152"/>
        <v>39000</v>
      </c>
      <c r="I246" s="194"/>
      <c r="J246" s="194">
        <f t="shared" si="153"/>
        <v>39000</v>
      </c>
      <c r="K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v>
      </c>
      <c r="L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v>
      </c>
      <c r="N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12000</v>
      </c>
      <c r="P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v>
      </c>
      <c r="V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15000</v>
      </c>
      <c r="X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6" s="194">
        <f t="shared" si="154"/>
        <v>15000</v>
      </c>
      <c r="Z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194">
        <f t="shared" si="155"/>
        <v>0</v>
      </c>
      <c r="AD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3000</v>
      </c>
      <c r="AE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194">
        <f t="shared" si="156"/>
        <v>3000</v>
      </c>
      <c r="AH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194">
        <f t="shared" si="157"/>
        <v>0</v>
      </c>
      <c r="AL246" s="194">
        <f t="shared" si="158"/>
        <v>18000</v>
      </c>
    </row>
    <row r="247" spans="2:38" x14ac:dyDescent="0.25">
      <c r="B247" s="192" t="s">
        <v>395</v>
      </c>
      <c r="C247" s="193" t="s">
        <v>271</v>
      </c>
      <c r="D24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48438</v>
      </c>
      <c r="F247" s="194">
        <f t="shared" si="151"/>
        <v>48438</v>
      </c>
      <c r="G247" s="194"/>
      <c r="H247" s="194">
        <f t="shared" si="152"/>
        <v>48438</v>
      </c>
      <c r="I247" s="194"/>
      <c r="J247" s="194">
        <f t="shared" si="153"/>
        <v>48438</v>
      </c>
      <c r="K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26800</v>
      </c>
      <c r="L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42.5</v>
      </c>
      <c r="M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1298</v>
      </c>
      <c r="P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297.5</v>
      </c>
      <c r="T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V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20000</v>
      </c>
      <c r="X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26842.5</v>
      </c>
      <c r="Y247" s="194">
        <f t="shared" si="154"/>
        <v>46842.5</v>
      </c>
      <c r="Z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127.5</v>
      </c>
      <c r="AA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170</v>
      </c>
      <c r="AB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170</v>
      </c>
      <c r="AC247" s="194">
        <f t="shared" si="155"/>
        <v>467.5</v>
      </c>
      <c r="AD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194">
        <f t="shared" si="156"/>
        <v>0</v>
      </c>
      <c r="AH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1020</v>
      </c>
      <c r="AJ2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194">
        <f t="shared" si="157"/>
        <v>1020</v>
      </c>
      <c r="AL247" s="194">
        <f t="shared" si="158"/>
        <v>48330</v>
      </c>
    </row>
    <row r="248" spans="2:38" x14ac:dyDescent="0.25">
      <c r="B248" s="192" t="s">
        <v>1026</v>
      </c>
      <c r="C248" s="193" t="s">
        <v>1027</v>
      </c>
      <c r="D2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8" s="194">
        <f t="shared" si="151"/>
        <v>0</v>
      </c>
      <c r="G248" s="194"/>
      <c r="H248" s="194">
        <f t="shared" si="152"/>
        <v>0</v>
      </c>
      <c r="I248" s="194"/>
      <c r="J248" s="194">
        <f t="shared" si="153"/>
        <v>0</v>
      </c>
      <c r="K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194">
        <f t="shared" si="154"/>
        <v>0</v>
      </c>
      <c r="Z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8" s="194">
        <f t="shared" si="155"/>
        <v>0</v>
      </c>
      <c r="AD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194">
        <f t="shared" si="156"/>
        <v>0</v>
      </c>
      <c r="AH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194">
        <f t="shared" si="157"/>
        <v>0</v>
      </c>
      <c r="AL248" s="194">
        <f t="shared" si="158"/>
        <v>0</v>
      </c>
    </row>
    <row r="249" spans="2:38" x14ac:dyDescent="0.25">
      <c r="B249" s="192" t="s">
        <v>1028</v>
      </c>
      <c r="C249" s="193" t="s">
        <v>1029</v>
      </c>
      <c r="D2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194">
        <f t="shared" si="151"/>
        <v>0</v>
      </c>
      <c r="G249" s="194"/>
      <c r="H249" s="194">
        <f t="shared" si="152"/>
        <v>0</v>
      </c>
      <c r="I249" s="194"/>
      <c r="J249" s="194">
        <f t="shared" si="153"/>
        <v>0</v>
      </c>
      <c r="K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194">
        <f t="shared" si="154"/>
        <v>0</v>
      </c>
      <c r="Z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194">
        <f t="shared" si="155"/>
        <v>0</v>
      </c>
      <c r="AD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194">
        <f t="shared" si="156"/>
        <v>0</v>
      </c>
      <c r="AH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194">
        <f t="shared" si="157"/>
        <v>0</v>
      </c>
      <c r="AL249" s="194">
        <f t="shared" si="158"/>
        <v>0</v>
      </c>
    </row>
    <row r="250" spans="2:38" x14ac:dyDescent="0.25">
      <c r="B250" s="192" t="s">
        <v>396</v>
      </c>
      <c r="C250" s="193" t="s">
        <v>272</v>
      </c>
      <c r="D25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5000</v>
      </c>
      <c r="F250" s="194">
        <f t="shared" si="151"/>
        <v>5000</v>
      </c>
      <c r="G250" s="194"/>
      <c r="H250" s="194">
        <f t="shared" si="152"/>
        <v>5000</v>
      </c>
      <c r="I250" s="194"/>
      <c r="J250" s="194">
        <f t="shared" si="153"/>
        <v>5000</v>
      </c>
      <c r="K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v>
      </c>
      <c r="M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194">
        <f t="shared" si="154"/>
        <v>0</v>
      </c>
      <c r="Z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194">
        <f t="shared" si="155"/>
        <v>0</v>
      </c>
      <c r="AD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194">
        <f t="shared" si="156"/>
        <v>0</v>
      </c>
      <c r="AH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5000</v>
      </c>
      <c r="AI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194">
        <f t="shared" si="157"/>
        <v>5000</v>
      </c>
      <c r="AL250" s="194">
        <f t="shared" si="158"/>
        <v>5000</v>
      </c>
    </row>
    <row r="251" spans="2:38" x14ac:dyDescent="0.25">
      <c r="B251" s="192" t="s">
        <v>1030</v>
      </c>
      <c r="C251" s="193" t="s">
        <v>1031</v>
      </c>
      <c r="D2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194">
        <f t="shared" si="151"/>
        <v>0</v>
      </c>
      <c r="G251" s="194"/>
      <c r="H251" s="194">
        <f t="shared" si="152"/>
        <v>0</v>
      </c>
      <c r="I251" s="194"/>
      <c r="J251" s="194">
        <f t="shared" si="153"/>
        <v>0</v>
      </c>
      <c r="K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194">
        <f t="shared" si="154"/>
        <v>0</v>
      </c>
      <c r="Z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194">
        <f t="shared" si="155"/>
        <v>0</v>
      </c>
      <c r="AD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194">
        <f t="shared" si="156"/>
        <v>0</v>
      </c>
      <c r="AH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194">
        <f t="shared" si="157"/>
        <v>0</v>
      </c>
      <c r="AL251" s="194">
        <f t="shared" si="158"/>
        <v>0</v>
      </c>
    </row>
    <row r="252" spans="2:38" x14ac:dyDescent="0.25">
      <c r="B252" s="192" t="s">
        <v>1032</v>
      </c>
      <c r="C252" s="193" t="s">
        <v>1033</v>
      </c>
      <c r="D2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5000000</v>
      </c>
      <c r="F252" s="194">
        <f t="shared" si="151"/>
        <v>5000000</v>
      </c>
      <c r="G252" s="194"/>
      <c r="H252" s="194">
        <f t="shared" si="152"/>
        <v>5000000</v>
      </c>
      <c r="I252" s="194"/>
      <c r="J252" s="194">
        <f t="shared" si="153"/>
        <v>5000000</v>
      </c>
      <c r="K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5000000</v>
      </c>
      <c r="P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5000000</v>
      </c>
      <c r="X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194">
        <f t="shared" si="154"/>
        <v>5000000</v>
      </c>
      <c r="Z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194">
        <f t="shared" si="155"/>
        <v>0</v>
      </c>
      <c r="AD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194">
        <f t="shared" si="156"/>
        <v>0</v>
      </c>
      <c r="AH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194">
        <f t="shared" si="157"/>
        <v>0</v>
      </c>
      <c r="AL252" s="194">
        <f t="shared" si="158"/>
        <v>5000000</v>
      </c>
    </row>
    <row r="253" spans="2:38" x14ac:dyDescent="0.25">
      <c r="B253" s="192" t="s">
        <v>397</v>
      </c>
      <c r="C253" s="193" t="s">
        <v>273</v>
      </c>
      <c r="D2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194">
        <f t="shared" si="151"/>
        <v>0</v>
      </c>
      <c r="G253" s="194"/>
      <c r="H253" s="194">
        <f t="shared" si="152"/>
        <v>0</v>
      </c>
      <c r="I253" s="194"/>
      <c r="J253" s="194">
        <f t="shared" si="153"/>
        <v>0</v>
      </c>
      <c r="K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194">
        <f t="shared" si="154"/>
        <v>0</v>
      </c>
      <c r="Z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194">
        <f t="shared" si="155"/>
        <v>0</v>
      </c>
      <c r="AD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194">
        <f t="shared" si="156"/>
        <v>0</v>
      </c>
      <c r="AH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194">
        <f t="shared" si="157"/>
        <v>0</v>
      </c>
      <c r="AL253" s="194">
        <f t="shared" si="158"/>
        <v>0</v>
      </c>
    </row>
    <row r="254" spans="2:38" x14ac:dyDescent="0.25">
      <c r="B254" s="192" t="s">
        <v>1034</v>
      </c>
      <c r="C254" s="193" t="s">
        <v>1035</v>
      </c>
      <c r="D2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194">
        <f t="shared" ref="F254:F268" si="159">D254+E254</f>
        <v>0</v>
      </c>
      <c r="G254" s="194"/>
      <c r="H254" s="194">
        <f t="shared" ref="H254:H268" si="160">F254-G254</f>
        <v>0</v>
      </c>
      <c r="I254" s="194"/>
      <c r="J254" s="194">
        <f t="shared" ref="J254:J268" si="161">F254-I254</f>
        <v>0</v>
      </c>
      <c r="K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194">
        <f t="shared" ref="Y254:Y268" si="162">V254+W254+X254</f>
        <v>0</v>
      </c>
      <c r="Z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194">
        <f t="shared" ref="AC254:AC268" si="163">Z254+AA254+AB254</f>
        <v>0</v>
      </c>
      <c r="AD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194">
        <f t="shared" ref="AG254:AG268" si="164">AD254+AE254+AF254</f>
        <v>0</v>
      </c>
      <c r="AH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194">
        <f t="shared" ref="AK254:AK268" si="165">AH254+AI254+AJ254</f>
        <v>0</v>
      </c>
      <c r="AL254" s="194">
        <f t="shared" ref="AL254:AL268" si="166">Y254+AC254+AG254+AK254</f>
        <v>0</v>
      </c>
    </row>
    <row r="255" spans="2:38" x14ac:dyDescent="0.25">
      <c r="B255" s="192" t="s">
        <v>1036</v>
      </c>
      <c r="C255" s="193" t="s">
        <v>1037</v>
      </c>
      <c r="D2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194">
        <f t="shared" si="159"/>
        <v>0</v>
      </c>
      <c r="G255" s="194"/>
      <c r="H255" s="194">
        <f t="shared" si="160"/>
        <v>0</v>
      </c>
      <c r="I255" s="194"/>
      <c r="J255" s="194">
        <f t="shared" si="161"/>
        <v>0</v>
      </c>
      <c r="K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194">
        <f t="shared" si="162"/>
        <v>0</v>
      </c>
      <c r="Z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194">
        <f t="shared" si="163"/>
        <v>0</v>
      </c>
      <c r="AD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194">
        <f t="shared" si="164"/>
        <v>0</v>
      </c>
      <c r="AH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194">
        <f t="shared" si="165"/>
        <v>0</v>
      </c>
      <c r="AL255" s="194">
        <f t="shared" si="166"/>
        <v>0</v>
      </c>
    </row>
    <row r="256" spans="2:38" x14ac:dyDescent="0.25">
      <c r="B256" s="192" t="s">
        <v>1038</v>
      </c>
      <c r="C256" s="193" t="s">
        <v>1039</v>
      </c>
      <c r="D2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194">
        <f t="shared" si="159"/>
        <v>0</v>
      </c>
      <c r="G256" s="194"/>
      <c r="H256" s="194">
        <f t="shared" si="160"/>
        <v>0</v>
      </c>
      <c r="I256" s="194"/>
      <c r="J256" s="194">
        <f t="shared" si="161"/>
        <v>0</v>
      </c>
      <c r="K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194">
        <f t="shared" si="162"/>
        <v>0</v>
      </c>
      <c r="Z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194">
        <f t="shared" si="163"/>
        <v>0</v>
      </c>
      <c r="AD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194">
        <f t="shared" si="164"/>
        <v>0</v>
      </c>
      <c r="AH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194">
        <f t="shared" si="165"/>
        <v>0</v>
      </c>
      <c r="AL256" s="194">
        <f t="shared" si="166"/>
        <v>0</v>
      </c>
    </row>
    <row r="257" spans="2:38" x14ac:dyDescent="0.25">
      <c r="B257" s="192" t="s">
        <v>1040</v>
      </c>
      <c r="C257" s="193" t="s">
        <v>1041</v>
      </c>
      <c r="D25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194">
        <f t="shared" si="159"/>
        <v>0</v>
      </c>
      <c r="G257" s="194"/>
      <c r="H257" s="194">
        <f t="shared" si="160"/>
        <v>0</v>
      </c>
      <c r="I257" s="194"/>
      <c r="J257" s="194">
        <f t="shared" si="161"/>
        <v>0</v>
      </c>
      <c r="K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194">
        <f t="shared" si="162"/>
        <v>0</v>
      </c>
      <c r="Z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194">
        <f t="shared" si="163"/>
        <v>0</v>
      </c>
      <c r="AD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194">
        <f t="shared" si="164"/>
        <v>0</v>
      </c>
      <c r="AH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194">
        <f t="shared" si="165"/>
        <v>0</v>
      </c>
      <c r="AL257" s="194">
        <f t="shared" si="166"/>
        <v>0</v>
      </c>
    </row>
    <row r="258" spans="2:38" x14ac:dyDescent="0.25">
      <c r="B258" s="192" t="s">
        <v>398</v>
      </c>
      <c r="C258" s="193" t="s">
        <v>274</v>
      </c>
      <c r="D2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194">
        <f t="shared" si="159"/>
        <v>0</v>
      </c>
      <c r="G258" s="194"/>
      <c r="H258" s="194">
        <f t="shared" si="160"/>
        <v>0</v>
      </c>
      <c r="I258" s="194"/>
      <c r="J258" s="194">
        <f t="shared" si="161"/>
        <v>0</v>
      </c>
      <c r="K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194">
        <f t="shared" si="162"/>
        <v>0</v>
      </c>
      <c r="Z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194">
        <f t="shared" si="163"/>
        <v>0</v>
      </c>
      <c r="AD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194">
        <f t="shared" si="164"/>
        <v>0</v>
      </c>
      <c r="AH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194">
        <f t="shared" si="165"/>
        <v>0</v>
      </c>
      <c r="AL258" s="194">
        <f t="shared" si="166"/>
        <v>0</v>
      </c>
    </row>
    <row r="259" spans="2:38" x14ac:dyDescent="0.25">
      <c r="B259" s="192" t="s">
        <v>1042</v>
      </c>
      <c r="C259" s="193" t="s">
        <v>1043</v>
      </c>
      <c r="D25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194">
        <f t="shared" si="159"/>
        <v>0</v>
      </c>
      <c r="G259" s="194"/>
      <c r="H259" s="194">
        <f t="shared" si="160"/>
        <v>0</v>
      </c>
      <c r="I259" s="194"/>
      <c r="J259" s="194">
        <f t="shared" si="161"/>
        <v>0</v>
      </c>
      <c r="K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194">
        <f t="shared" si="162"/>
        <v>0</v>
      </c>
      <c r="Z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194">
        <f t="shared" si="163"/>
        <v>0</v>
      </c>
      <c r="AD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194">
        <f t="shared" si="164"/>
        <v>0</v>
      </c>
      <c r="AH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194">
        <f t="shared" si="165"/>
        <v>0</v>
      </c>
      <c r="AL259" s="194">
        <f t="shared" si="166"/>
        <v>0</v>
      </c>
    </row>
    <row r="260" spans="2:38" x14ac:dyDescent="0.25">
      <c r="B260" s="201" t="s">
        <v>399</v>
      </c>
      <c r="C260" s="202" t="s">
        <v>275</v>
      </c>
      <c r="D260" s="203">
        <f>SUM(D261:D266)</f>
        <v>0</v>
      </c>
      <c r="E260" s="203">
        <f>SUM(E261:E266)</f>
        <v>0</v>
      </c>
      <c r="F260" s="203">
        <f t="shared" si="159"/>
        <v>0</v>
      </c>
      <c r="G260" s="203">
        <f>SUM(G261:G266)</f>
        <v>0</v>
      </c>
      <c r="H260" s="203">
        <f t="shared" si="160"/>
        <v>0</v>
      </c>
      <c r="I260" s="203">
        <f>SUM(I261:I266)</f>
        <v>0</v>
      </c>
      <c r="J260" s="203">
        <f t="shared" si="161"/>
        <v>0</v>
      </c>
      <c r="K260" s="203">
        <f t="shared" ref="K260:X260" si="167">SUM(K261:K266)</f>
        <v>0</v>
      </c>
      <c r="L260" s="203">
        <f t="shared" si="167"/>
        <v>0</v>
      </c>
      <c r="M260" s="203">
        <f t="shared" si="167"/>
        <v>0</v>
      </c>
      <c r="N260" s="203">
        <f t="shared" si="167"/>
        <v>0</v>
      </c>
      <c r="O260" s="203">
        <f t="shared" si="167"/>
        <v>0</v>
      </c>
      <c r="P260" s="203">
        <f t="shared" si="167"/>
        <v>0</v>
      </c>
      <c r="Q260" s="203">
        <f t="shared" si="167"/>
        <v>0</v>
      </c>
      <c r="R260" s="203">
        <f t="shared" si="167"/>
        <v>0</v>
      </c>
      <c r="S260" s="203">
        <f t="shared" si="167"/>
        <v>0</v>
      </c>
      <c r="T260" s="203">
        <f t="shared" si="167"/>
        <v>0</v>
      </c>
      <c r="U260" s="203">
        <f t="shared" si="167"/>
        <v>0</v>
      </c>
      <c r="V260" s="203">
        <f t="shared" si="167"/>
        <v>0</v>
      </c>
      <c r="W260" s="203">
        <f t="shared" si="167"/>
        <v>0</v>
      </c>
      <c r="X260" s="203">
        <f t="shared" si="167"/>
        <v>0</v>
      </c>
      <c r="Y260" s="203">
        <f t="shared" si="162"/>
        <v>0</v>
      </c>
      <c r="Z260" s="203">
        <f>SUM(Z261:Z266)</f>
        <v>0</v>
      </c>
      <c r="AA260" s="203">
        <f>SUM(AA261:AA266)</f>
        <v>0</v>
      </c>
      <c r="AB260" s="203">
        <f>SUM(AB261:AB266)</f>
        <v>0</v>
      </c>
      <c r="AC260" s="203">
        <f t="shared" si="163"/>
        <v>0</v>
      </c>
      <c r="AD260" s="203">
        <f>SUM(AD261:AD266)</f>
        <v>0</v>
      </c>
      <c r="AE260" s="203">
        <f>SUM(AE261:AE266)</f>
        <v>0</v>
      </c>
      <c r="AF260" s="203">
        <f>SUM(AF261:AF266)</f>
        <v>0</v>
      </c>
      <c r="AG260" s="203">
        <f t="shared" si="164"/>
        <v>0</v>
      </c>
      <c r="AH260" s="203">
        <f>SUM(AH261:AH266)</f>
        <v>0</v>
      </c>
      <c r="AI260" s="203">
        <f>SUM(AI261:AI266)</f>
        <v>0</v>
      </c>
      <c r="AJ260" s="203">
        <f>SUM(AJ261:AJ266)</f>
        <v>0</v>
      </c>
      <c r="AK260" s="203">
        <f t="shared" si="165"/>
        <v>0</v>
      </c>
      <c r="AL260" s="203">
        <f t="shared" si="166"/>
        <v>0</v>
      </c>
    </row>
    <row r="261" spans="2:38" x14ac:dyDescent="0.25">
      <c r="B261" s="192" t="s">
        <v>1050</v>
      </c>
      <c r="C261" s="193" t="s">
        <v>1051</v>
      </c>
      <c r="D2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194">
        <f t="shared" si="159"/>
        <v>0</v>
      </c>
      <c r="G261" s="194"/>
      <c r="H261" s="194">
        <f t="shared" si="160"/>
        <v>0</v>
      </c>
      <c r="I261" s="194"/>
      <c r="J261" s="194">
        <f t="shared" si="161"/>
        <v>0</v>
      </c>
      <c r="K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194">
        <f t="shared" si="162"/>
        <v>0</v>
      </c>
      <c r="Z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194">
        <f t="shared" si="163"/>
        <v>0</v>
      </c>
      <c r="AD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194">
        <f t="shared" si="164"/>
        <v>0</v>
      </c>
      <c r="AH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194">
        <f t="shared" si="165"/>
        <v>0</v>
      </c>
      <c r="AL261" s="194">
        <f t="shared" si="166"/>
        <v>0</v>
      </c>
    </row>
    <row r="262" spans="2:38" x14ac:dyDescent="0.25">
      <c r="B262" s="192" t="s">
        <v>1052</v>
      </c>
      <c r="C262" s="193" t="s">
        <v>1053</v>
      </c>
      <c r="D2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194">
        <f t="shared" si="159"/>
        <v>0</v>
      </c>
      <c r="G262" s="194"/>
      <c r="H262" s="194">
        <f t="shared" si="160"/>
        <v>0</v>
      </c>
      <c r="I262" s="194"/>
      <c r="J262" s="194">
        <f t="shared" si="161"/>
        <v>0</v>
      </c>
      <c r="K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194">
        <f t="shared" si="162"/>
        <v>0</v>
      </c>
      <c r="Z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194">
        <f t="shared" si="163"/>
        <v>0</v>
      </c>
      <c r="AD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194">
        <f t="shared" si="164"/>
        <v>0</v>
      </c>
      <c r="AH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194">
        <f t="shared" si="165"/>
        <v>0</v>
      </c>
      <c r="AL262" s="194">
        <f t="shared" si="166"/>
        <v>0</v>
      </c>
    </row>
    <row r="263" spans="2:38" x14ac:dyDescent="0.25">
      <c r="B263" s="192" t="s">
        <v>400</v>
      </c>
      <c r="C263" s="193" t="s">
        <v>276</v>
      </c>
      <c r="D2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194">
        <f t="shared" si="159"/>
        <v>0</v>
      </c>
      <c r="G263" s="194"/>
      <c r="H263" s="194">
        <f t="shared" si="160"/>
        <v>0</v>
      </c>
      <c r="I263" s="194"/>
      <c r="J263" s="194">
        <f t="shared" si="161"/>
        <v>0</v>
      </c>
      <c r="K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194">
        <f t="shared" si="162"/>
        <v>0</v>
      </c>
      <c r="Z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194">
        <f t="shared" si="163"/>
        <v>0</v>
      </c>
      <c r="AD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194">
        <f t="shared" si="164"/>
        <v>0</v>
      </c>
      <c r="AH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194">
        <f t="shared" si="165"/>
        <v>0</v>
      </c>
      <c r="AL263" s="194">
        <f t="shared" si="166"/>
        <v>0</v>
      </c>
    </row>
    <row r="264" spans="2:38" x14ac:dyDescent="0.25">
      <c r="B264" s="192" t="s">
        <v>1054</v>
      </c>
      <c r="C264" s="193" t="s">
        <v>1055</v>
      </c>
      <c r="D2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194">
        <f t="shared" si="159"/>
        <v>0</v>
      </c>
      <c r="G264" s="194"/>
      <c r="H264" s="194">
        <f t="shared" si="160"/>
        <v>0</v>
      </c>
      <c r="I264" s="194"/>
      <c r="J264" s="194">
        <f t="shared" si="161"/>
        <v>0</v>
      </c>
      <c r="K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194">
        <f t="shared" si="162"/>
        <v>0</v>
      </c>
      <c r="Z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194">
        <f t="shared" si="163"/>
        <v>0</v>
      </c>
      <c r="AD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194">
        <f t="shared" si="164"/>
        <v>0</v>
      </c>
      <c r="AH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194">
        <f t="shared" si="165"/>
        <v>0</v>
      </c>
      <c r="AL264" s="194">
        <f t="shared" si="166"/>
        <v>0</v>
      </c>
    </row>
    <row r="265" spans="2:38" x14ac:dyDescent="0.25">
      <c r="B265" s="192" t="s">
        <v>1056</v>
      </c>
      <c r="C265" s="193" t="s">
        <v>1057</v>
      </c>
      <c r="D26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194">
        <f t="shared" si="159"/>
        <v>0</v>
      </c>
      <c r="G265" s="194"/>
      <c r="H265" s="194">
        <f t="shared" si="160"/>
        <v>0</v>
      </c>
      <c r="I265" s="194"/>
      <c r="J265" s="194">
        <f t="shared" si="161"/>
        <v>0</v>
      </c>
      <c r="K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194">
        <f t="shared" si="162"/>
        <v>0</v>
      </c>
      <c r="Z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194">
        <f t="shared" si="163"/>
        <v>0</v>
      </c>
      <c r="AD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194">
        <f t="shared" si="164"/>
        <v>0</v>
      </c>
      <c r="AH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194">
        <f t="shared" si="165"/>
        <v>0</v>
      </c>
      <c r="AL265" s="194">
        <f t="shared" si="166"/>
        <v>0</v>
      </c>
    </row>
    <row r="266" spans="2:38" x14ac:dyDescent="0.25">
      <c r="B266" s="192" t="s">
        <v>1058</v>
      </c>
      <c r="C266" s="193" t="s">
        <v>1059</v>
      </c>
      <c r="D26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194">
        <f t="shared" si="159"/>
        <v>0</v>
      </c>
      <c r="G266" s="194"/>
      <c r="H266" s="194">
        <f t="shared" si="160"/>
        <v>0</v>
      </c>
      <c r="I266" s="194"/>
      <c r="J266" s="194">
        <f t="shared" si="161"/>
        <v>0</v>
      </c>
      <c r="K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194">
        <f t="shared" si="162"/>
        <v>0</v>
      </c>
      <c r="Z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194">
        <f t="shared" si="163"/>
        <v>0</v>
      </c>
      <c r="AD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194">
        <f t="shared" si="164"/>
        <v>0</v>
      </c>
      <c r="AH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194">
        <f t="shared" si="165"/>
        <v>0</v>
      </c>
      <c r="AL266" s="194">
        <f t="shared" si="166"/>
        <v>0</v>
      </c>
    </row>
    <row r="267" spans="2:38" x14ac:dyDescent="0.25">
      <c r="B267" s="201" t="s">
        <v>401</v>
      </c>
      <c r="C267" s="202" t="s">
        <v>277</v>
      </c>
      <c r="D267" s="203">
        <f>SUM(D268:D311)</f>
        <v>0</v>
      </c>
      <c r="E267" s="203">
        <f>SUM(E268:E311)</f>
        <v>250000</v>
      </c>
      <c r="F267" s="203">
        <f t="shared" si="159"/>
        <v>250000</v>
      </c>
      <c r="G267" s="203">
        <f>SUM(G268:G311)</f>
        <v>0</v>
      </c>
      <c r="H267" s="203">
        <f t="shared" si="160"/>
        <v>250000</v>
      </c>
      <c r="I267" s="203">
        <f>SUM(I268:I311)</f>
        <v>0</v>
      </c>
      <c r="J267" s="203">
        <f t="shared" si="161"/>
        <v>250000</v>
      </c>
      <c r="K267" s="203">
        <f t="shared" ref="K267:X267" si="168">SUM(K268:K311)</f>
        <v>0</v>
      </c>
      <c r="L267" s="203">
        <f t="shared" si="168"/>
        <v>0</v>
      </c>
      <c r="M267" s="203">
        <f t="shared" si="168"/>
        <v>0</v>
      </c>
      <c r="N267" s="203">
        <f t="shared" si="168"/>
        <v>90000</v>
      </c>
      <c r="O267" s="203">
        <f t="shared" si="168"/>
        <v>160000</v>
      </c>
      <c r="P267" s="203">
        <f t="shared" si="168"/>
        <v>0</v>
      </c>
      <c r="Q267" s="203">
        <f t="shared" si="168"/>
        <v>0</v>
      </c>
      <c r="R267" s="203">
        <f t="shared" si="168"/>
        <v>0</v>
      </c>
      <c r="S267" s="203">
        <f t="shared" si="168"/>
        <v>0</v>
      </c>
      <c r="T267" s="203">
        <f t="shared" si="168"/>
        <v>0</v>
      </c>
      <c r="U267" s="203">
        <f t="shared" si="168"/>
        <v>0</v>
      </c>
      <c r="V267" s="203">
        <f t="shared" si="168"/>
        <v>90000</v>
      </c>
      <c r="W267" s="203">
        <f t="shared" si="168"/>
        <v>160000</v>
      </c>
      <c r="X267" s="203">
        <f t="shared" si="168"/>
        <v>0</v>
      </c>
      <c r="Y267" s="203">
        <f t="shared" si="162"/>
        <v>250000</v>
      </c>
      <c r="Z267" s="203">
        <f>SUM(Z268:Z311)</f>
        <v>0</v>
      </c>
      <c r="AA267" s="203">
        <f>SUM(AA268:AA311)</f>
        <v>0</v>
      </c>
      <c r="AB267" s="203">
        <f>SUM(AB268:AB311)</f>
        <v>0</v>
      </c>
      <c r="AC267" s="203">
        <f t="shared" si="163"/>
        <v>0</v>
      </c>
      <c r="AD267" s="203">
        <f>SUM(AD268:AD311)</f>
        <v>0</v>
      </c>
      <c r="AE267" s="203">
        <f>SUM(AE268:AE311)</f>
        <v>0</v>
      </c>
      <c r="AF267" s="203">
        <f>SUM(AF268:AF311)</f>
        <v>0</v>
      </c>
      <c r="AG267" s="203">
        <f t="shared" si="164"/>
        <v>0</v>
      </c>
      <c r="AH267" s="203">
        <f>SUM(AH268:AH311)</f>
        <v>0</v>
      </c>
      <c r="AI267" s="203">
        <f>SUM(AI268:AI311)</f>
        <v>0</v>
      </c>
      <c r="AJ267" s="203">
        <f>SUM(AJ268:AJ311)</f>
        <v>0</v>
      </c>
      <c r="AK267" s="203">
        <f t="shared" si="165"/>
        <v>0</v>
      </c>
      <c r="AL267" s="203">
        <f t="shared" si="166"/>
        <v>250000</v>
      </c>
    </row>
    <row r="268" spans="2:38" x14ac:dyDescent="0.25">
      <c r="B268" s="192" t="s">
        <v>1060</v>
      </c>
      <c r="C268" s="193" t="s">
        <v>1061</v>
      </c>
      <c r="D2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160000</v>
      </c>
      <c r="F268" s="194">
        <f t="shared" si="159"/>
        <v>160000</v>
      </c>
      <c r="G268" s="194"/>
      <c r="H268" s="194">
        <f t="shared" si="160"/>
        <v>160000</v>
      </c>
      <c r="I268" s="194"/>
      <c r="J268" s="194">
        <f t="shared" si="161"/>
        <v>160000</v>
      </c>
      <c r="K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160000</v>
      </c>
      <c r="P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160000</v>
      </c>
      <c r="X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194">
        <f t="shared" si="162"/>
        <v>160000</v>
      </c>
      <c r="Z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194">
        <f t="shared" si="163"/>
        <v>0</v>
      </c>
      <c r="AD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194">
        <f t="shared" si="164"/>
        <v>0</v>
      </c>
      <c r="AH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194">
        <f t="shared" si="165"/>
        <v>0</v>
      </c>
      <c r="AL268" s="194">
        <f t="shared" si="166"/>
        <v>160000</v>
      </c>
    </row>
    <row r="269" spans="2:38" x14ac:dyDescent="0.25">
      <c r="B269" s="192" t="s">
        <v>402</v>
      </c>
      <c r="C269" s="193" t="s">
        <v>1062</v>
      </c>
      <c r="D2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194">
        <f t="shared" ref="F269:F300" si="169">D269+E269</f>
        <v>0</v>
      </c>
      <c r="G269" s="194"/>
      <c r="H269" s="194">
        <f t="shared" ref="H269:H300" si="170">F269-G269</f>
        <v>0</v>
      </c>
      <c r="I269" s="194"/>
      <c r="J269" s="194">
        <f t="shared" ref="J269:J300" si="171">F269-I269</f>
        <v>0</v>
      </c>
      <c r="K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194">
        <f t="shared" ref="Y269:Y300" si="172">V269+W269+X269</f>
        <v>0</v>
      </c>
      <c r="Z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194">
        <f t="shared" ref="AC269:AC300" si="173">Z269+AA269+AB269</f>
        <v>0</v>
      </c>
      <c r="AD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194">
        <f t="shared" ref="AG269:AG300" si="174">AD269+AE269+AF269</f>
        <v>0</v>
      </c>
      <c r="AH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194">
        <f t="shared" ref="AK269:AK300" si="175">AH269+AI269+AJ269</f>
        <v>0</v>
      </c>
      <c r="AL269" s="194">
        <f t="shared" ref="AL269:AL300" si="176">Y269+AC269+AG269+AK269</f>
        <v>0</v>
      </c>
    </row>
    <row r="270" spans="2:38" x14ac:dyDescent="0.25">
      <c r="B270" s="192" t="s">
        <v>1063</v>
      </c>
      <c r="C270" s="193" t="s">
        <v>1064</v>
      </c>
      <c r="D2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194">
        <f t="shared" si="169"/>
        <v>0</v>
      </c>
      <c r="G270" s="194"/>
      <c r="H270" s="194">
        <f t="shared" si="170"/>
        <v>0</v>
      </c>
      <c r="I270" s="194"/>
      <c r="J270" s="194">
        <f t="shared" si="171"/>
        <v>0</v>
      </c>
      <c r="K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194">
        <f t="shared" si="172"/>
        <v>0</v>
      </c>
      <c r="Z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194">
        <f t="shared" si="173"/>
        <v>0</v>
      </c>
      <c r="AD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194">
        <f t="shared" si="174"/>
        <v>0</v>
      </c>
      <c r="AH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194">
        <f t="shared" si="175"/>
        <v>0</v>
      </c>
      <c r="AL270" s="194">
        <f t="shared" si="176"/>
        <v>0</v>
      </c>
    </row>
    <row r="271" spans="2:38" x14ac:dyDescent="0.25">
      <c r="B271" s="192" t="s">
        <v>1065</v>
      </c>
      <c r="C271" s="193" t="s">
        <v>1066</v>
      </c>
      <c r="D2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194">
        <f t="shared" si="169"/>
        <v>0</v>
      </c>
      <c r="G271" s="194"/>
      <c r="H271" s="194">
        <f t="shared" si="170"/>
        <v>0</v>
      </c>
      <c r="I271" s="194"/>
      <c r="J271" s="194">
        <f t="shared" si="171"/>
        <v>0</v>
      </c>
      <c r="K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194">
        <f t="shared" si="172"/>
        <v>0</v>
      </c>
      <c r="Z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194">
        <f t="shared" si="173"/>
        <v>0</v>
      </c>
      <c r="AD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194">
        <f t="shared" si="174"/>
        <v>0</v>
      </c>
      <c r="AH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194">
        <f t="shared" si="175"/>
        <v>0</v>
      </c>
      <c r="AL271" s="194">
        <f t="shared" si="176"/>
        <v>0</v>
      </c>
    </row>
    <row r="272" spans="2:38" x14ac:dyDescent="0.25">
      <c r="B272" s="192" t="s">
        <v>1067</v>
      </c>
      <c r="C272" s="193" t="s">
        <v>1068</v>
      </c>
      <c r="D2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194">
        <f t="shared" si="169"/>
        <v>0</v>
      </c>
      <c r="G272" s="194"/>
      <c r="H272" s="194">
        <f t="shared" si="170"/>
        <v>0</v>
      </c>
      <c r="I272" s="194"/>
      <c r="J272" s="194">
        <f t="shared" si="171"/>
        <v>0</v>
      </c>
      <c r="K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194">
        <f t="shared" si="172"/>
        <v>0</v>
      </c>
      <c r="Z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194">
        <f t="shared" si="173"/>
        <v>0</v>
      </c>
      <c r="AD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194">
        <f t="shared" si="174"/>
        <v>0</v>
      </c>
      <c r="AH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194">
        <f t="shared" si="175"/>
        <v>0</v>
      </c>
      <c r="AL272" s="194">
        <f t="shared" si="176"/>
        <v>0</v>
      </c>
    </row>
    <row r="273" spans="2:38" x14ac:dyDescent="0.25">
      <c r="B273" s="192" t="s">
        <v>1069</v>
      </c>
      <c r="C273" s="193" t="s">
        <v>1070</v>
      </c>
      <c r="D27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194">
        <f t="shared" si="169"/>
        <v>0</v>
      </c>
      <c r="G273" s="194"/>
      <c r="H273" s="194">
        <f t="shared" si="170"/>
        <v>0</v>
      </c>
      <c r="I273" s="194"/>
      <c r="J273" s="194">
        <f t="shared" si="171"/>
        <v>0</v>
      </c>
      <c r="K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194">
        <f t="shared" si="172"/>
        <v>0</v>
      </c>
      <c r="Z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194">
        <f t="shared" si="173"/>
        <v>0</v>
      </c>
      <c r="AD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194">
        <f t="shared" si="174"/>
        <v>0</v>
      </c>
      <c r="AH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194">
        <f t="shared" si="175"/>
        <v>0</v>
      </c>
      <c r="AL273" s="194">
        <f t="shared" si="176"/>
        <v>0</v>
      </c>
    </row>
    <row r="274" spans="2:38" x14ac:dyDescent="0.25">
      <c r="B274" s="192" t="s">
        <v>1071</v>
      </c>
      <c r="C274" s="193" t="s">
        <v>1072</v>
      </c>
      <c r="D2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194">
        <f t="shared" si="169"/>
        <v>0</v>
      </c>
      <c r="G274" s="194"/>
      <c r="H274" s="194">
        <f t="shared" si="170"/>
        <v>0</v>
      </c>
      <c r="I274" s="194"/>
      <c r="J274" s="194">
        <f t="shared" si="171"/>
        <v>0</v>
      </c>
      <c r="K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194">
        <f t="shared" si="172"/>
        <v>0</v>
      </c>
      <c r="Z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194">
        <f t="shared" si="173"/>
        <v>0</v>
      </c>
      <c r="AD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194">
        <f t="shared" si="174"/>
        <v>0</v>
      </c>
      <c r="AH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194">
        <f t="shared" si="175"/>
        <v>0</v>
      </c>
      <c r="AL274" s="194">
        <f t="shared" si="176"/>
        <v>0</v>
      </c>
    </row>
    <row r="275" spans="2:38" x14ac:dyDescent="0.25">
      <c r="B275" s="192" t="s">
        <v>1073</v>
      </c>
      <c r="C275" s="193" t="s">
        <v>1074</v>
      </c>
      <c r="D27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5" s="194">
        <f t="shared" si="169"/>
        <v>0</v>
      </c>
      <c r="G275" s="194"/>
      <c r="H275" s="194">
        <f t="shared" si="170"/>
        <v>0</v>
      </c>
      <c r="I275" s="194"/>
      <c r="J275" s="194">
        <f t="shared" si="171"/>
        <v>0</v>
      </c>
      <c r="K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194">
        <f t="shared" si="172"/>
        <v>0</v>
      </c>
      <c r="Z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194">
        <f t="shared" si="173"/>
        <v>0</v>
      </c>
      <c r="AD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194">
        <f t="shared" si="174"/>
        <v>0</v>
      </c>
      <c r="AH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194">
        <f t="shared" si="175"/>
        <v>0</v>
      </c>
      <c r="AL275" s="194">
        <f t="shared" si="176"/>
        <v>0</v>
      </c>
    </row>
    <row r="276" spans="2:38" x14ac:dyDescent="0.25">
      <c r="B276" s="192" t="s">
        <v>403</v>
      </c>
      <c r="C276" s="193" t="s">
        <v>1075</v>
      </c>
      <c r="D2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6" s="194">
        <f t="shared" si="169"/>
        <v>0</v>
      </c>
      <c r="G276" s="194"/>
      <c r="H276" s="194">
        <f t="shared" si="170"/>
        <v>0</v>
      </c>
      <c r="I276" s="194"/>
      <c r="J276" s="194">
        <f t="shared" si="171"/>
        <v>0</v>
      </c>
      <c r="K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194">
        <f t="shared" si="172"/>
        <v>0</v>
      </c>
      <c r="Z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194">
        <f t="shared" si="173"/>
        <v>0</v>
      </c>
      <c r="AD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194">
        <f t="shared" si="174"/>
        <v>0</v>
      </c>
      <c r="AH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194">
        <f t="shared" si="175"/>
        <v>0</v>
      </c>
      <c r="AL276" s="194">
        <f t="shared" si="176"/>
        <v>0</v>
      </c>
    </row>
    <row r="277" spans="2:38" x14ac:dyDescent="0.25">
      <c r="B277" s="192" t="s">
        <v>1076</v>
      </c>
      <c r="C277" s="193" t="s">
        <v>1077</v>
      </c>
      <c r="D2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90000</v>
      </c>
      <c r="F277" s="194">
        <f t="shared" si="169"/>
        <v>90000</v>
      </c>
      <c r="G277" s="194"/>
      <c r="H277" s="194">
        <f t="shared" si="170"/>
        <v>90000</v>
      </c>
      <c r="I277" s="194"/>
      <c r="J277" s="194">
        <f t="shared" si="171"/>
        <v>90000</v>
      </c>
      <c r="K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90000</v>
      </c>
      <c r="O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90000</v>
      </c>
      <c r="W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194">
        <f t="shared" si="172"/>
        <v>90000</v>
      </c>
      <c r="Z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194">
        <f t="shared" si="173"/>
        <v>0</v>
      </c>
      <c r="AD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194">
        <f t="shared" si="174"/>
        <v>0</v>
      </c>
      <c r="AH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194">
        <f t="shared" si="175"/>
        <v>0</v>
      </c>
      <c r="AL277" s="194">
        <f t="shared" si="176"/>
        <v>90000</v>
      </c>
    </row>
    <row r="278" spans="2:38" x14ac:dyDescent="0.25">
      <c r="B278" s="192" t="s">
        <v>1078</v>
      </c>
      <c r="C278" s="193" t="s">
        <v>1079</v>
      </c>
      <c r="D27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8" s="194">
        <f t="shared" si="169"/>
        <v>0</v>
      </c>
      <c r="G278" s="194"/>
      <c r="H278" s="194">
        <f t="shared" si="170"/>
        <v>0</v>
      </c>
      <c r="I278" s="194"/>
      <c r="J278" s="194">
        <f t="shared" si="171"/>
        <v>0</v>
      </c>
      <c r="K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194">
        <f t="shared" si="172"/>
        <v>0</v>
      </c>
      <c r="Z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194">
        <f t="shared" si="173"/>
        <v>0</v>
      </c>
      <c r="AD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194">
        <f t="shared" si="174"/>
        <v>0</v>
      </c>
      <c r="AH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194">
        <f t="shared" si="175"/>
        <v>0</v>
      </c>
      <c r="AL278" s="194">
        <f t="shared" si="176"/>
        <v>0</v>
      </c>
    </row>
    <row r="279" spans="2:38" x14ac:dyDescent="0.25">
      <c r="B279" s="192" t="s">
        <v>1080</v>
      </c>
      <c r="C279" s="193" t="s">
        <v>1081</v>
      </c>
      <c r="D2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194">
        <f t="shared" si="169"/>
        <v>0</v>
      </c>
      <c r="G279" s="194"/>
      <c r="H279" s="194">
        <f t="shared" si="170"/>
        <v>0</v>
      </c>
      <c r="I279" s="194"/>
      <c r="J279" s="194">
        <f t="shared" si="171"/>
        <v>0</v>
      </c>
      <c r="K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194">
        <f t="shared" si="172"/>
        <v>0</v>
      </c>
      <c r="Z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194">
        <f t="shared" si="173"/>
        <v>0</v>
      </c>
      <c r="AD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194">
        <f t="shared" si="174"/>
        <v>0</v>
      </c>
      <c r="AH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194">
        <f t="shared" si="175"/>
        <v>0</v>
      </c>
      <c r="AL279" s="194">
        <f t="shared" si="176"/>
        <v>0</v>
      </c>
    </row>
    <row r="280" spans="2:38" x14ac:dyDescent="0.25">
      <c r="B280" s="192" t="s">
        <v>1082</v>
      </c>
      <c r="C280" s="193" t="s">
        <v>1083</v>
      </c>
      <c r="D2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194">
        <f t="shared" si="169"/>
        <v>0</v>
      </c>
      <c r="G280" s="194"/>
      <c r="H280" s="194">
        <f t="shared" si="170"/>
        <v>0</v>
      </c>
      <c r="I280" s="194"/>
      <c r="J280" s="194">
        <f t="shared" si="171"/>
        <v>0</v>
      </c>
      <c r="K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194">
        <f t="shared" si="172"/>
        <v>0</v>
      </c>
      <c r="Z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194">
        <f t="shared" si="173"/>
        <v>0</v>
      </c>
      <c r="AD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194">
        <f t="shared" si="174"/>
        <v>0</v>
      </c>
      <c r="AH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194">
        <f t="shared" si="175"/>
        <v>0</v>
      </c>
      <c r="AL280" s="194">
        <f t="shared" si="176"/>
        <v>0</v>
      </c>
    </row>
    <row r="281" spans="2:38" x14ac:dyDescent="0.25">
      <c r="B281" s="192" t="s">
        <v>1084</v>
      </c>
      <c r="C281" s="193" t="s">
        <v>1085</v>
      </c>
      <c r="D28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1" s="194">
        <f t="shared" si="169"/>
        <v>0</v>
      </c>
      <c r="G281" s="194"/>
      <c r="H281" s="194">
        <f t="shared" si="170"/>
        <v>0</v>
      </c>
      <c r="I281" s="194"/>
      <c r="J281" s="194">
        <f t="shared" si="171"/>
        <v>0</v>
      </c>
      <c r="K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194">
        <f t="shared" si="172"/>
        <v>0</v>
      </c>
      <c r="Z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194">
        <f t="shared" si="173"/>
        <v>0</v>
      </c>
      <c r="AD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194">
        <f t="shared" si="174"/>
        <v>0</v>
      </c>
      <c r="AH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194">
        <f t="shared" si="175"/>
        <v>0</v>
      </c>
      <c r="AL281" s="194">
        <f t="shared" si="176"/>
        <v>0</v>
      </c>
    </row>
    <row r="282" spans="2:38" x14ac:dyDescent="0.25">
      <c r="B282" s="192" t="s">
        <v>1086</v>
      </c>
      <c r="C282" s="193" t="s">
        <v>1087</v>
      </c>
      <c r="D2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194">
        <f t="shared" si="169"/>
        <v>0</v>
      </c>
      <c r="G282" s="194"/>
      <c r="H282" s="194">
        <f t="shared" si="170"/>
        <v>0</v>
      </c>
      <c r="I282" s="194"/>
      <c r="J282" s="194">
        <f t="shared" si="171"/>
        <v>0</v>
      </c>
      <c r="K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194">
        <f t="shared" si="172"/>
        <v>0</v>
      </c>
      <c r="Z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194">
        <f t="shared" si="173"/>
        <v>0</v>
      </c>
      <c r="AD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194">
        <f t="shared" si="174"/>
        <v>0</v>
      </c>
      <c r="AH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194">
        <f t="shared" si="175"/>
        <v>0</v>
      </c>
      <c r="AL282" s="194">
        <f t="shared" si="176"/>
        <v>0</v>
      </c>
    </row>
    <row r="283" spans="2:38" x14ac:dyDescent="0.25">
      <c r="B283" s="192" t="s">
        <v>1088</v>
      </c>
      <c r="C283" s="193" t="s">
        <v>1089</v>
      </c>
      <c r="D28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194">
        <f t="shared" si="169"/>
        <v>0</v>
      </c>
      <c r="G283" s="194"/>
      <c r="H283" s="194">
        <f t="shared" si="170"/>
        <v>0</v>
      </c>
      <c r="I283" s="194"/>
      <c r="J283" s="194">
        <f t="shared" si="171"/>
        <v>0</v>
      </c>
      <c r="K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194">
        <f t="shared" si="172"/>
        <v>0</v>
      </c>
      <c r="Z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194">
        <f t="shared" si="173"/>
        <v>0</v>
      </c>
      <c r="AD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194">
        <f t="shared" si="174"/>
        <v>0</v>
      </c>
      <c r="AH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194">
        <f t="shared" si="175"/>
        <v>0</v>
      </c>
      <c r="AL283" s="194">
        <f t="shared" si="176"/>
        <v>0</v>
      </c>
    </row>
    <row r="284" spans="2:38" x14ac:dyDescent="0.25">
      <c r="B284" s="192" t="s">
        <v>1090</v>
      </c>
      <c r="C284" s="193" t="s">
        <v>1091</v>
      </c>
      <c r="D28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194">
        <f t="shared" si="169"/>
        <v>0</v>
      </c>
      <c r="G284" s="194"/>
      <c r="H284" s="194">
        <f t="shared" si="170"/>
        <v>0</v>
      </c>
      <c r="I284" s="194"/>
      <c r="J284" s="194">
        <f t="shared" si="171"/>
        <v>0</v>
      </c>
      <c r="K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194">
        <f t="shared" si="172"/>
        <v>0</v>
      </c>
      <c r="Z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194">
        <f t="shared" si="173"/>
        <v>0</v>
      </c>
      <c r="AD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194">
        <f t="shared" si="174"/>
        <v>0</v>
      </c>
      <c r="AH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194">
        <f t="shared" si="175"/>
        <v>0</v>
      </c>
      <c r="AL284" s="194">
        <f t="shared" si="176"/>
        <v>0</v>
      </c>
    </row>
    <row r="285" spans="2:38" x14ac:dyDescent="0.25">
      <c r="B285" s="192" t="s">
        <v>404</v>
      </c>
      <c r="C285" s="193" t="s">
        <v>1092</v>
      </c>
      <c r="D28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194">
        <f t="shared" si="169"/>
        <v>0</v>
      </c>
      <c r="G285" s="194"/>
      <c r="H285" s="194">
        <f t="shared" si="170"/>
        <v>0</v>
      </c>
      <c r="I285" s="194"/>
      <c r="J285" s="194">
        <f t="shared" si="171"/>
        <v>0</v>
      </c>
      <c r="K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194">
        <f t="shared" si="172"/>
        <v>0</v>
      </c>
      <c r="Z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194">
        <f t="shared" si="173"/>
        <v>0</v>
      </c>
      <c r="AD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194">
        <f t="shared" si="174"/>
        <v>0</v>
      </c>
      <c r="AH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194">
        <f t="shared" si="175"/>
        <v>0</v>
      </c>
      <c r="AL285" s="194">
        <f t="shared" si="176"/>
        <v>0</v>
      </c>
    </row>
    <row r="286" spans="2:38" x14ac:dyDescent="0.25">
      <c r="B286" s="192" t="s">
        <v>1093</v>
      </c>
      <c r="C286" s="193" t="s">
        <v>1094</v>
      </c>
      <c r="D28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194">
        <f t="shared" si="169"/>
        <v>0</v>
      </c>
      <c r="G286" s="194"/>
      <c r="H286" s="194">
        <f t="shared" si="170"/>
        <v>0</v>
      </c>
      <c r="I286" s="194"/>
      <c r="J286" s="194">
        <f t="shared" si="171"/>
        <v>0</v>
      </c>
      <c r="K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194">
        <f t="shared" si="172"/>
        <v>0</v>
      </c>
      <c r="Z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194">
        <f t="shared" si="173"/>
        <v>0</v>
      </c>
      <c r="AD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194">
        <f t="shared" si="174"/>
        <v>0</v>
      </c>
      <c r="AH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194">
        <f t="shared" si="175"/>
        <v>0</v>
      </c>
      <c r="AL286" s="194">
        <f t="shared" si="176"/>
        <v>0</v>
      </c>
    </row>
    <row r="287" spans="2:38" x14ac:dyDescent="0.25">
      <c r="B287" s="192" t="s">
        <v>1095</v>
      </c>
      <c r="C287" s="193" t="s">
        <v>1096</v>
      </c>
      <c r="D28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194">
        <f t="shared" si="169"/>
        <v>0</v>
      </c>
      <c r="G287" s="194"/>
      <c r="H287" s="194">
        <f t="shared" si="170"/>
        <v>0</v>
      </c>
      <c r="I287" s="194"/>
      <c r="J287" s="194">
        <f t="shared" si="171"/>
        <v>0</v>
      </c>
      <c r="K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194">
        <f t="shared" si="172"/>
        <v>0</v>
      </c>
      <c r="Z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194">
        <f t="shared" si="173"/>
        <v>0</v>
      </c>
      <c r="AD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194">
        <f t="shared" si="174"/>
        <v>0</v>
      </c>
      <c r="AH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194">
        <f t="shared" si="175"/>
        <v>0</v>
      </c>
      <c r="AL287" s="194">
        <f t="shared" si="176"/>
        <v>0</v>
      </c>
    </row>
    <row r="288" spans="2:38" x14ac:dyDescent="0.25">
      <c r="B288" s="192" t="s">
        <v>1097</v>
      </c>
      <c r="C288" s="193" t="s">
        <v>1098</v>
      </c>
      <c r="D28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194">
        <f t="shared" si="169"/>
        <v>0</v>
      </c>
      <c r="G288" s="194"/>
      <c r="H288" s="194">
        <f t="shared" si="170"/>
        <v>0</v>
      </c>
      <c r="I288" s="194"/>
      <c r="J288" s="194">
        <f t="shared" si="171"/>
        <v>0</v>
      </c>
      <c r="K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194">
        <f t="shared" si="172"/>
        <v>0</v>
      </c>
      <c r="Z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194">
        <f t="shared" si="173"/>
        <v>0</v>
      </c>
      <c r="AD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194">
        <f t="shared" si="174"/>
        <v>0</v>
      </c>
      <c r="AH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194">
        <f t="shared" si="175"/>
        <v>0</v>
      </c>
      <c r="AL288" s="194">
        <f t="shared" si="176"/>
        <v>0</v>
      </c>
    </row>
    <row r="289" spans="2:38" x14ac:dyDescent="0.25">
      <c r="B289" s="192" t="s">
        <v>1099</v>
      </c>
      <c r="C289" s="193" t="s">
        <v>1092</v>
      </c>
      <c r="D28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194">
        <f t="shared" si="169"/>
        <v>0</v>
      </c>
      <c r="G289" s="194"/>
      <c r="H289" s="194">
        <f t="shared" si="170"/>
        <v>0</v>
      </c>
      <c r="I289" s="194"/>
      <c r="J289" s="194">
        <f t="shared" si="171"/>
        <v>0</v>
      </c>
      <c r="K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194">
        <f t="shared" si="172"/>
        <v>0</v>
      </c>
      <c r="Z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194">
        <f t="shared" si="173"/>
        <v>0</v>
      </c>
      <c r="AD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194">
        <f t="shared" si="174"/>
        <v>0</v>
      </c>
      <c r="AH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194">
        <f t="shared" si="175"/>
        <v>0</v>
      </c>
      <c r="AL289" s="194">
        <f t="shared" si="176"/>
        <v>0</v>
      </c>
    </row>
    <row r="290" spans="2:38" x14ac:dyDescent="0.25">
      <c r="B290" s="192" t="s">
        <v>1100</v>
      </c>
      <c r="C290" s="193" t="s">
        <v>1101</v>
      </c>
      <c r="D29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194">
        <f t="shared" si="169"/>
        <v>0</v>
      </c>
      <c r="G290" s="194"/>
      <c r="H290" s="194">
        <f t="shared" si="170"/>
        <v>0</v>
      </c>
      <c r="I290" s="194"/>
      <c r="J290" s="194">
        <f t="shared" si="171"/>
        <v>0</v>
      </c>
      <c r="K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194">
        <f t="shared" si="172"/>
        <v>0</v>
      </c>
      <c r="Z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194">
        <f t="shared" si="173"/>
        <v>0</v>
      </c>
      <c r="AD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194">
        <f t="shared" si="174"/>
        <v>0</v>
      </c>
      <c r="AH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194">
        <f t="shared" si="175"/>
        <v>0</v>
      </c>
      <c r="AL290" s="194">
        <f t="shared" si="176"/>
        <v>0</v>
      </c>
    </row>
    <row r="291" spans="2:38" x14ac:dyDescent="0.25">
      <c r="B291" s="192" t="s">
        <v>1102</v>
      </c>
      <c r="C291" s="193" t="s">
        <v>1103</v>
      </c>
      <c r="D29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194">
        <f t="shared" si="169"/>
        <v>0</v>
      </c>
      <c r="G291" s="194"/>
      <c r="H291" s="194">
        <f t="shared" si="170"/>
        <v>0</v>
      </c>
      <c r="I291" s="194"/>
      <c r="J291" s="194">
        <f t="shared" si="171"/>
        <v>0</v>
      </c>
      <c r="K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194">
        <f t="shared" si="172"/>
        <v>0</v>
      </c>
      <c r="Z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194">
        <f t="shared" si="173"/>
        <v>0</v>
      </c>
      <c r="AD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194">
        <f t="shared" si="174"/>
        <v>0</v>
      </c>
      <c r="AH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194">
        <f t="shared" si="175"/>
        <v>0</v>
      </c>
      <c r="AL291" s="194">
        <f t="shared" si="176"/>
        <v>0</v>
      </c>
    </row>
    <row r="292" spans="2:38" x14ac:dyDescent="0.25">
      <c r="B292" s="192" t="s">
        <v>1104</v>
      </c>
      <c r="C292" s="193" t="s">
        <v>1105</v>
      </c>
      <c r="D29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194">
        <f t="shared" si="169"/>
        <v>0</v>
      </c>
      <c r="G292" s="194"/>
      <c r="H292" s="194">
        <f t="shared" si="170"/>
        <v>0</v>
      </c>
      <c r="I292" s="194"/>
      <c r="J292" s="194">
        <f t="shared" si="171"/>
        <v>0</v>
      </c>
      <c r="K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194">
        <f t="shared" si="172"/>
        <v>0</v>
      </c>
      <c r="Z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194">
        <f t="shared" si="173"/>
        <v>0</v>
      </c>
      <c r="AD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194">
        <f t="shared" si="174"/>
        <v>0</v>
      </c>
      <c r="AH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194">
        <f t="shared" si="175"/>
        <v>0</v>
      </c>
      <c r="AL292" s="194">
        <f t="shared" si="176"/>
        <v>0</v>
      </c>
    </row>
    <row r="293" spans="2:38" x14ac:dyDescent="0.25">
      <c r="B293" s="192" t="s">
        <v>1106</v>
      </c>
      <c r="C293" s="193" t="s">
        <v>1107</v>
      </c>
      <c r="D29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194">
        <f t="shared" si="169"/>
        <v>0</v>
      </c>
      <c r="G293" s="194"/>
      <c r="H293" s="194">
        <f t="shared" si="170"/>
        <v>0</v>
      </c>
      <c r="I293" s="194"/>
      <c r="J293" s="194">
        <f t="shared" si="171"/>
        <v>0</v>
      </c>
      <c r="K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194">
        <f t="shared" si="172"/>
        <v>0</v>
      </c>
      <c r="Z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194">
        <f t="shared" si="173"/>
        <v>0</v>
      </c>
      <c r="AD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194">
        <f t="shared" si="174"/>
        <v>0</v>
      </c>
      <c r="AH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194">
        <f t="shared" si="175"/>
        <v>0</v>
      </c>
      <c r="AL293" s="194">
        <f t="shared" si="176"/>
        <v>0</v>
      </c>
    </row>
    <row r="294" spans="2:38" x14ac:dyDescent="0.25">
      <c r="B294" s="192" t="s">
        <v>1108</v>
      </c>
      <c r="C294" s="193" t="s">
        <v>1109</v>
      </c>
      <c r="D29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194">
        <f t="shared" si="169"/>
        <v>0</v>
      </c>
      <c r="G294" s="194"/>
      <c r="H294" s="194">
        <f t="shared" si="170"/>
        <v>0</v>
      </c>
      <c r="I294" s="194"/>
      <c r="J294" s="194">
        <f t="shared" si="171"/>
        <v>0</v>
      </c>
      <c r="K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194">
        <f t="shared" si="172"/>
        <v>0</v>
      </c>
      <c r="Z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194">
        <f t="shared" si="173"/>
        <v>0</v>
      </c>
      <c r="AD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194">
        <f t="shared" si="174"/>
        <v>0</v>
      </c>
      <c r="AH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194">
        <f t="shared" si="175"/>
        <v>0</v>
      </c>
      <c r="AL294" s="194">
        <f t="shared" si="176"/>
        <v>0</v>
      </c>
    </row>
    <row r="295" spans="2:38" x14ac:dyDescent="0.25">
      <c r="B295" s="192" t="s">
        <v>1110</v>
      </c>
      <c r="C295" s="193" t="s">
        <v>1111</v>
      </c>
      <c r="D29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194">
        <f t="shared" si="169"/>
        <v>0</v>
      </c>
      <c r="G295" s="194"/>
      <c r="H295" s="194">
        <f t="shared" si="170"/>
        <v>0</v>
      </c>
      <c r="I295" s="194"/>
      <c r="J295" s="194">
        <f t="shared" si="171"/>
        <v>0</v>
      </c>
      <c r="K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194">
        <f t="shared" si="172"/>
        <v>0</v>
      </c>
      <c r="Z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194">
        <f t="shared" si="173"/>
        <v>0</v>
      </c>
      <c r="AD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194">
        <f t="shared" si="174"/>
        <v>0</v>
      </c>
      <c r="AH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194">
        <f t="shared" si="175"/>
        <v>0</v>
      </c>
      <c r="AL295" s="194">
        <f t="shared" si="176"/>
        <v>0</v>
      </c>
    </row>
    <row r="296" spans="2:38" x14ac:dyDescent="0.25">
      <c r="B296" s="192" t="s">
        <v>1112</v>
      </c>
      <c r="C296" s="193" t="s">
        <v>1113</v>
      </c>
      <c r="D29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194">
        <f t="shared" si="169"/>
        <v>0</v>
      </c>
      <c r="G296" s="194"/>
      <c r="H296" s="194">
        <f t="shared" si="170"/>
        <v>0</v>
      </c>
      <c r="I296" s="194"/>
      <c r="J296" s="194">
        <f t="shared" si="171"/>
        <v>0</v>
      </c>
      <c r="K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194">
        <f t="shared" si="172"/>
        <v>0</v>
      </c>
      <c r="Z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194">
        <f t="shared" si="173"/>
        <v>0</v>
      </c>
      <c r="AD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194">
        <f t="shared" si="174"/>
        <v>0</v>
      </c>
      <c r="AH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194">
        <f t="shared" si="175"/>
        <v>0</v>
      </c>
      <c r="AL296" s="194">
        <f t="shared" si="176"/>
        <v>0</v>
      </c>
    </row>
    <row r="297" spans="2:38" x14ac:dyDescent="0.25">
      <c r="B297" s="192" t="s">
        <v>1114</v>
      </c>
      <c r="C297" s="193" t="s">
        <v>1115</v>
      </c>
      <c r="D29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194">
        <f t="shared" si="169"/>
        <v>0</v>
      </c>
      <c r="G297" s="194"/>
      <c r="H297" s="194">
        <f t="shared" si="170"/>
        <v>0</v>
      </c>
      <c r="I297" s="194"/>
      <c r="J297" s="194">
        <f t="shared" si="171"/>
        <v>0</v>
      </c>
      <c r="K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194">
        <f t="shared" si="172"/>
        <v>0</v>
      </c>
      <c r="Z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194">
        <f t="shared" si="173"/>
        <v>0</v>
      </c>
      <c r="AD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194">
        <f t="shared" si="174"/>
        <v>0</v>
      </c>
      <c r="AH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194">
        <f t="shared" si="175"/>
        <v>0</v>
      </c>
      <c r="AL297" s="194">
        <f t="shared" si="176"/>
        <v>0</v>
      </c>
    </row>
    <row r="298" spans="2:38" x14ac:dyDescent="0.25">
      <c r="B298" s="192" t="s">
        <v>1116</v>
      </c>
      <c r="C298" s="193" t="s">
        <v>1117</v>
      </c>
      <c r="D29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194">
        <f t="shared" si="169"/>
        <v>0</v>
      </c>
      <c r="G298" s="194"/>
      <c r="H298" s="194">
        <f t="shared" si="170"/>
        <v>0</v>
      </c>
      <c r="I298" s="194"/>
      <c r="J298" s="194">
        <f t="shared" si="171"/>
        <v>0</v>
      </c>
      <c r="K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194">
        <f t="shared" si="172"/>
        <v>0</v>
      </c>
      <c r="Z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194">
        <f t="shared" si="173"/>
        <v>0</v>
      </c>
      <c r="AD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194">
        <f t="shared" si="174"/>
        <v>0</v>
      </c>
      <c r="AH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194">
        <f t="shared" si="175"/>
        <v>0</v>
      </c>
      <c r="AL298" s="194">
        <f t="shared" si="176"/>
        <v>0</v>
      </c>
    </row>
    <row r="299" spans="2:38" x14ac:dyDescent="0.25">
      <c r="B299" s="192" t="s">
        <v>1118</v>
      </c>
      <c r="C299" s="193" t="s">
        <v>1119</v>
      </c>
      <c r="D29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9" s="194">
        <f t="shared" si="169"/>
        <v>0</v>
      </c>
      <c r="G299" s="194"/>
      <c r="H299" s="194">
        <f t="shared" si="170"/>
        <v>0</v>
      </c>
      <c r="I299" s="194"/>
      <c r="J299" s="194">
        <f t="shared" si="171"/>
        <v>0</v>
      </c>
      <c r="K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194">
        <f t="shared" si="172"/>
        <v>0</v>
      </c>
      <c r="Z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194">
        <f t="shared" si="173"/>
        <v>0</v>
      </c>
      <c r="AD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194">
        <f t="shared" si="174"/>
        <v>0</v>
      </c>
      <c r="AH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194">
        <f t="shared" si="175"/>
        <v>0</v>
      </c>
      <c r="AL299" s="194">
        <f t="shared" si="176"/>
        <v>0</v>
      </c>
    </row>
    <row r="300" spans="2:38" x14ac:dyDescent="0.25">
      <c r="B300" s="192" t="s">
        <v>1120</v>
      </c>
      <c r="C300" s="193" t="s">
        <v>1121</v>
      </c>
      <c r="D30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194">
        <f t="shared" si="169"/>
        <v>0</v>
      </c>
      <c r="G300" s="194"/>
      <c r="H300" s="194">
        <f t="shared" si="170"/>
        <v>0</v>
      </c>
      <c r="I300" s="194"/>
      <c r="J300" s="194">
        <f t="shared" si="171"/>
        <v>0</v>
      </c>
      <c r="K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194">
        <f t="shared" si="172"/>
        <v>0</v>
      </c>
      <c r="Z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194">
        <f t="shared" si="173"/>
        <v>0</v>
      </c>
      <c r="AD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194">
        <f t="shared" si="174"/>
        <v>0</v>
      </c>
      <c r="AH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194">
        <f t="shared" si="175"/>
        <v>0</v>
      </c>
      <c r="AL300" s="194">
        <f t="shared" si="176"/>
        <v>0</v>
      </c>
    </row>
    <row r="301" spans="2:38" x14ac:dyDescent="0.25">
      <c r="B301" s="192" t="s">
        <v>1122</v>
      </c>
      <c r="C301" s="193" t="s">
        <v>1123</v>
      </c>
      <c r="D30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1" s="194">
        <f t="shared" ref="F301:F332" si="177">D301+E301</f>
        <v>0</v>
      </c>
      <c r="G301" s="194"/>
      <c r="H301" s="194">
        <f t="shared" ref="H301:H332" si="178">F301-G301</f>
        <v>0</v>
      </c>
      <c r="I301" s="194"/>
      <c r="J301" s="194">
        <f t="shared" ref="J301:J332" si="179">F301-I301</f>
        <v>0</v>
      </c>
      <c r="K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194">
        <f t="shared" ref="Y301:Y332" si="180">V301+W301+X301</f>
        <v>0</v>
      </c>
      <c r="Z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194">
        <f t="shared" ref="AC301:AC332" si="181">Z301+AA301+AB301</f>
        <v>0</v>
      </c>
      <c r="AD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194">
        <f t="shared" ref="AG301:AG332" si="182">AD301+AE301+AF301</f>
        <v>0</v>
      </c>
      <c r="AH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194">
        <f t="shared" ref="AK301:AK332" si="183">AH301+AI301+AJ301</f>
        <v>0</v>
      </c>
      <c r="AL301" s="194">
        <f t="shared" ref="AL301:AL332" si="184">Y301+AC301+AG301+AK301</f>
        <v>0</v>
      </c>
    </row>
    <row r="302" spans="2:38" x14ac:dyDescent="0.25">
      <c r="B302" s="192" t="s">
        <v>1124</v>
      </c>
      <c r="C302" s="193" t="s">
        <v>1125</v>
      </c>
      <c r="D30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194">
        <f t="shared" si="177"/>
        <v>0</v>
      </c>
      <c r="G302" s="194"/>
      <c r="H302" s="194">
        <f t="shared" si="178"/>
        <v>0</v>
      </c>
      <c r="I302" s="194"/>
      <c r="J302" s="194">
        <f t="shared" si="179"/>
        <v>0</v>
      </c>
      <c r="K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194">
        <f t="shared" si="180"/>
        <v>0</v>
      </c>
      <c r="Z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194">
        <f t="shared" si="181"/>
        <v>0</v>
      </c>
      <c r="AD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194">
        <f t="shared" si="182"/>
        <v>0</v>
      </c>
      <c r="AH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194">
        <f t="shared" si="183"/>
        <v>0</v>
      </c>
      <c r="AL302" s="194">
        <f t="shared" si="184"/>
        <v>0</v>
      </c>
    </row>
    <row r="303" spans="2:38" x14ac:dyDescent="0.25">
      <c r="B303" s="192" t="s">
        <v>1126</v>
      </c>
      <c r="C303" s="193" t="s">
        <v>1127</v>
      </c>
      <c r="D30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194">
        <f t="shared" si="177"/>
        <v>0</v>
      </c>
      <c r="G303" s="194"/>
      <c r="H303" s="194">
        <f t="shared" si="178"/>
        <v>0</v>
      </c>
      <c r="I303" s="194"/>
      <c r="J303" s="194">
        <f t="shared" si="179"/>
        <v>0</v>
      </c>
      <c r="K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194">
        <f t="shared" si="180"/>
        <v>0</v>
      </c>
      <c r="Z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194">
        <f t="shared" si="181"/>
        <v>0</v>
      </c>
      <c r="AD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194">
        <f t="shared" si="182"/>
        <v>0</v>
      </c>
      <c r="AH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194">
        <f t="shared" si="183"/>
        <v>0</v>
      </c>
      <c r="AL303" s="194">
        <f t="shared" si="184"/>
        <v>0</v>
      </c>
    </row>
    <row r="304" spans="2:38" x14ac:dyDescent="0.25">
      <c r="B304" s="192" t="s">
        <v>1128</v>
      </c>
      <c r="C304" s="193" t="s">
        <v>1129</v>
      </c>
      <c r="D30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194">
        <f t="shared" si="177"/>
        <v>0</v>
      </c>
      <c r="G304" s="194"/>
      <c r="H304" s="194">
        <f t="shared" si="178"/>
        <v>0</v>
      </c>
      <c r="I304" s="194"/>
      <c r="J304" s="194">
        <f t="shared" si="179"/>
        <v>0</v>
      </c>
      <c r="K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194">
        <f t="shared" si="180"/>
        <v>0</v>
      </c>
      <c r="Z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194">
        <f t="shared" si="181"/>
        <v>0</v>
      </c>
      <c r="AD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194">
        <f t="shared" si="182"/>
        <v>0</v>
      </c>
      <c r="AH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194">
        <f t="shared" si="183"/>
        <v>0</v>
      </c>
      <c r="AL304" s="194">
        <f t="shared" si="184"/>
        <v>0</v>
      </c>
    </row>
    <row r="305" spans="2:38" x14ac:dyDescent="0.25">
      <c r="B305" s="192" t="s">
        <v>1130</v>
      </c>
      <c r="C305" s="193" t="s">
        <v>1131</v>
      </c>
      <c r="D30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194">
        <f t="shared" si="177"/>
        <v>0</v>
      </c>
      <c r="G305" s="194"/>
      <c r="H305" s="194">
        <f t="shared" si="178"/>
        <v>0</v>
      </c>
      <c r="I305" s="194"/>
      <c r="J305" s="194">
        <f t="shared" si="179"/>
        <v>0</v>
      </c>
      <c r="K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194">
        <f t="shared" si="180"/>
        <v>0</v>
      </c>
      <c r="Z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194">
        <f t="shared" si="181"/>
        <v>0</v>
      </c>
      <c r="AD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194">
        <f t="shared" si="182"/>
        <v>0</v>
      </c>
      <c r="AH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194">
        <f t="shared" si="183"/>
        <v>0</v>
      </c>
      <c r="AL305" s="194">
        <f t="shared" si="184"/>
        <v>0</v>
      </c>
    </row>
    <row r="306" spans="2:38" x14ac:dyDescent="0.25">
      <c r="B306" s="192" t="s">
        <v>1132</v>
      </c>
      <c r="C306" s="193" t="s">
        <v>1133</v>
      </c>
      <c r="D30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194">
        <f t="shared" si="177"/>
        <v>0</v>
      </c>
      <c r="G306" s="194"/>
      <c r="H306" s="194">
        <f t="shared" si="178"/>
        <v>0</v>
      </c>
      <c r="I306" s="194"/>
      <c r="J306" s="194">
        <f t="shared" si="179"/>
        <v>0</v>
      </c>
      <c r="K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194">
        <f t="shared" si="180"/>
        <v>0</v>
      </c>
      <c r="Z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194">
        <f t="shared" si="181"/>
        <v>0</v>
      </c>
      <c r="AD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194">
        <f t="shared" si="182"/>
        <v>0</v>
      </c>
      <c r="AH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194">
        <f t="shared" si="183"/>
        <v>0</v>
      </c>
      <c r="AL306" s="194">
        <f t="shared" si="184"/>
        <v>0</v>
      </c>
    </row>
    <row r="307" spans="2:38" x14ac:dyDescent="0.25">
      <c r="B307" s="192" t="s">
        <v>1134</v>
      </c>
      <c r="C307" s="193" t="s">
        <v>1135</v>
      </c>
      <c r="D30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194">
        <f t="shared" si="177"/>
        <v>0</v>
      </c>
      <c r="G307" s="194"/>
      <c r="H307" s="194">
        <f t="shared" si="178"/>
        <v>0</v>
      </c>
      <c r="I307" s="194"/>
      <c r="J307" s="194">
        <f t="shared" si="179"/>
        <v>0</v>
      </c>
      <c r="K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194">
        <f t="shared" si="180"/>
        <v>0</v>
      </c>
      <c r="Z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194">
        <f t="shared" si="181"/>
        <v>0</v>
      </c>
      <c r="AD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194">
        <f t="shared" si="182"/>
        <v>0</v>
      </c>
      <c r="AH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194">
        <f t="shared" si="183"/>
        <v>0</v>
      </c>
      <c r="AL307" s="194">
        <f t="shared" si="184"/>
        <v>0</v>
      </c>
    </row>
    <row r="308" spans="2:38" x14ac:dyDescent="0.25">
      <c r="B308" s="192" t="s">
        <v>1136</v>
      </c>
      <c r="C308" s="193" t="s">
        <v>1137</v>
      </c>
      <c r="D30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194">
        <f t="shared" si="177"/>
        <v>0</v>
      </c>
      <c r="G308" s="194"/>
      <c r="H308" s="194">
        <f t="shared" si="178"/>
        <v>0</v>
      </c>
      <c r="I308" s="194"/>
      <c r="J308" s="194">
        <f t="shared" si="179"/>
        <v>0</v>
      </c>
      <c r="K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194">
        <f t="shared" si="180"/>
        <v>0</v>
      </c>
      <c r="Z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194">
        <f t="shared" si="181"/>
        <v>0</v>
      </c>
      <c r="AD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194">
        <f t="shared" si="182"/>
        <v>0</v>
      </c>
      <c r="AH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194">
        <f t="shared" si="183"/>
        <v>0</v>
      </c>
      <c r="AL308" s="194">
        <f t="shared" si="184"/>
        <v>0</v>
      </c>
    </row>
    <row r="309" spans="2:38" x14ac:dyDescent="0.25">
      <c r="B309" s="192" t="s">
        <v>1138</v>
      </c>
      <c r="C309" s="193" t="s">
        <v>1139</v>
      </c>
      <c r="D30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194">
        <f t="shared" si="177"/>
        <v>0</v>
      </c>
      <c r="G309" s="194"/>
      <c r="H309" s="194">
        <f t="shared" si="178"/>
        <v>0</v>
      </c>
      <c r="I309" s="194"/>
      <c r="J309" s="194">
        <f t="shared" si="179"/>
        <v>0</v>
      </c>
      <c r="K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194">
        <f t="shared" si="180"/>
        <v>0</v>
      </c>
      <c r="Z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194">
        <f t="shared" si="181"/>
        <v>0</v>
      </c>
      <c r="AD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194">
        <f t="shared" si="182"/>
        <v>0</v>
      </c>
      <c r="AH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194">
        <f t="shared" si="183"/>
        <v>0</v>
      </c>
      <c r="AL309" s="194">
        <f t="shared" si="184"/>
        <v>0</v>
      </c>
    </row>
    <row r="310" spans="2:38" x14ac:dyDescent="0.25">
      <c r="B310" s="192" t="s">
        <v>1140</v>
      </c>
      <c r="C310" s="193" t="s">
        <v>1141</v>
      </c>
      <c r="D31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194">
        <f t="shared" si="177"/>
        <v>0</v>
      </c>
      <c r="G310" s="194"/>
      <c r="H310" s="194">
        <f t="shared" si="178"/>
        <v>0</v>
      </c>
      <c r="I310" s="194"/>
      <c r="J310" s="194">
        <f t="shared" si="179"/>
        <v>0</v>
      </c>
      <c r="K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194">
        <f t="shared" si="180"/>
        <v>0</v>
      </c>
      <c r="Z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194">
        <f t="shared" si="181"/>
        <v>0</v>
      </c>
      <c r="AD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194">
        <f t="shared" si="182"/>
        <v>0</v>
      </c>
      <c r="AH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194">
        <f t="shared" si="183"/>
        <v>0</v>
      </c>
      <c r="AL310" s="194">
        <f t="shared" si="184"/>
        <v>0</v>
      </c>
    </row>
    <row r="311" spans="2:38" x14ac:dyDescent="0.25">
      <c r="B311" s="192" t="s">
        <v>1142</v>
      </c>
      <c r="C311" s="193" t="s">
        <v>1143</v>
      </c>
      <c r="D3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194">
        <f t="shared" si="177"/>
        <v>0</v>
      </c>
      <c r="G311" s="194"/>
      <c r="H311" s="194">
        <f t="shared" si="178"/>
        <v>0</v>
      </c>
      <c r="I311" s="194"/>
      <c r="J311" s="194">
        <f t="shared" si="179"/>
        <v>0</v>
      </c>
      <c r="K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194">
        <f t="shared" si="180"/>
        <v>0</v>
      </c>
      <c r="Z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194">
        <f t="shared" si="181"/>
        <v>0</v>
      </c>
      <c r="AD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194">
        <f t="shared" si="182"/>
        <v>0</v>
      </c>
      <c r="AH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194">
        <f t="shared" si="183"/>
        <v>0</v>
      </c>
      <c r="AL311" s="194">
        <f t="shared" si="184"/>
        <v>0</v>
      </c>
    </row>
    <row r="312" spans="2:38" x14ac:dyDescent="0.25">
      <c r="B312" s="201" t="s">
        <v>405</v>
      </c>
      <c r="C312" s="202" t="s">
        <v>278</v>
      </c>
      <c r="D312" s="203">
        <f>SUM(D313:D326)</f>
        <v>0</v>
      </c>
      <c r="E312" s="203">
        <f>SUM(E313:E326)</f>
        <v>104608</v>
      </c>
      <c r="F312" s="203">
        <f t="shared" si="177"/>
        <v>104608</v>
      </c>
      <c r="G312" s="203">
        <f>SUM(G313:G326)</f>
        <v>0</v>
      </c>
      <c r="H312" s="203">
        <f t="shared" si="178"/>
        <v>104608</v>
      </c>
      <c r="I312" s="203">
        <f>SUM(I313:I326)</f>
        <v>0</v>
      </c>
      <c r="J312" s="203">
        <f t="shared" si="179"/>
        <v>104608</v>
      </c>
      <c r="K312" s="203">
        <f t="shared" ref="K312:X312" si="185">SUM(K313:K326)</f>
        <v>43951</v>
      </c>
      <c r="L312" s="203">
        <f t="shared" si="185"/>
        <v>11280</v>
      </c>
      <c r="M312" s="203">
        <f t="shared" si="185"/>
        <v>0</v>
      </c>
      <c r="N312" s="203">
        <f t="shared" si="185"/>
        <v>1250</v>
      </c>
      <c r="O312" s="203">
        <f t="shared" si="185"/>
        <v>6152</v>
      </c>
      <c r="P312" s="203">
        <f t="shared" si="185"/>
        <v>0</v>
      </c>
      <c r="Q312" s="203">
        <f t="shared" si="185"/>
        <v>0</v>
      </c>
      <c r="R312" s="203">
        <f t="shared" si="185"/>
        <v>41445</v>
      </c>
      <c r="S312" s="203">
        <f t="shared" si="185"/>
        <v>530</v>
      </c>
      <c r="T312" s="203">
        <f t="shared" si="185"/>
        <v>0</v>
      </c>
      <c r="U312" s="203">
        <f t="shared" si="185"/>
        <v>0</v>
      </c>
      <c r="V312" s="203">
        <f t="shared" si="185"/>
        <v>0</v>
      </c>
      <c r="W312" s="203">
        <f t="shared" si="185"/>
        <v>32000</v>
      </c>
      <c r="X312" s="203">
        <f t="shared" si="185"/>
        <v>11080</v>
      </c>
      <c r="Y312" s="203">
        <f t="shared" si="180"/>
        <v>43080</v>
      </c>
      <c r="Z312" s="203">
        <f>SUM(Z313:Z326)</f>
        <v>3730</v>
      </c>
      <c r="AA312" s="203">
        <f>SUM(AA313:AA326)</f>
        <v>3251</v>
      </c>
      <c r="AB312" s="203">
        <f>SUM(AB313:AB326)</f>
        <v>1964</v>
      </c>
      <c r="AC312" s="203">
        <f t="shared" si="181"/>
        <v>8945</v>
      </c>
      <c r="AD312" s="203">
        <f>SUM(AD313:AD326)</f>
        <v>0</v>
      </c>
      <c r="AE312" s="203">
        <f>SUM(AE313:AE326)</f>
        <v>0</v>
      </c>
      <c r="AF312" s="203">
        <f>SUM(AF313:AF326)</f>
        <v>42695</v>
      </c>
      <c r="AG312" s="203">
        <f t="shared" si="182"/>
        <v>42695</v>
      </c>
      <c r="AH312" s="203">
        <f>SUM(AH313:AH326)</f>
        <v>5700</v>
      </c>
      <c r="AI312" s="203">
        <f>SUM(AI313:AI326)</f>
        <v>1692</v>
      </c>
      <c r="AJ312" s="203">
        <f>SUM(AJ313:AJ326)</f>
        <v>0</v>
      </c>
      <c r="AK312" s="203">
        <f t="shared" si="183"/>
        <v>7392</v>
      </c>
      <c r="AL312" s="203">
        <f t="shared" si="184"/>
        <v>102112</v>
      </c>
    </row>
    <row r="313" spans="2:38" x14ac:dyDescent="0.25">
      <c r="B313" s="192" t="s">
        <v>1144</v>
      </c>
      <c r="C313" s="193" t="s">
        <v>1145</v>
      </c>
      <c r="D3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194">
        <f t="shared" si="177"/>
        <v>0</v>
      </c>
      <c r="G313" s="194"/>
      <c r="H313" s="194">
        <f t="shared" si="178"/>
        <v>0</v>
      </c>
      <c r="I313" s="194"/>
      <c r="J313" s="194">
        <f t="shared" si="179"/>
        <v>0</v>
      </c>
      <c r="K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194">
        <f t="shared" si="180"/>
        <v>0</v>
      </c>
      <c r="Z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194">
        <f t="shared" si="181"/>
        <v>0</v>
      </c>
      <c r="AD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194">
        <f t="shared" si="182"/>
        <v>0</v>
      </c>
      <c r="AH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194">
        <f t="shared" si="183"/>
        <v>0</v>
      </c>
      <c r="AL313" s="194">
        <f t="shared" si="184"/>
        <v>0</v>
      </c>
    </row>
    <row r="314" spans="2:38" x14ac:dyDescent="0.25">
      <c r="B314" s="192" t="s">
        <v>406</v>
      </c>
      <c r="C314" s="193" t="s">
        <v>1146</v>
      </c>
      <c r="D3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55462</v>
      </c>
      <c r="F314" s="194">
        <f t="shared" si="177"/>
        <v>55462</v>
      </c>
      <c r="G314" s="194"/>
      <c r="H314" s="194">
        <f t="shared" si="178"/>
        <v>55462</v>
      </c>
      <c r="I314" s="194"/>
      <c r="J314" s="194">
        <f t="shared" si="179"/>
        <v>55462</v>
      </c>
      <c r="K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42230</v>
      </c>
      <c r="L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6550</v>
      </c>
      <c r="M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6152</v>
      </c>
      <c r="P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530</v>
      </c>
      <c r="T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32000</v>
      </c>
      <c r="X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11080</v>
      </c>
      <c r="Y314" s="194">
        <f t="shared" si="180"/>
        <v>43080</v>
      </c>
      <c r="Z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250</v>
      </c>
      <c r="AA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280</v>
      </c>
      <c r="AB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1964</v>
      </c>
      <c r="AC314" s="194">
        <f t="shared" si="181"/>
        <v>2494</v>
      </c>
      <c r="AD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194">
        <f t="shared" si="182"/>
        <v>0</v>
      </c>
      <c r="AH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5700</v>
      </c>
      <c r="AI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1692</v>
      </c>
      <c r="AJ3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194">
        <f t="shared" si="183"/>
        <v>7392</v>
      </c>
      <c r="AL314" s="194">
        <f t="shared" si="184"/>
        <v>52966</v>
      </c>
    </row>
    <row r="315" spans="2:38" x14ac:dyDescent="0.25">
      <c r="B315" s="192" t="s">
        <v>1147</v>
      </c>
      <c r="C315" s="193" t="s">
        <v>1148</v>
      </c>
      <c r="D31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45666</v>
      </c>
      <c r="F315" s="194">
        <f t="shared" si="177"/>
        <v>45666</v>
      </c>
      <c r="G315" s="194"/>
      <c r="H315" s="194">
        <f t="shared" si="178"/>
        <v>45666</v>
      </c>
      <c r="I315" s="194"/>
      <c r="J315" s="194">
        <f t="shared" si="179"/>
        <v>45666</v>
      </c>
      <c r="K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1721</v>
      </c>
      <c r="L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1250</v>
      </c>
      <c r="M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1250</v>
      </c>
      <c r="O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41445</v>
      </c>
      <c r="S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194">
        <f t="shared" si="180"/>
        <v>0</v>
      </c>
      <c r="Z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2971</v>
      </c>
      <c r="AB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194">
        <f t="shared" si="181"/>
        <v>2971</v>
      </c>
      <c r="AD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42695</v>
      </c>
      <c r="AG315" s="194">
        <f t="shared" si="182"/>
        <v>42695</v>
      </c>
      <c r="AH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194">
        <f t="shared" si="183"/>
        <v>0</v>
      </c>
      <c r="AL315" s="194">
        <f t="shared" si="184"/>
        <v>45666</v>
      </c>
    </row>
    <row r="316" spans="2:38" x14ac:dyDescent="0.25">
      <c r="B316" s="192" t="s">
        <v>1149</v>
      </c>
      <c r="C316" s="193" t="s">
        <v>1150</v>
      </c>
      <c r="D31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6" s="194">
        <f t="shared" si="177"/>
        <v>0</v>
      </c>
      <c r="G316" s="194"/>
      <c r="H316" s="194">
        <f t="shared" si="178"/>
        <v>0</v>
      </c>
      <c r="I316" s="194"/>
      <c r="J316" s="194">
        <f t="shared" si="179"/>
        <v>0</v>
      </c>
      <c r="K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194">
        <f t="shared" si="180"/>
        <v>0</v>
      </c>
      <c r="Z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194">
        <f t="shared" si="181"/>
        <v>0</v>
      </c>
      <c r="AD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194">
        <f t="shared" si="182"/>
        <v>0</v>
      </c>
      <c r="AH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194">
        <f t="shared" si="183"/>
        <v>0</v>
      </c>
      <c r="AL316" s="194">
        <f t="shared" si="184"/>
        <v>0</v>
      </c>
    </row>
    <row r="317" spans="2:38" x14ac:dyDescent="0.25">
      <c r="B317" s="192" t="s">
        <v>1151</v>
      </c>
      <c r="C317" s="193" t="s">
        <v>1152</v>
      </c>
      <c r="D3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7" s="194">
        <f t="shared" si="177"/>
        <v>0</v>
      </c>
      <c r="G317" s="194"/>
      <c r="H317" s="194">
        <f t="shared" si="178"/>
        <v>0</v>
      </c>
      <c r="I317" s="194"/>
      <c r="J317" s="194">
        <f t="shared" si="179"/>
        <v>0</v>
      </c>
      <c r="K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194">
        <f t="shared" si="180"/>
        <v>0</v>
      </c>
      <c r="Z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194">
        <f t="shared" si="181"/>
        <v>0</v>
      </c>
      <c r="AD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194">
        <f t="shared" si="182"/>
        <v>0</v>
      </c>
      <c r="AH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194">
        <f t="shared" si="183"/>
        <v>0</v>
      </c>
      <c r="AL317" s="194">
        <f t="shared" si="184"/>
        <v>0</v>
      </c>
    </row>
    <row r="318" spans="2:38" x14ac:dyDescent="0.25">
      <c r="B318" s="192" t="s">
        <v>1153</v>
      </c>
      <c r="C318" s="193" t="s">
        <v>1154</v>
      </c>
      <c r="D31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194">
        <f t="shared" si="177"/>
        <v>0</v>
      </c>
      <c r="G318" s="194"/>
      <c r="H318" s="194">
        <f t="shared" si="178"/>
        <v>0</v>
      </c>
      <c r="I318" s="194"/>
      <c r="J318" s="194">
        <f t="shared" si="179"/>
        <v>0</v>
      </c>
      <c r="K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194">
        <f t="shared" si="180"/>
        <v>0</v>
      </c>
      <c r="Z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194">
        <f t="shared" si="181"/>
        <v>0</v>
      </c>
      <c r="AD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194">
        <f t="shared" si="182"/>
        <v>0</v>
      </c>
      <c r="AH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194">
        <f t="shared" si="183"/>
        <v>0</v>
      </c>
      <c r="AL318" s="194">
        <f t="shared" si="184"/>
        <v>0</v>
      </c>
    </row>
    <row r="319" spans="2:38" x14ac:dyDescent="0.25">
      <c r="B319" s="192" t="s">
        <v>407</v>
      </c>
      <c r="C319" s="193" t="s">
        <v>1155</v>
      </c>
      <c r="D31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9" s="194">
        <f t="shared" si="177"/>
        <v>0</v>
      </c>
      <c r="G319" s="194"/>
      <c r="H319" s="194">
        <f t="shared" si="178"/>
        <v>0</v>
      </c>
      <c r="I319" s="194"/>
      <c r="J319" s="194">
        <f t="shared" si="179"/>
        <v>0</v>
      </c>
      <c r="K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194">
        <f t="shared" si="180"/>
        <v>0</v>
      </c>
      <c r="Z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194">
        <f t="shared" si="181"/>
        <v>0</v>
      </c>
      <c r="AD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194">
        <f t="shared" si="182"/>
        <v>0</v>
      </c>
      <c r="AH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194">
        <f t="shared" si="183"/>
        <v>0</v>
      </c>
      <c r="AL319" s="194">
        <f t="shared" si="184"/>
        <v>0</v>
      </c>
    </row>
    <row r="320" spans="2:38" x14ac:dyDescent="0.25">
      <c r="B320" s="192" t="s">
        <v>1156</v>
      </c>
      <c r="C320" s="193" t="s">
        <v>1157</v>
      </c>
      <c r="D3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0" s="194">
        <f t="shared" si="177"/>
        <v>0</v>
      </c>
      <c r="G320" s="194"/>
      <c r="H320" s="194">
        <f t="shared" si="178"/>
        <v>0</v>
      </c>
      <c r="I320" s="194"/>
      <c r="J320" s="194">
        <f t="shared" si="179"/>
        <v>0</v>
      </c>
      <c r="K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194">
        <f t="shared" si="180"/>
        <v>0</v>
      </c>
      <c r="Z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194">
        <f t="shared" si="181"/>
        <v>0</v>
      </c>
      <c r="AD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194">
        <f t="shared" si="182"/>
        <v>0</v>
      </c>
      <c r="AH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194">
        <f t="shared" si="183"/>
        <v>0</v>
      </c>
      <c r="AL320" s="194">
        <f t="shared" si="184"/>
        <v>0</v>
      </c>
    </row>
    <row r="321" spans="2:38" x14ac:dyDescent="0.25">
      <c r="B321" s="192" t="s">
        <v>1158</v>
      </c>
      <c r="C321" s="193" t="s">
        <v>1159</v>
      </c>
      <c r="D32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194">
        <f t="shared" si="177"/>
        <v>0</v>
      </c>
      <c r="G321" s="194"/>
      <c r="H321" s="194">
        <f t="shared" si="178"/>
        <v>0</v>
      </c>
      <c r="I321" s="194"/>
      <c r="J321" s="194">
        <f t="shared" si="179"/>
        <v>0</v>
      </c>
      <c r="K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194">
        <f t="shared" si="180"/>
        <v>0</v>
      </c>
      <c r="Z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194">
        <f t="shared" si="181"/>
        <v>0</v>
      </c>
      <c r="AD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194">
        <f t="shared" si="182"/>
        <v>0</v>
      </c>
      <c r="AH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194">
        <f t="shared" si="183"/>
        <v>0</v>
      </c>
      <c r="AL321" s="194">
        <f t="shared" si="184"/>
        <v>0</v>
      </c>
    </row>
    <row r="322" spans="2:38" x14ac:dyDescent="0.25">
      <c r="B322" s="192" t="s">
        <v>1160</v>
      </c>
      <c r="C322" s="193" t="s">
        <v>1161</v>
      </c>
      <c r="D3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3480</v>
      </c>
      <c r="F322" s="194">
        <f t="shared" si="177"/>
        <v>3480</v>
      </c>
      <c r="G322" s="194"/>
      <c r="H322" s="194">
        <f t="shared" si="178"/>
        <v>3480</v>
      </c>
      <c r="I322" s="194"/>
      <c r="J322" s="194">
        <f t="shared" si="179"/>
        <v>3480</v>
      </c>
      <c r="K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3480</v>
      </c>
      <c r="M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2" s="194">
        <f t="shared" si="180"/>
        <v>0</v>
      </c>
      <c r="Z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3480</v>
      </c>
      <c r="AA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194">
        <f t="shared" si="181"/>
        <v>3480</v>
      </c>
      <c r="AD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194">
        <f t="shared" si="182"/>
        <v>0</v>
      </c>
      <c r="AH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194">
        <f t="shared" si="183"/>
        <v>0</v>
      </c>
      <c r="AL322" s="194">
        <f t="shared" si="184"/>
        <v>3480</v>
      </c>
    </row>
    <row r="323" spans="2:38" x14ac:dyDescent="0.25">
      <c r="B323" s="192" t="s">
        <v>1162</v>
      </c>
      <c r="C323" s="193" t="s">
        <v>1163</v>
      </c>
      <c r="D3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3" s="194">
        <f t="shared" si="177"/>
        <v>0</v>
      </c>
      <c r="G323" s="194"/>
      <c r="H323" s="194">
        <f t="shared" si="178"/>
        <v>0</v>
      </c>
      <c r="I323" s="194"/>
      <c r="J323" s="194">
        <f t="shared" si="179"/>
        <v>0</v>
      </c>
      <c r="K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194">
        <f t="shared" si="180"/>
        <v>0</v>
      </c>
      <c r="Z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194">
        <f t="shared" si="181"/>
        <v>0</v>
      </c>
      <c r="AD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194">
        <f t="shared" si="182"/>
        <v>0</v>
      </c>
      <c r="AH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194">
        <f t="shared" si="183"/>
        <v>0</v>
      </c>
      <c r="AL323" s="194">
        <f t="shared" si="184"/>
        <v>0</v>
      </c>
    </row>
    <row r="324" spans="2:38" x14ac:dyDescent="0.25">
      <c r="B324" s="192" t="s">
        <v>1164</v>
      </c>
      <c r="C324" s="193" t="s">
        <v>1165</v>
      </c>
      <c r="D3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194">
        <f t="shared" si="177"/>
        <v>0</v>
      </c>
      <c r="G324" s="194"/>
      <c r="H324" s="194">
        <f t="shared" si="178"/>
        <v>0</v>
      </c>
      <c r="I324" s="194"/>
      <c r="J324" s="194">
        <f t="shared" si="179"/>
        <v>0</v>
      </c>
      <c r="K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194">
        <f t="shared" si="180"/>
        <v>0</v>
      </c>
      <c r="Z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194">
        <f t="shared" si="181"/>
        <v>0</v>
      </c>
      <c r="AD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194">
        <f t="shared" si="182"/>
        <v>0</v>
      </c>
      <c r="AH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194">
        <f t="shared" si="183"/>
        <v>0</v>
      </c>
      <c r="AL324" s="194">
        <f t="shared" si="184"/>
        <v>0</v>
      </c>
    </row>
    <row r="325" spans="2:38" x14ac:dyDescent="0.25">
      <c r="B325" s="192" t="s">
        <v>1166</v>
      </c>
      <c r="C325" s="193" t="s">
        <v>1167</v>
      </c>
      <c r="D32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194">
        <f t="shared" si="177"/>
        <v>0</v>
      </c>
      <c r="G325" s="194"/>
      <c r="H325" s="194">
        <f t="shared" si="178"/>
        <v>0</v>
      </c>
      <c r="I325" s="194"/>
      <c r="J325" s="194">
        <f t="shared" si="179"/>
        <v>0</v>
      </c>
      <c r="K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194">
        <f t="shared" si="180"/>
        <v>0</v>
      </c>
      <c r="Z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194">
        <f t="shared" si="181"/>
        <v>0</v>
      </c>
      <c r="AD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194">
        <f t="shared" si="182"/>
        <v>0</v>
      </c>
      <c r="AH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194">
        <f t="shared" si="183"/>
        <v>0</v>
      </c>
      <c r="AL325" s="194">
        <f t="shared" si="184"/>
        <v>0</v>
      </c>
    </row>
    <row r="326" spans="2:38" x14ac:dyDescent="0.25">
      <c r="B326" s="192" t="s">
        <v>1168</v>
      </c>
      <c r="C326" s="193" t="s">
        <v>1169</v>
      </c>
      <c r="D32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194">
        <f t="shared" si="177"/>
        <v>0</v>
      </c>
      <c r="G326" s="194"/>
      <c r="H326" s="194">
        <f t="shared" si="178"/>
        <v>0</v>
      </c>
      <c r="I326" s="194"/>
      <c r="J326" s="194">
        <f t="shared" si="179"/>
        <v>0</v>
      </c>
      <c r="K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194">
        <f t="shared" si="180"/>
        <v>0</v>
      </c>
      <c r="Z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194">
        <f t="shared" si="181"/>
        <v>0</v>
      </c>
      <c r="AD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194">
        <f t="shared" si="182"/>
        <v>0</v>
      </c>
      <c r="AH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194">
        <f t="shared" si="183"/>
        <v>0</v>
      </c>
      <c r="AL326" s="194">
        <f t="shared" si="184"/>
        <v>0</v>
      </c>
    </row>
    <row r="327" spans="2:38" x14ac:dyDescent="0.25">
      <c r="B327" s="189" t="s">
        <v>389</v>
      </c>
      <c r="C327" s="190" t="s">
        <v>266</v>
      </c>
      <c r="D327" s="191">
        <f>D328</f>
        <v>0</v>
      </c>
      <c r="E327" s="191">
        <f>E328</f>
        <v>0</v>
      </c>
      <c r="F327" s="191">
        <f t="shared" si="177"/>
        <v>0</v>
      </c>
      <c r="G327" s="191">
        <f>G328</f>
        <v>0</v>
      </c>
      <c r="H327" s="191">
        <f t="shared" si="178"/>
        <v>0</v>
      </c>
      <c r="I327" s="191">
        <f>I328</f>
        <v>0</v>
      </c>
      <c r="J327" s="191">
        <f t="shared" si="179"/>
        <v>0</v>
      </c>
      <c r="K327" s="191">
        <f t="shared" ref="K327:AJ327" si="186">K328</f>
        <v>0</v>
      </c>
      <c r="L327" s="191">
        <f t="shared" si="186"/>
        <v>0</v>
      </c>
      <c r="M327" s="191">
        <f t="shared" si="186"/>
        <v>0</v>
      </c>
      <c r="N327" s="191">
        <f t="shared" si="186"/>
        <v>0</v>
      </c>
      <c r="O327" s="191">
        <f t="shared" si="186"/>
        <v>0</v>
      </c>
      <c r="P327" s="191">
        <f t="shared" si="186"/>
        <v>0</v>
      </c>
      <c r="Q327" s="191">
        <f t="shared" si="186"/>
        <v>0</v>
      </c>
      <c r="R327" s="191">
        <f t="shared" si="186"/>
        <v>0</v>
      </c>
      <c r="S327" s="191">
        <f t="shared" si="186"/>
        <v>0</v>
      </c>
      <c r="T327" s="191">
        <f t="shared" si="186"/>
        <v>0</v>
      </c>
      <c r="U327" s="191">
        <f t="shared" si="186"/>
        <v>0</v>
      </c>
      <c r="V327" s="191">
        <f t="shared" si="186"/>
        <v>0</v>
      </c>
      <c r="W327" s="191">
        <f t="shared" si="186"/>
        <v>0</v>
      </c>
      <c r="X327" s="191">
        <f t="shared" si="186"/>
        <v>0</v>
      </c>
      <c r="Y327" s="191">
        <f t="shared" si="180"/>
        <v>0</v>
      </c>
      <c r="Z327" s="191">
        <f t="shared" si="186"/>
        <v>0</v>
      </c>
      <c r="AA327" s="191">
        <f t="shared" si="186"/>
        <v>0</v>
      </c>
      <c r="AB327" s="191">
        <f t="shared" si="186"/>
        <v>0</v>
      </c>
      <c r="AC327" s="191">
        <f t="shared" si="181"/>
        <v>0</v>
      </c>
      <c r="AD327" s="191">
        <f t="shared" si="186"/>
        <v>0</v>
      </c>
      <c r="AE327" s="191">
        <f t="shared" si="186"/>
        <v>0</v>
      </c>
      <c r="AF327" s="191">
        <f t="shared" si="186"/>
        <v>0</v>
      </c>
      <c r="AG327" s="191">
        <f t="shared" si="182"/>
        <v>0</v>
      </c>
      <c r="AH327" s="191">
        <f t="shared" si="186"/>
        <v>0</v>
      </c>
      <c r="AI327" s="191">
        <f t="shared" si="186"/>
        <v>0</v>
      </c>
      <c r="AJ327" s="191">
        <f t="shared" si="186"/>
        <v>0</v>
      </c>
      <c r="AK327" s="191">
        <f t="shared" si="183"/>
        <v>0</v>
      </c>
      <c r="AL327" s="191">
        <f t="shared" si="184"/>
        <v>0</v>
      </c>
    </row>
    <row r="328" spans="2:38" x14ac:dyDescent="0.25">
      <c r="B328" s="201" t="s">
        <v>391</v>
      </c>
      <c r="C328" s="202" t="s">
        <v>268</v>
      </c>
      <c r="D328" s="203">
        <f>SUM(D329:D332)</f>
        <v>0</v>
      </c>
      <c r="E328" s="203">
        <f>SUM(E329:E332)</f>
        <v>0</v>
      </c>
      <c r="F328" s="203">
        <f t="shared" si="177"/>
        <v>0</v>
      </c>
      <c r="G328" s="203">
        <f>SUM(G329:G332)</f>
        <v>0</v>
      </c>
      <c r="H328" s="203">
        <f t="shared" si="178"/>
        <v>0</v>
      </c>
      <c r="I328" s="203">
        <f>SUM(I329:I332)</f>
        <v>0</v>
      </c>
      <c r="J328" s="203">
        <f t="shared" si="179"/>
        <v>0</v>
      </c>
      <c r="K328" s="203">
        <f t="shared" ref="K328:X328" si="187">SUM(K329:K332)</f>
        <v>0</v>
      </c>
      <c r="L328" s="203">
        <f t="shared" si="187"/>
        <v>0</v>
      </c>
      <c r="M328" s="203">
        <f t="shared" si="187"/>
        <v>0</v>
      </c>
      <c r="N328" s="203">
        <f t="shared" si="187"/>
        <v>0</v>
      </c>
      <c r="O328" s="203">
        <f t="shared" si="187"/>
        <v>0</v>
      </c>
      <c r="P328" s="203">
        <f t="shared" si="187"/>
        <v>0</v>
      </c>
      <c r="Q328" s="203">
        <f t="shared" si="187"/>
        <v>0</v>
      </c>
      <c r="R328" s="203">
        <f t="shared" si="187"/>
        <v>0</v>
      </c>
      <c r="S328" s="203">
        <f t="shared" si="187"/>
        <v>0</v>
      </c>
      <c r="T328" s="203">
        <f t="shared" si="187"/>
        <v>0</v>
      </c>
      <c r="U328" s="203">
        <f t="shared" si="187"/>
        <v>0</v>
      </c>
      <c r="V328" s="203">
        <f t="shared" si="187"/>
        <v>0</v>
      </c>
      <c r="W328" s="203">
        <f t="shared" si="187"/>
        <v>0</v>
      </c>
      <c r="X328" s="203">
        <f t="shared" si="187"/>
        <v>0</v>
      </c>
      <c r="Y328" s="203">
        <f t="shared" si="180"/>
        <v>0</v>
      </c>
      <c r="Z328" s="203">
        <f>SUM(Z329:Z332)</f>
        <v>0</v>
      </c>
      <c r="AA328" s="203">
        <f>SUM(AA329:AA332)</f>
        <v>0</v>
      </c>
      <c r="AB328" s="203">
        <f>SUM(AB329:AB332)</f>
        <v>0</v>
      </c>
      <c r="AC328" s="203">
        <f t="shared" si="181"/>
        <v>0</v>
      </c>
      <c r="AD328" s="203">
        <f>SUM(AD329:AD332)</f>
        <v>0</v>
      </c>
      <c r="AE328" s="203">
        <f>SUM(AE329:AE332)</f>
        <v>0</v>
      </c>
      <c r="AF328" s="203">
        <f>SUM(AF329:AF332)</f>
        <v>0</v>
      </c>
      <c r="AG328" s="203">
        <f t="shared" si="182"/>
        <v>0</v>
      </c>
      <c r="AH328" s="203">
        <f>SUM(AH329:AH332)</f>
        <v>0</v>
      </c>
      <c r="AI328" s="203">
        <f>SUM(AI329:AI332)</f>
        <v>0</v>
      </c>
      <c r="AJ328" s="203">
        <f>SUM(AJ329:AJ332)</f>
        <v>0</v>
      </c>
      <c r="AK328" s="203">
        <f t="shared" si="183"/>
        <v>0</v>
      </c>
      <c r="AL328" s="203">
        <f t="shared" si="184"/>
        <v>0</v>
      </c>
    </row>
    <row r="329" spans="2:38" x14ac:dyDescent="0.25">
      <c r="B329" s="192" t="s">
        <v>408</v>
      </c>
      <c r="C329" s="193" t="s">
        <v>279</v>
      </c>
      <c r="D32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194">
        <f t="shared" si="177"/>
        <v>0</v>
      </c>
      <c r="G329" s="194"/>
      <c r="H329" s="194">
        <f t="shared" si="178"/>
        <v>0</v>
      </c>
      <c r="I329" s="194"/>
      <c r="J329" s="194">
        <f t="shared" si="179"/>
        <v>0</v>
      </c>
      <c r="K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194">
        <f t="shared" si="180"/>
        <v>0</v>
      </c>
      <c r="Z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194">
        <f t="shared" si="181"/>
        <v>0</v>
      </c>
      <c r="AD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194">
        <f t="shared" si="182"/>
        <v>0</v>
      </c>
      <c r="AH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194">
        <f t="shared" si="183"/>
        <v>0</v>
      </c>
      <c r="AL329" s="194">
        <f t="shared" si="184"/>
        <v>0</v>
      </c>
    </row>
    <row r="330" spans="2:38" x14ac:dyDescent="0.25">
      <c r="B330" s="192" t="s">
        <v>1044</v>
      </c>
      <c r="C330" s="193" t="s">
        <v>1045</v>
      </c>
      <c r="D3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194">
        <f t="shared" si="177"/>
        <v>0</v>
      </c>
      <c r="G330" s="194"/>
      <c r="H330" s="194">
        <f t="shared" si="178"/>
        <v>0</v>
      </c>
      <c r="I330" s="194"/>
      <c r="J330" s="194">
        <f t="shared" si="179"/>
        <v>0</v>
      </c>
      <c r="K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194">
        <f t="shared" si="180"/>
        <v>0</v>
      </c>
      <c r="Z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194">
        <f t="shared" si="181"/>
        <v>0</v>
      </c>
      <c r="AD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194">
        <f t="shared" si="182"/>
        <v>0</v>
      </c>
      <c r="AH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194">
        <f t="shared" si="183"/>
        <v>0</v>
      </c>
      <c r="AL330" s="194">
        <f t="shared" si="184"/>
        <v>0</v>
      </c>
    </row>
    <row r="331" spans="2:38" x14ac:dyDescent="0.25">
      <c r="B331" s="192" t="s">
        <v>1046</v>
      </c>
      <c r="C331" s="193" t="s">
        <v>1047</v>
      </c>
      <c r="D3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194">
        <f t="shared" si="177"/>
        <v>0</v>
      </c>
      <c r="G331" s="194"/>
      <c r="H331" s="194">
        <f t="shared" si="178"/>
        <v>0</v>
      </c>
      <c r="I331" s="194"/>
      <c r="J331" s="194">
        <f t="shared" si="179"/>
        <v>0</v>
      </c>
      <c r="K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194">
        <f t="shared" si="180"/>
        <v>0</v>
      </c>
      <c r="Z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194">
        <f t="shared" si="181"/>
        <v>0</v>
      </c>
      <c r="AD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194">
        <f t="shared" si="182"/>
        <v>0</v>
      </c>
      <c r="AH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194">
        <f t="shared" si="183"/>
        <v>0</v>
      </c>
      <c r="AL331" s="194">
        <f t="shared" si="184"/>
        <v>0</v>
      </c>
    </row>
    <row r="332" spans="2:38" x14ac:dyDescent="0.25">
      <c r="B332" s="192" t="s">
        <v>1048</v>
      </c>
      <c r="C332" s="193" t="s">
        <v>1049</v>
      </c>
      <c r="D33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194">
        <f t="shared" si="177"/>
        <v>0</v>
      </c>
      <c r="G332" s="194"/>
      <c r="H332" s="194">
        <f t="shared" si="178"/>
        <v>0</v>
      </c>
      <c r="I332" s="194"/>
      <c r="J332" s="194">
        <f t="shared" si="179"/>
        <v>0</v>
      </c>
      <c r="K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194">
        <f t="shared" si="180"/>
        <v>0</v>
      </c>
      <c r="Z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194">
        <f t="shared" si="181"/>
        <v>0</v>
      </c>
      <c r="AD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194">
        <f t="shared" si="182"/>
        <v>0</v>
      </c>
      <c r="AH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194">
        <f t="shared" si="183"/>
        <v>0</v>
      </c>
      <c r="AL332" s="194">
        <f t="shared" si="184"/>
        <v>0</v>
      </c>
    </row>
    <row r="333" spans="2:38" x14ac:dyDescent="0.25">
      <c r="B333" s="189" t="s">
        <v>409</v>
      </c>
      <c r="C333" s="190" t="s">
        <v>280</v>
      </c>
      <c r="D333" s="191">
        <f>D334+D337+D375+D381</f>
        <v>0</v>
      </c>
      <c r="E333" s="191">
        <f>E334+E337+E375+E381</f>
        <v>264858279.80599999</v>
      </c>
      <c r="F333" s="191">
        <f t="shared" ref="F333:F354" si="188">D333+E333</f>
        <v>264858279.80599999</v>
      </c>
      <c r="G333" s="191">
        <f>G334+G337+G375+G381</f>
        <v>0</v>
      </c>
      <c r="H333" s="191">
        <f t="shared" ref="H333:H354" si="189">F333-G333</f>
        <v>264858279.80599999</v>
      </c>
      <c r="I333" s="191">
        <f>I334+I337+I375+I381</f>
        <v>0</v>
      </c>
      <c r="J333" s="191">
        <f t="shared" ref="J333:J354" si="190">F333-I333</f>
        <v>264858279.80599999</v>
      </c>
      <c r="K333" s="191">
        <f t="shared" ref="K333:X333" si="191">K334+K337+K375+K381</f>
        <v>100000</v>
      </c>
      <c r="L333" s="191">
        <f t="shared" si="191"/>
        <v>1083730</v>
      </c>
      <c r="M333" s="191">
        <f t="shared" si="191"/>
        <v>90000</v>
      </c>
      <c r="N333" s="191">
        <f t="shared" si="191"/>
        <v>63275</v>
      </c>
      <c r="O333" s="191">
        <f t="shared" si="191"/>
        <v>394540</v>
      </c>
      <c r="P333" s="191">
        <f t="shared" si="191"/>
        <v>143920967.80600002</v>
      </c>
      <c r="Q333" s="191">
        <f t="shared" si="191"/>
        <v>0</v>
      </c>
      <c r="R333" s="191">
        <f t="shared" si="191"/>
        <v>75000</v>
      </c>
      <c r="S333" s="191">
        <f t="shared" si="191"/>
        <v>119130767</v>
      </c>
      <c r="T333" s="191">
        <f t="shared" si="191"/>
        <v>0</v>
      </c>
      <c r="U333" s="191">
        <f t="shared" si="191"/>
        <v>0</v>
      </c>
      <c r="V333" s="191">
        <f t="shared" si="191"/>
        <v>5111252</v>
      </c>
      <c r="W333" s="191">
        <f t="shared" si="191"/>
        <v>139439096.24000001</v>
      </c>
      <c r="X333" s="191">
        <f t="shared" si="191"/>
        <v>23207840</v>
      </c>
      <c r="Y333" s="191">
        <f t="shared" ref="Y333:Y354" si="192">V333+W333+X333</f>
        <v>167758188.24000001</v>
      </c>
      <c r="Z333" s="191">
        <f>Z334+Z337+Z375+Z381</f>
        <v>4031800</v>
      </c>
      <c r="AA333" s="191">
        <f>AA334+AA337+AA375+AA381</f>
        <v>1216001.5660000001</v>
      </c>
      <c r="AB333" s="191">
        <f>AB334+AB337+AB375+AB381</f>
        <v>10000</v>
      </c>
      <c r="AC333" s="191">
        <f t="shared" ref="AC333:AC354" si="193">Z333+AA333+AB333</f>
        <v>5257801.5659999996</v>
      </c>
      <c r="AD333" s="191">
        <f>AD334+AD337+AD375+AD381</f>
        <v>85000</v>
      </c>
      <c r="AE333" s="191">
        <f>AE334+AE337+AE375+AE381</f>
        <v>0</v>
      </c>
      <c r="AF333" s="191">
        <f>AF334+AF337+AF375+AF381</f>
        <v>40650</v>
      </c>
      <c r="AG333" s="191">
        <f t="shared" ref="AG333:AG354" si="194">AD333+AE333+AF333</f>
        <v>125650</v>
      </c>
      <c r="AH333" s="191">
        <f>AH334+AH337+AH375+AH381</f>
        <v>0</v>
      </c>
      <c r="AI333" s="191">
        <f>AI334+AI337+AI375+AI381</f>
        <v>91708000</v>
      </c>
      <c r="AJ333" s="191">
        <f>AJ334+AJ337+AJ375+AJ381</f>
        <v>0</v>
      </c>
      <c r="AK333" s="191">
        <f t="shared" ref="AK333:AK354" si="195">AH333+AI333+AJ333</f>
        <v>91708000</v>
      </c>
      <c r="AL333" s="191">
        <f t="shared" ref="AL333:AL354" si="196">Y333+AC333+AG333+AK333</f>
        <v>264849639.80599999</v>
      </c>
    </row>
    <row r="334" spans="2:38" x14ac:dyDescent="0.25">
      <c r="B334" s="201" t="s">
        <v>410</v>
      </c>
      <c r="C334" s="202" t="s">
        <v>281</v>
      </c>
      <c r="D334" s="203">
        <f>SUM(D335:D336)</f>
        <v>0</v>
      </c>
      <c r="E334" s="203">
        <f>SUM(E335:E336)</f>
        <v>0</v>
      </c>
      <c r="F334" s="203">
        <f t="shared" si="188"/>
        <v>0</v>
      </c>
      <c r="G334" s="203">
        <f>SUM(G335:G336)</f>
        <v>0</v>
      </c>
      <c r="H334" s="203">
        <f t="shared" si="189"/>
        <v>0</v>
      </c>
      <c r="I334" s="203">
        <f>SUM(I335:I336)</f>
        <v>0</v>
      </c>
      <c r="J334" s="203">
        <f t="shared" si="190"/>
        <v>0</v>
      </c>
      <c r="K334" s="203">
        <f t="shared" ref="K334:AJ334" si="197">SUM(K335:K336)</f>
        <v>0</v>
      </c>
      <c r="L334" s="203">
        <f t="shared" si="197"/>
        <v>0</v>
      </c>
      <c r="M334" s="203">
        <f t="shared" si="197"/>
        <v>0</v>
      </c>
      <c r="N334" s="203">
        <f t="shared" si="197"/>
        <v>0</v>
      </c>
      <c r="O334" s="203">
        <f t="shared" si="197"/>
        <v>0</v>
      </c>
      <c r="P334" s="203">
        <f t="shared" si="197"/>
        <v>0</v>
      </c>
      <c r="Q334" s="203">
        <f t="shared" si="197"/>
        <v>0</v>
      </c>
      <c r="R334" s="203">
        <f t="shared" si="197"/>
        <v>0</v>
      </c>
      <c r="S334" s="203">
        <f t="shared" si="197"/>
        <v>0</v>
      </c>
      <c r="T334" s="203">
        <f t="shared" si="197"/>
        <v>0</v>
      </c>
      <c r="U334" s="203">
        <f t="shared" si="197"/>
        <v>0</v>
      </c>
      <c r="V334" s="203">
        <f t="shared" si="197"/>
        <v>0</v>
      </c>
      <c r="W334" s="203">
        <f t="shared" si="197"/>
        <v>0</v>
      </c>
      <c r="X334" s="203">
        <f t="shared" si="197"/>
        <v>0</v>
      </c>
      <c r="Y334" s="203">
        <f t="shared" si="192"/>
        <v>0</v>
      </c>
      <c r="Z334" s="203">
        <f t="shared" si="197"/>
        <v>0</v>
      </c>
      <c r="AA334" s="203">
        <f t="shared" si="197"/>
        <v>0</v>
      </c>
      <c r="AB334" s="203">
        <f t="shared" si="197"/>
        <v>0</v>
      </c>
      <c r="AC334" s="203">
        <f t="shared" si="193"/>
        <v>0</v>
      </c>
      <c r="AD334" s="203">
        <f t="shared" si="197"/>
        <v>0</v>
      </c>
      <c r="AE334" s="203">
        <f t="shared" si="197"/>
        <v>0</v>
      </c>
      <c r="AF334" s="203">
        <f t="shared" si="197"/>
        <v>0</v>
      </c>
      <c r="AG334" s="203">
        <f t="shared" si="194"/>
        <v>0</v>
      </c>
      <c r="AH334" s="203">
        <f t="shared" si="197"/>
        <v>0</v>
      </c>
      <c r="AI334" s="203">
        <f t="shared" si="197"/>
        <v>0</v>
      </c>
      <c r="AJ334" s="203">
        <f t="shared" si="197"/>
        <v>0</v>
      </c>
      <c r="AK334" s="203">
        <f t="shared" si="195"/>
        <v>0</v>
      </c>
      <c r="AL334" s="203">
        <f t="shared" si="196"/>
        <v>0</v>
      </c>
    </row>
    <row r="335" spans="2:38" x14ac:dyDescent="0.25">
      <c r="B335" s="192" t="s">
        <v>411</v>
      </c>
      <c r="C335" s="193" t="s">
        <v>282</v>
      </c>
      <c r="D33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194">
        <f t="shared" si="188"/>
        <v>0</v>
      </c>
      <c r="G335" s="194"/>
      <c r="H335" s="194">
        <f t="shared" si="189"/>
        <v>0</v>
      </c>
      <c r="I335" s="194"/>
      <c r="J335" s="194">
        <f t="shared" si="190"/>
        <v>0</v>
      </c>
      <c r="K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194">
        <f t="shared" si="192"/>
        <v>0</v>
      </c>
      <c r="Z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194">
        <f t="shared" si="193"/>
        <v>0</v>
      </c>
      <c r="AD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194">
        <f t="shared" si="194"/>
        <v>0</v>
      </c>
      <c r="AH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194">
        <f t="shared" si="195"/>
        <v>0</v>
      </c>
      <c r="AL335" s="194">
        <f t="shared" si="196"/>
        <v>0</v>
      </c>
    </row>
    <row r="336" spans="2:38" x14ac:dyDescent="0.25">
      <c r="B336" s="192" t="s">
        <v>412</v>
      </c>
      <c r="C336" s="193" t="s">
        <v>283</v>
      </c>
      <c r="D33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194">
        <f t="shared" si="188"/>
        <v>0</v>
      </c>
      <c r="G336" s="194"/>
      <c r="H336" s="194">
        <f t="shared" si="189"/>
        <v>0</v>
      </c>
      <c r="I336" s="194"/>
      <c r="J336" s="194">
        <f t="shared" si="190"/>
        <v>0</v>
      </c>
      <c r="K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194">
        <f t="shared" si="192"/>
        <v>0</v>
      </c>
      <c r="Z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194">
        <f t="shared" si="193"/>
        <v>0</v>
      </c>
      <c r="AD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194">
        <f t="shared" si="194"/>
        <v>0</v>
      </c>
      <c r="AH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194">
        <f t="shared" si="195"/>
        <v>0</v>
      </c>
      <c r="AL336" s="194">
        <f t="shared" si="196"/>
        <v>0</v>
      </c>
    </row>
    <row r="337" spans="2:38" x14ac:dyDescent="0.25">
      <c r="B337" s="201" t="s">
        <v>413</v>
      </c>
      <c r="C337" s="202" t="s">
        <v>284</v>
      </c>
      <c r="D337" s="203">
        <f>SUM(D338:D374)</f>
        <v>0</v>
      </c>
      <c r="E337" s="203">
        <f>SUM(E338:E374)</f>
        <v>122716323.566</v>
      </c>
      <c r="F337" s="203">
        <f t="shared" si="188"/>
        <v>122716323.566</v>
      </c>
      <c r="G337" s="203">
        <f>SUM(G338:G374)</f>
        <v>0</v>
      </c>
      <c r="H337" s="203">
        <f t="shared" si="189"/>
        <v>122716323.566</v>
      </c>
      <c r="I337" s="203">
        <f>SUM(I338:I374)</f>
        <v>0</v>
      </c>
      <c r="J337" s="203">
        <f t="shared" si="190"/>
        <v>122716323.566</v>
      </c>
      <c r="K337" s="203">
        <f t="shared" ref="K337:X337" si="198">SUM(K338:K374)</f>
        <v>100000</v>
      </c>
      <c r="L337" s="203">
        <f t="shared" si="198"/>
        <v>973730</v>
      </c>
      <c r="M337" s="203">
        <f t="shared" si="198"/>
        <v>90000</v>
      </c>
      <c r="N337" s="203">
        <f t="shared" si="198"/>
        <v>63275</v>
      </c>
      <c r="O337" s="203">
        <f t="shared" si="198"/>
        <v>274540</v>
      </c>
      <c r="P337" s="203">
        <f t="shared" si="198"/>
        <v>3509011.5660000001</v>
      </c>
      <c r="Q337" s="203">
        <f t="shared" si="198"/>
        <v>0</v>
      </c>
      <c r="R337" s="203">
        <f t="shared" si="198"/>
        <v>75000</v>
      </c>
      <c r="S337" s="203">
        <f t="shared" si="198"/>
        <v>117630767</v>
      </c>
      <c r="T337" s="203">
        <f t="shared" si="198"/>
        <v>0</v>
      </c>
      <c r="U337" s="203">
        <f t="shared" si="198"/>
        <v>0</v>
      </c>
      <c r="V337" s="203">
        <f t="shared" si="198"/>
        <v>251252</v>
      </c>
      <c r="W337" s="203">
        <f t="shared" si="198"/>
        <v>2335140</v>
      </c>
      <c r="X337" s="203">
        <f t="shared" si="198"/>
        <v>23207840</v>
      </c>
      <c r="Y337" s="203">
        <f t="shared" si="192"/>
        <v>25794232</v>
      </c>
      <c r="Z337" s="203">
        <f>SUM(Z338:Z374)</f>
        <v>3903800</v>
      </c>
      <c r="AA337" s="203">
        <f>SUM(AA338:AA374)</f>
        <v>1216001.5660000001</v>
      </c>
      <c r="AB337" s="203">
        <f>SUM(AB338:AB374)</f>
        <v>10000</v>
      </c>
      <c r="AC337" s="203">
        <f t="shared" si="193"/>
        <v>5129801.5659999996</v>
      </c>
      <c r="AD337" s="203">
        <f>SUM(AD338:AD374)</f>
        <v>35000</v>
      </c>
      <c r="AE337" s="203">
        <f>SUM(AE338:AE374)</f>
        <v>0</v>
      </c>
      <c r="AF337" s="203">
        <f>SUM(AF338:AF374)</f>
        <v>40650</v>
      </c>
      <c r="AG337" s="203">
        <f t="shared" si="194"/>
        <v>75650</v>
      </c>
      <c r="AH337" s="203">
        <f>SUM(AH338:AH374)</f>
        <v>0</v>
      </c>
      <c r="AI337" s="203">
        <f>SUM(AI338:AI374)</f>
        <v>91708000</v>
      </c>
      <c r="AJ337" s="203">
        <f>SUM(AJ338:AJ374)</f>
        <v>0</v>
      </c>
      <c r="AK337" s="203">
        <f t="shared" si="195"/>
        <v>91708000</v>
      </c>
      <c r="AL337" s="203">
        <f t="shared" si="196"/>
        <v>122707683.566</v>
      </c>
    </row>
    <row r="338" spans="2:38" x14ac:dyDescent="0.25">
      <c r="B338" s="192" t="s">
        <v>414</v>
      </c>
      <c r="C338" s="193" t="s">
        <v>285</v>
      </c>
      <c r="D3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53800</v>
      </c>
      <c r="F338" s="194">
        <f t="shared" si="188"/>
        <v>53800</v>
      </c>
      <c r="G338" s="194"/>
      <c r="H338" s="194">
        <f t="shared" si="189"/>
        <v>53800</v>
      </c>
      <c r="I338" s="194"/>
      <c r="J338" s="194">
        <f t="shared" si="190"/>
        <v>53800</v>
      </c>
      <c r="K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53800</v>
      </c>
      <c r="Q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53800</v>
      </c>
      <c r="X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8" s="194">
        <f t="shared" si="192"/>
        <v>53800</v>
      </c>
      <c r="Z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194">
        <f t="shared" si="193"/>
        <v>0</v>
      </c>
      <c r="AD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194">
        <f t="shared" si="194"/>
        <v>0</v>
      </c>
      <c r="AH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194">
        <f t="shared" si="195"/>
        <v>0</v>
      </c>
      <c r="AL338" s="194">
        <f t="shared" si="196"/>
        <v>53800</v>
      </c>
    </row>
    <row r="339" spans="2:38" x14ac:dyDescent="0.25">
      <c r="B339" s="192" t="s">
        <v>1188</v>
      </c>
      <c r="C339" s="193" t="s">
        <v>1189</v>
      </c>
      <c r="D3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112650</v>
      </c>
      <c r="F339" s="194">
        <f t="shared" si="188"/>
        <v>112650</v>
      </c>
      <c r="G339" s="194"/>
      <c r="H339" s="194">
        <f t="shared" si="189"/>
        <v>112650</v>
      </c>
      <c r="I339" s="194"/>
      <c r="J339" s="194">
        <f t="shared" si="190"/>
        <v>112650</v>
      </c>
      <c r="K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40650</v>
      </c>
      <c r="P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72000</v>
      </c>
      <c r="Q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72000</v>
      </c>
      <c r="X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194">
        <f t="shared" si="192"/>
        <v>72000</v>
      </c>
      <c r="Z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194">
        <f t="shared" si="193"/>
        <v>0</v>
      </c>
      <c r="AD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40650</v>
      </c>
      <c r="AG339" s="194">
        <f t="shared" si="194"/>
        <v>40650</v>
      </c>
      <c r="AH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194">
        <f t="shared" si="195"/>
        <v>0</v>
      </c>
      <c r="AL339" s="194">
        <f t="shared" si="196"/>
        <v>112650</v>
      </c>
    </row>
    <row r="340" spans="2:38" x14ac:dyDescent="0.25">
      <c r="B340" s="192" t="s">
        <v>1190</v>
      </c>
      <c r="C340" s="193" t="s">
        <v>1189</v>
      </c>
      <c r="D3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74200</v>
      </c>
      <c r="F340" s="194">
        <f t="shared" si="188"/>
        <v>74200</v>
      </c>
      <c r="G340" s="194"/>
      <c r="H340" s="194">
        <f t="shared" si="189"/>
        <v>74200</v>
      </c>
      <c r="I340" s="194"/>
      <c r="J340" s="194">
        <f t="shared" si="190"/>
        <v>74200</v>
      </c>
      <c r="K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49000</v>
      </c>
      <c r="M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25200</v>
      </c>
      <c r="O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74200</v>
      </c>
      <c r="Y340" s="194">
        <f t="shared" si="192"/>
        <v>74200</v>
      </c>
      <c r="Z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194">
        <f t="shared" si="193"/>
        <v>0</v>
      </c>
      <c r="AD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194">
        <f t="shared" si="194"/>
        <v>0</v>
      </c>
      <c r="AH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194">
        <f t="shared" si="195"/>
        <v>0</v>
      </c>
      <c r="AL340" s="194">
        <f t="shared" si="196"/>
        <v>74200</v>
      </c>
    </row>
    <row r="341" spans="2:38" x14ac:dyDescent="0.25">
      <c r="B341" s="192" t="s">
        <v>1191</v>
      </c>
      <c r="C341" s="193" t="s">
        <v>1192</v>
      </c>
      <c r="D3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95000</v>
      </c>
      <c r="F341" s="194">
        <f t="shared" si="188"/>
        <v>95000</v>
      </c>
      <c r="G341" s="194"/>
      <c r="H341" s="194">
        <f t="shared" si="189"/>
        <v>95000</v>
      </c>
      <c r="I341" s="194"/>
      <c r="J341" s="194">
        <f t="shared" si="190"/>
        <v>95000</v>
      </c>
      <c r="K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95000</v>
      </c>
      <c r="M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80000</v>
      </c>
      <c r="Y341" s="194">
        <f t="shared" si="192"/>
        <v>80000</v>
      </c>
      <c r="Z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194">
        <f t="shared" si="193"/>
        <v>0</v>
      </c>
      <c r="AD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5000</v>
      </c>
      <c r="AE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194">
        <f t="shared" si="194"/>
        <v>5000</v>
      </c>
      <c r="AH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AJ3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194">
        <f t="shared" si="195"/>
        <v>10000</v>
      </c>
      <c r="AL341" s="194">
        <f t="shared" si="196"/>
        <v>95000</v>
      </c>
    </row>
    <row r="342" spans="2:38" x14ac:dyDescent="0.25">
      <c r="B342" s="192" t="s">
        <v>1193</v>
      </c>
      <c r="C342" s="193" t="s">
        <v>1192</v>
      </c>
      <c r="D34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20000</v>
      </c>
      <c r="F342" s="194">
        <f t="shared" si="188"/>
        <v>20000</v>
      </c>
      <c r="G342" s="194"/>
      <c r="H342" s="194">
        <f t="shared" si="189"/>
        <v>20000</v>
      </c>
      <c r="I342" s="194"/>
      <c r="J342" s="194">
        <f t="shared" si="190"/>
        <v>20000</v>
      </c>
      <c r="K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Q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20000</v>
      </c>
      <c r="X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194">
        <f t="shared" si="192"/>
        <v>20000</v>
      </c>
      <c r="Z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194">
        <f t="shared" si="193"/>
        <v>0</v>
      </c>
      <c r="AD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194">
        <f t="shared" si="194"/>
        <v>0</v>
      </c>
      <c r="AH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194">
        <f t="shared" si="195"/>
        <v>0</v>
      </c>
      <c r="AL342" s="194">
        <f t="shared" si="196"/>
        <v>20000</v>
      </c>
    </row>
    <row r="343" spans="2:38" x14ac:dyDescent="0.25">
      <c r="B343" s="192" t="s">
        <v>1194</v>
      </c>
      <c r="C343" s="193" t="s">
        <v>1195</v>
      </c>
      <c r="D34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194">
        <f t="shared" si="188"/>
        <v>0</v>
      </c>
      <c r="G343" s="194"/>
      <c r="H343" s="194">
        <f t="shared" si="189"/>
        <v>0</v>
      </c>
      <c r="I343" s="194"/>
      <c r="J343" s="194">
        <f t="shared" si="190"/>
        <v>0</v>
      </c>
      <c r="K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194">
        <f t="shared" si="192"/>
        <v>0</v>
      </c>
      <c r="Z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194">
        <f t="shared" si="193"/>
        <v>0</v>
      </c>
      <c r="AD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194">
        <f t="shared" si="194"/>
        <v>0</v>
      </c>
      <c r="AH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194">
        <f t="shared" si="195"/>
        <v>0</v>
      </c>
      <c r="AL343" s="194">
        <f t="shared" si="196"/>
        <v>0</v>
      </c>
    </row>
    <row r="344" spans="2:38" x14ac:dyDescent="0.25">
      <c r="B344" s="192" t="s">
        <v>1196</v>
      </c>
      <c r="C344" s="193" t="s">
        <v>1197</v>
      </c>
      <c r="D3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194">
        <f t="shared" si="188"/>
        <v>0</v>
      </c>
      <c r="G344" s="194"/>
      <c r="H344" s="194">
        <f t="shared" si="189"/>
        <v>0</v>
      </c>
      <c r="I344" s="194"/>
      <c r="J344" s="194">
        <f t="shared" si="190"/>
        <v>0</v>
      </c>
      <c r="K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194">
        <f t="shared" si="192"/>
        <v>0</v>
      </c>
      <c r="Z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194">
        <f t="shared" si="193"/>
        <v>0</v>
      </c>
      <c r="AD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194">
        <f t="shared" si="194"/>
        <v>0</v>
      </c>
      <c r="AH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194">
        <f t="shared" si="195"/>
        <v>0</v>
      </c>
      <c r="AL344" s="194">
        <f t="shared" si="196"/>
        <v>0</v>
      </c>
    </row>
    <row r="345" spans="2:38" x14ac:dyDescent="0.25">
      <c r="B345" s="192" t="s">
        <v>1198</v>
      </c>
      <c r="C345" s="193" t="s">
        <v>1199</v>
      </c>
      <c r="D3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194">
        <f t="shared" si="188"/>
        <v>0</v>
      </c>
      <c r="G345" s="194"/>
      <c r="H345" s="194">
        <f t="shared" si="189"/>
        <v>0</v>
      </c>
      <c r="I345" s="194"/>
      <c r="J345" s="194">
        <f t="shared" si="190"/>
        <v>0</v>
      </c>
      <c r="K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194">
        <f t="shared" si="192"/>
        <v>0</v>
      </c>
      <c r="Z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194">
        <f t="shared" si="193"/>
        <v>0</v>
      </c>
      <c r="AD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194">
        <f t="shared" si="194"/>
        <v>0</v>
      </c>
      <c r="AH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194">
        <f t="shared" si="195"/>
        <v>0</v>
      </c>
      <c r="AL345" s="194">
        <f t="shared" si="196"/>
        <v>0</v>
      </c>
    </row>
    <row r="346" spans="2:38" x14ac:dyDescent="0.25">
      <c r="B346" s="192" t="s">
        <v>1200</v>
      </c>
      <c r="C346" s="193" t="s">
        <v>1201</v>
      </c>
      <c r="D34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6352582</v>
      </c>
      <c r="F346" s="194">
        <f t="shared" si="188"/>
        <v>6352582</v>
      </c>
      <c r="G346" s="194"/>
      <c r="H346" s="194">
        <f t="shared" si="189"/>
        <v>6352582</v>
      </c>
      <c r="I346" s="194"/>
      <c r="J346" s="194">
        <f t="shared" si="190"/>
        <v>6352582</v>
      </c>
      <c r="K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100000</v>
      </c>
      <c r="L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518430</v>
      </c>
      <c r="M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8075</v>
      </c>
      <c r="O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79900</v>
      </c>
      <c r="Q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5646177</v>
      </c>
      <c r="T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219252</v>
      </c>
      <c r="W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70000</v>
      </c>
      <c r="X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5544900</v>
      </c>
      <c r="Y346" s="194">
        <f t="shared" si="192"/>
        <v>5834152</v>
      </c>
      <c r="Z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518430</v>
      </c>
      <c r="AB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194">
        <f t="shared" si="193"/>
        <v>518430</v>
      </c>
      <c r="AD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194">
        <f t="shared" si="194"/>
        <v>0</v>
      </c>
      <c r="AH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194">
        <f t="shared" si="195"/>
        <v>0</v>
      </c>
      <c r="AL346" s="194">
        <f t="shared" si="196"/>
        <v>6352582</v>
      </c>
    </row>
    <row r="347" spans="2:38" x14ac:dyDescent="0.25">
      <c r="B347" s="192" t="s">
        <v>1202</v>
      </c>
      <c r="C347" s="193" t="s">
        <v>1203</v>
      </c>
      <c r="D34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7" s="194">
        <f t="shared" si="188"/>
        <v>0</v>
      </c>
      <c r="G347" s="194"/>
      <c r="H347" s="194">
        <f t="shared" si="189"/>
        <v>0</v>
      </c>
      <c r="I347" s="194"/>
      <c r="J347" s="194">
        <f t="shared" si="190"/>
        <v>0</v>
      </c>
      <c r="K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194">
        <f t="shared" si="192"/>
        <v>0</v>
      </c>
      <c r="Z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194">
        <f t="shared" si="193"/>
        <v>0</v>
      </c>
      <c r="AD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194">
        <f t="shared" si="194"/>
        <v>0</v>
      </c>
      <c r="AH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194">
        <f t="shared" si="195"/>
        <v>0</v>
      </c>
      <c r="AL347" s="194">
        <f t="shared" si="196"/>
        <v>0</v>
      </c>
    </row>
    <row r="348" spans="2:38" x14ac:dyDescent="0.25">
      <c r="B348" s="192" t="s">
        <v>415</v>
      </c>
      <c r="C348" s="193" t="s">
        <v>1204</v>
      </c>
      <c r="D3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10000</v>
      </c>
      <c r="F348" s="194">
        <f t="shared" si="188"/>
        <v>10000</v>
      </c>
      <c r="G348" s="194"/>
      <c r="H348" s="194">
        <f t="shared" si="189"/>
        <v>10000</v>
      </c>
      <c r="I348" s="194"/>
      <c r="J348" s="194">
        <f t="shared" si="190"/>
        <v>10000</v>
      </c>
      <c r="K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v>
      </c>
      <c r="M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194">
        <f t="shared" si="192"/>
        <v>0</v>
      </c>
      <c r="Z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194">
        <f t="shared" si="193"/>
        <v>0</v>
      </c>
      <c r="AD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194">
        <f t="shared" si="194"/>
        <v>0</v>
      </c>
      <c r="AH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AJ3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194">
        <f t="shared" si="195"/>
        <v>10000</v>
      </c>
      <c r="AL348" s="194">
        <f t="shared" si="196"/>
        <v>10000</v>
      </c>
    </row>
    <row r="349" spans="2:38" x14ac:dyDescent="0.25">
      <c r="B349" s="192" t="s">
        <v>1205</v>
      </c>
      <c r="C349" s="193" t="s">
        <v>1204</v>
      </c>
      <c r="D3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9" s="194">
        <f t="shared" si="188"/>
        <v>0</v>
      </c>
      <c r="G349" s="194"/>
      <c r="H349" s="194">
        <f t="shared" si="189"/>
        <v>0</v>
      </c>
      <c r="I349" s="194"/>
      <c r="J349" s="194">
        <f t="shared" si="190"/>
        <v>0</v>
      </c>
      <c r="K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194">
        <f t="shared" si="192"/>
        <v>0</v>
      </c>
      <c r="Z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9" s="194">
        <f t="shared" si="193"/>
        <v>0</v>
      </c>
      <c r="AD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194">
        <f t="shared" si="194"/>
        <v>0</v>
      </c>
      <c r="AH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194">
        <f t="shared" si="195"/>
        <v>0</v>
      </c>
      <c r="AL349" s="194">
        <f t="shared" si="196"/>
        <v>0</v>
      </c>
    </row>
    <row r="350" spans="2:38" x14ac:dyDescent="0.25">
      <c r="B350" s="192" t="s">
        <v>1206</v>
      </c>
      <c r="C350" s="193" t="s">
        <v>1207</v>
      </c>
      <c r="D35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194">
        <f t="shared" si="188"/>
        <v>0</v>
      </c>
      <c r="G350" s="194"/>
      <c r="H350" s="194">
        <f t="shared" si="189"/>
        <v>0</v>
      </c>
      <c r="I350" s="194"/>
      <c r="J350" s="194">
        <f t="shared" si="190"/>
        <v>0</v>
      </c>
      <c r="K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194">
        <f t="shared" si="192"/>
        <v>0</v>
      </c>
      <c r="Z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194">
        <f t="shared" si="193"/>
        <v>0</v>
      </c>
      <c r="AD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194">
        <f t="shared" si="194"/>
        <v>0</v>
      </c>
      <c r="AH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194">
        <f t="shared" si="195"/>
        <v>0</v>
      </c>
      <c r="AL350" s="194">
        <f t="shared" si="196"/>
        <v>0</v>
      </c>
    </row>
    <row r="351" spans="2:38" x14ac:dyDescent="0.25">
      <c r="B351" s="192" t="s">
        <v>1208</v>
      </c>
      <c r="C351" s="193" t="s">
        <v>1209</v>
      </c>
      <c r="D3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99936500</v>
      </c>
      <c r="F351" s="194">
        <f t="shared" si="188"/>
        <v>99936500</v>
      </c>
      <c r="G351" s="194"/>
      <c r="H351" s="194">
        <f t="shared" si="189"/>
        <v>99936500</v>
      </c>
      <c r="I351" s="194"/>
      <c r="J351" s="194">
        <f t="shared" si="190"/>
        <v>99936500</v>
      </c>
      <c r="K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200000</v>
      </c>
      <c r="P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99736500</v>
      </c>
      <c r="T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200000</v>
      </c>
      <c r="X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8051500</v>
      </c>
      <c r="Y351" s="194">
        <f t="shared" si="192"/>
        <v>8251500</v>
      </c>
      <c r="Z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194">
        <f t="shared" si="193"/>
        <v>0</v>
      </c>
      <c r="AD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1" s="194">
        <f t="shared" si="194"/>
        <v>0</v>
      </c>
      <c r="AH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91685000</v>
      </c>
      <c r="AJ3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194">
        <f t="shared" si="195"/>
        <v>91685000</v>
      </c>
      <c r="AL351" s="194">
        <f t="shared" si="196"/>
        <v>99936500</v>
      </c>
    </row>
    <row r="352" spans="2:38" x14ac:dyDescent="0.25">
      <c r="B352" s="192" t="s">
        <v>416</v>
      </c>
      <c r="C352" s="193" t="s">
        <v>1210</v>
      </c>
      <c r="D3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2" s="194">
        <f t="shared" si="188"/>
        <v>0</v>
      </c>
      <c r="G352" s="194"/>
      <c r="H352" s="194">
        <f t="shared" si="189"/>
        <v>0</v>
      </c>
      <c r="I352" s="194"/>
      <c r="J352" s="194">
        <f t="shared" si="190"/>
        <v>0</v>
      </c>
      <c r="K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194">
        <f t="shared" si="192"/>
        <v>0</v>
      </c>
      <c r="Z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194">
        <f t="shared" si="193"/>
        <v>0</v>
      </c>
      <c r="AD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194">
        <f t="shared" si="194"/>
        <v>0</v>
      </c>
      <c r="AH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194">
        <f t="shared" si="195"/>
        <v>0</v>
      </c>
      <c r="AL352" s="194">
        <f t="shared" si="196"/>
        <v>0</v>
      </c>
    </row>
    <row r="353" spans="2:38" x14ac:dyDescent="0.25">
      <c r="B353" s="192" t="s">
        <v>1211</v>
      </c>
      <c r="C353" s="193" t="s">
        <v>1210</v>
      </c>
      <c r="D3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3" s="194">
        <f t="shared" si="188"/>
        <v>0</v>
      </c>
      <c r="G353" s="194"/>
      <c r="H353" s="194">
        <f t="shared" si="189"/>
        <v>0</v>
      </c>
      <c r="I353" s="194"/>
      <c r="J353" s="194">
        <f t="shared" si="190"/>
        <v>0</v>
      </c>
      <c r="K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194">
        <f t="shared" si="192"/>
        <v>0</v>
      </c>
      <c r="Z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194">
        <f t="shared" si="193"/>
        <v>0</v>
      </c>
      <c r="AD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194">
        <f t="shared" si="194"/>
        <v>0</v>
      </c>
      <c r="AH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194">
        <f t="shared" si="195"/>
        <v>0</v>
      </c>
      <c r="AL353" s="194">
        <f t="shared" si="196"/>
        <v>0</v>
      </c>
    </row>
    <row r="354" spans="2:38" x14ac:dyDescent="0.25">
      <c r="B354" s="192" t="s">
        <v>1212</v>
      </c>
      <c r="C354" s="193" t="s">
        <v>1213</v>
      </c>
      <c r="D3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194">
        <f t="shared" si="188"/>
        <v>0</v>
      </c>
      <c r="G354" s="194"/>
      <c r="H354" s="194">
        <f t="shared" si="189"/>
        <v>0</v>
      </c>
      <c r="I354" s="194"/>
      <c r="J354" s="194">
        <f t="shared" si="190"/>
        <v>0</v>
      </c>
      <c r="K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194">
        <f t="shared" si="192"/>
        <v>0</v>
      </c>
      <c r="Z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194">
        <f t="shared" si="193"/>
        <v>0</v>
      </c>
      <c r="AD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194">
        <f t="shared" si="194"/>
        <v>0</v>
      </c>
      <c r="AH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194">
        <f t="shared" si="195"/>
        <v>0</v>
      </c>
      <c r="AL354" s="194">
        <f t="shared" si="196"/>
        <v>0</v>
      </c>
    </row>
    <row r="355" spans="2:38" x14ac:dyDescent="0.25">
      <c r="B355" s="192" t="s">
        <v>1214</v>
      </c>
      <c r="C355" s="193" t="s">
        <v>1215</v>
      </c>
      <c r="D3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194">
        <f t="shared" ref="F355:F370" si="199">D355+E355</f>
        <v>0</v>
      </c>
      <c r="G355" s="194"/>
      <c r="H355" s="194">
        <f t="shared" ref="H355:H370" si="200">F355-G355</f>
        <v>0</v>
      </c>
      <c r="I355" s="194"/>
      <c r="J355" s="194">
        <f t="shared" ref="J355:J370" si="201">F355-I355</f>
        <v>0</v>
      </c>
      <c r="K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194">
        <f t="shared" ref="Y355:Y370" si="202">V355+W355+X355</f>
        <v>0</v>
      </c>
      <c r="Z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194">
        <f t="shared" ref="AC355:AC370" si="203">Z355+AA355+AB355</f>
        <v>0</v>
      </c>
      <c r="AD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194">
        <f t="shared" ref="AG355:AG370" si="204">AD355+AE355+AF355</f>
        <v>0</v>
      </c>
      <c r="AH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194">
        <f t="shared" ref="AK355:AK370" si="205">AH355+AI355+AJ355</f>
        <v>0</v>
      </c>
      <c r="AL355" s="194">
        <f t="shared" ref="AL355:AL370" si="206">Y355+AC355+AG355+AK355</f>
        <v>0</v>
      </c>
    </row>
    <row r="356" spans="2:38" x14ac:dyDescent="0.25">
      <c r="B356" s="192" t="s">
        <v>1216</v>
      </c>
      <c r="C356" s="193" t="s">
        <v>1217</v>
      </c>
      <c r="D3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194">
        <f t="shared" si="199"/>
        <v>0</v>
      </c>
      <c r="G356" s="194"/>
      <c r="H356" s="194">
        <f t="shared" si="200"/>
        <v>0</v>
      </c>
      <c r="I356" s="194"/>
      <c r="J356" s="194">
        <f t="shared" si="201"/>
        <v>0</v>
      </c>
      <c r="K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194">
        <f t="shared" si="202"/>
        <v>0</v>
      </c>
      <c r="Z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194">
        <f t="shared" si="203"/>
        <v>0</v>
      </c>
      <c r="AD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194">
        <f t="shared" si="204"/>
        <v>0</v>
      </c>
      <c r="AH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194">
        <f t="shared" si="205"/>
        <v>0</v>
      </c>
      <c r="AL356" s="194">
        <f t="shared" si="206"/>
        <v>0</v>
      </c>
    </row>
    <row r="357" spans="2:38" x14ac:dyDescent="0.25">
      <c r="B357" s="192" t="s">
        <v>417</v>
      </c>
      <c r="C357" s="193" t="s">
        <v>1218</v>
      </c>
      <c r="D35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4681761.5659999996</v>
      </c>
      <c r="F357" s="194">
        <f t="shared" si="199"/>
        <v>4681761.5659999996</v>
      </c>
      <c r="G357" s="194"/>
      <c r="H357" s="194">
        <f t="shared" si="200"/>
        <v>4681761.5659999996</v>
      </c>
      <c r="I357" s="194"/>
      <c r="J357" s="194">
        <f t="shared" si="201"/>
        <v>4681761.5659999996</v>
      </c>
      <c r="K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125500</v>
      </c>
      <c r="M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30000</v>
      </c>
      <c r="O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12250</v>
      </c>
      <c r="P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1237271.5660000001</v>
      </c>
      <c r="Q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3276740</v>
      </c>
      <c r="T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32000</v>
      </c>
      <c r="W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667000</v>
      </c>
      <c r="X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3330240</v>
      </c>
      <c r="Y357" s="194">
        <f t="shared" si="202"/>
        <v>4029240</v>
      </c>
      <c r="Z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19450</v>
      </c>
      <c r="AA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633071.56599999999</v>
      </c>
      <c r="AB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194">
        <f t="shared" si="203"/>
        <v>652521.56599999999</v>
      </c>
      <c r="AD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194">
        <f t="shared" si="204"/>
        <v>0</v>
      </c>
      <c r="AH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194">
        <f t="shared" si="205"/>
        <v>0</v>
      </c>
      <c r="AL357" s="194">
        <f t="shared" si="206"/>
        <v>4681761.5659999996</v>
      </c>
    </row>
    <row r="358" spans="2:38" x14ac:dyDescent="0.25">
      <c r="B358" s="192" t="s">
        <v>1219</v>
      </c>
      <c r="C358" s="193" t="s">
        <v>1220</v>
      </c>
      <c r="D3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2025340</v>
      </c>
      <c r="F358" s="194">
        <f t="shared" si="199"/>
        <v>2025340</v>
      </c>
      <c r="G358" s="194"/>
      <c r="H358" s="194">
        <f t="shared" si="200"/>
        <v>2025340</v>
      </c>
      <c r="I358" s="194"/>
      <c r="J358" s="194">
        <f t="shared" si="201"/>
        <v>2025340</v>
      </c>
      <c r="K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175800</v>
      </c>
      <c r="M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1815040</v>
      </c>
      <c r="Q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34500</v>
      </c>
      <c r="T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1071340</v>
      </c>
      <c r="X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765500</v>
      </c>
      <c r="Y358" s="194">
        <f t="shared" si="202"/>
        <v>1836840</v>
      </c>
      <c r="Z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94000</v>
      </c>
      <c r="AA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64500</v>
      </c>
      <c r="AB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194">
        <f t="shared" si="203"/>
        <v>158500</v>
      </c>
      <c r="AD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30000</v>
      </c>
      <c r="AE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194">
        <f t="shared" si="204"/>
        <v>30000</v>
      </c>
      <c r="AH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8" s="194">
        <f t="shared" si="205"/>
        <v>0</v>
      </c>
      <c r="AL358" s="194">
        <f t="shared" si="206"/>
        <v>2025340</v>
      </c>
    </row>
    <row r="359" spans="2:38" x14ac:dyDescent="0.25">
      <c r="B359" s="192" t="s">
        <v>1221</v>
      </c>
      <c r="C359" s="193" t="s">
        <v>1222</v>
      </c>
      <c r="D35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194">
        <f t="shared" si="199"/>
        <v>0</v>
      </c>
      <c r="G359" s="194"/>
      <c r="H359" s="194">
        <f t="shared" si="200"/>
        <v>0</v>
      </c>
      <c r="I359" s="194"/>
      <c r="J359" s="194">
        <f t="shared" si="201"/>
        <v>0</v>
      </c>
      <c r="K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194">
        <f t="shared" si="202"/>
        <v>0</v>
      </c>
      <c r="Z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194">
        <f t="shared" si="203"/>
        <v>0</v>
      </c>
      <c r="AD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194">
        <f t="shared" si="204"/>
        <v>0</v>
      </c>
      <c r="AH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194">
        <f t="shared" si="205"/>
        <v>0</v>
      </c>
      <c r="AL359" s="194">
        <f t="shared" si="206"/>
        <v>0</v>
      </c>
    </row>
    <row r="360" spans="2:38" x14ac:dyDescent="0.25">
      <c r="B360" s="192" t="s">
        <v>1223</v>
      </c>
      <c r="C360" s="193" t="s">
        <v>1224</v>
      </c>
      <c r="D36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194">
        <f t="shared" si="199"/>
        <v>0</v>
      </c>
      <c r="G360" s="194"/>
      <c r="H360" s="194">
        <f t="shared" si="200"/>
        <v>0</v>
      </c>
      <c r="I360" s="194"/>
      <c r="J360" s="194">
        <f t="shared" si="201"/>
        <v>0</v>
      </c>
      <c r="K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194">
        <f t="shared" si="202"/>
        <v>0</v>
      </c>
      <c r="Z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194">
        <f t="shared" si="203"/>
        <v>0</v>
      </c>
      <c r="AD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194">
        <f t="shared" si="204"/>
        <v>0</v>
      </c>
      <c r="AH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194">
        <f t="shared" si="205"/>
        <v>0</v>
      </c>
      <c r="AL360" s="194">
        <f t="shared" si="206"/>
        <v>0</v>
      </c>
    </row>
    <row r="361" spans="2:38" x14ac:dyDescent="0.25">
      <c r="B361" s="192" t="s">
        <v>1225</v>
      </c>
      <c r="C361" s="193" t="s">
        <v>1226</v>
      </c>
      <c r="D3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194">
        <f t="shared" si="199"/>
        <v>0</v>
      </c>
      <c r="G361" s="194"/>
      <c r="H361" s="194">
        <f t="shared" si="200"/>
        <v>0</v>
      </c>
      <c r="I361" s="194"/>
      <c r="J361" s="194">
        <f t="shared" si="201"/>
        <v>0</v>
      </c>
      <c r="K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194">
        <f t="shared" si="202"/>
        <v>0</v>
      </c>
      <c r="Z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194">
        <f t="shared" si="203"/>
        <v>0</v>
      </c>
      <c r="AD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194">
        <f t="shared" si="204"/>
        <v>0</v>
      </c>
      <c r="AH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194">
        <f t="shared" si="205"/>
        <v>0</v>
      </c>
      <c r="AL361" s="194">
        <f t="shared" si="206"/>
        <v>0</v>
      </c>
    </row>
    <row r="362" spans="2:38" x14ac:dyDescent="0.25">
      <c r="B362" s="192" t="s">
        <v>418</v>
      </c>
      <c r="C362" s="193" t="s">
        <v>1227</v>
      </c>
      <c r="D3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21640</v>
      </c>
      <c r="F362" s="194">
        <f t="shared" si="199"/>
        <v>21640</v>
      </c>
      <c r="G362" s="194"/>
      <c r="H362" s="194">
        <f t="shared" si="200"/>
        <v>21640</v>
      </c>
      <c r="I362" s="194"/>
      <c r="J362" s="194">
        <f t="shared" si="201"/>
        <v>21640</v>
      </c>
      <c r="K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21640</v>
      </c>
      <c r="P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194">
        <f t="shared" si="202"/>
        <v>0</v>
      </c>
      <c r="Z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AC362" s="194">
        <f t="shared" si="203"/>
        <v>10000</v>
      </c>
      <c r="AD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194">
        <f t="shared" si="204"/>
        <v>0</v>
      </c>
      <c r="AH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3000</v>
      </c>
      <c r="AJ3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194">
        <f t="shared" si="205"/>
        <v>3000</v>
      </c>
      <c r="AL362" s="194">
        <f t="shared" si="206"/>
        <v>13000</v>
      </c>
    </row>
    <row r="363" spans="2:38" x14ac:dyDescent="0.25">
      <c r="B363" s="192" t="s">
        <v>1228</v>
      </c>
      <c r="C363" s="193" t="s">
        <v>1229</v>
      </c>
      <c r="D3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194">
        <f t="shared" si="199"/>
        <v>0</v>
      </c>
      <c r="G363" s="194"/>
      <c r="H363" s="194">
        <f t="shared" si="200"/>
        <v>0</v>
      </c>
      <c r="I363" s="194"/>
      <c r="J363" s="194">
        <f t="shared" si="201"/>
        <v>0</v>
      </c>
      <c r="K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194">
        <f t="shared" si="202"/>
        <v>0</v>
      </c>
      <c r="Z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194">
        <f t="shared" si="203"/>
        <v>0</v>
      </c>
      <c r="AD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194">
        <f t="shared" si="204"/>
        <v>0</v>
      </c>
      <c r="AH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194">
        <f t="shared" si="205"/>
        <v>0</v>
      </c>
      <c r="AL363" s="194">
        <f t="shared" si="206"/>
        <v>0</v>
      </c>
    </row>
    <row r="364" spans="2:38" x14ac:dyDescent="0.25">
      <c r="B364" s="192" t="s">
        <v>1230</v>
      </c>
      <c r="C364" s="193" t="s">
        <v>1231</v>
      </c>
      <c r="D3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9242850</v>
      </c>
      <c r="F364" s="194">
        <f t="shared" si="199"/>
        <v>9242850</v>
      </c>
      <c r="G364" s="194"/>
      <c r="H364" s="194">
        <f t="shared" si="200"/>
        <v>9242850</v>
      </c>
      <c r="I364" s="194"/>
      <c r="J364" s="194">
        <f t="shared" si="201"/>
        <v>9242850</v>
      </c>
      <c r="K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231000</v>
      </c>
      <c r="Q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75000</v>
      </c>
      <c r="S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8936850</v>
      </c>
      <c r="T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91000</v>
      </c>
      <c r="X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5361500</v>
      </c>
      <c r="Y364" s="194">
        <f t="shared" si="202"/>
        <v>5452500</v>
      </c>
      <c r="Z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3790350</v>
      </c>
      <c r="AA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194">
        <f t="shared" si="203"/>
        <v>3790350</v>
      </c>
      <c r="AD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194">
        <f t="shared" si="204"/>
        <v>0</v>
      </c>
      <c r="AH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194">
        <f t="shared" si="205"/>
        <v>0</v>
      </c>
      <c r="AL364" s="194">
        <f t="shared" si="206"/>
        <v>9242850</v>
      </c>
    </row>
    <row r="365" spans="2:38" x14ac:dyDescent="0.25">
      <c r="B365" s="192" t="s">
        <v>1232</v>
      </c>
      <c r="C365" s="193" t="s">
        <v>1233</v>
      </c>
      <c r="D36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194">
        <f t="shared" si="199"/>
        <v>0</v>
      </c>
      <c r="G365" s="194"/>
      <c r="H365" s="194">
        <f t="shared" si="200"/>
        <v>0</v>
      </c>
      <c r="I365" s="194"/>
      <c r="J365" s="194">
        <f t="shared" si="201"/>
        <v>0</v>
      </c>
      <c r="K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194">
        <f t="shared" si="202"/>
        <v>0</v>
      </c>
      <c r="Z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194">
        <f t="shared" si="203"/>
        <v>0</v>
      </c>
      <c r="AD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194">
        <f t="shared" si="204"/>
        <v>0</v>
      </c>
      <c r="AH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194">
        <f t="shared" si="205"/>
        <v>0</v>
      </c>
      <c r="AL365" s="194">
        <f t="shared" si="206"/>
        <v>0</v>
      </c>
    </row>
    <row r="366" spans="2:38" x14ac:dyDescent="0.25">
      <c r="B366" s="192" t="s">
        <v>1234</v>
      </c>
      <c r="C366" s="193" t="s">
        <v>1235</v>
      </c>
      <c r="D36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194">
        <f t="shared" si="199"/>
        <v>0</v>
      </c>
      <c r="G366" s="194"/>
      <c r="H366" s="194">
        <f t="shared" si="200"/>
        <v>0</v>
      </c>
      <c r="I366" s="194"/>
      <c r="J366" s="194">
        <f t="shared" si="201"/>
        <v>0</v>
      </c>
      <c r="K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194">
        <f t="shared" si="202"/>
        <v>0</v>
      </c>
      <c r="Z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194">
        <f t="shared" si="203"/>
        <v>0</v>
      </c>
      <c r="AD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194">
        <f t="shared" si="204"/>
        <v>0</v>
      </c>
      <c r="AH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194">
        <f t="shared" si="205"/>
        <v>0</v>
      </c>
      <c r="AL366" s="194">
        <f t="shared" si="206"/>
        <v>0</v>
      </c>
    </row>
    <row r="367" spans="2:38" x14ac:dyDescent="0.25">
      <c r="B367" s="192" t="s">
        <v>1236</v>
      </c>
      <c r="C367" s="193" t="s">
        <v>1237</v>
      </c>
      <c r="D36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194">
        <f t="shared" si="199"/>
        <v>0</v>
      </c>
      <c r="G367" s="194"/>
      <c r="H367" s="194">
        <f t="shared" si="200"/>
        <v>0</v>
      </c>
      <c r="I367" s="194"/>
      <c r="J367" s="194">
        <f t="shared" si="201"/>
        <v>0</v>
      </c>
      <c r="K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194">
        <f t="shared" si="202"/>
        <v>0</v>
      </c>
      <c r="Z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194">
        <f t="shared" si="203"/>
        <v>0</v>
      </c>
      <c r="AD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194">
        <f t="shared" si="204"/>
        <v>0</v>
      </c>
      <c r="AH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194">
        <f t="shared" si="205"/>
        <v>0</v>
      </c>
      <c r="AL367" s="194">
        <f t="shared" si="206"/>
        <v>0</v>
      </c>
    </row>
    <row r="368" spans="2:38" x14ac:dyDescent="0.25">
      <c r="B368" s="192" t="s">
        <v>1238</v>
      </c>
      <c r="C368" s="193" t="s">
        <v>1239</v>
      </c>
      <c r="D3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90000</v>
      </c>
      <c r="F368" s="194">
        <f t="shared" si="199"/>
        <v>90000</v>
      </c>
      <c r="G368" s="194"/>
      <c r="H368" s="194">
        <f t="shared" si="200"/>
        <v>90000</v>
      </c>
      <c r="I368" s="194"/>
      <c r="J368" s="194">
        <f t="shared" si="201"/>
        <v>90000</v>
      </c>
      <c r="K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90000</v>
      </c>
      <c r="N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90000</v>
      </c>
      <c r="X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194">
        <f t="shared" si="202"/>
        <v>90000</v>
      </c>
      <c r="Z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194">
        <f t="shared" si="203"/>
        <v>0</v>
      </c>
      <c r="AD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194">
        <f t="shared" si="204"/>
        <v>0</v>
      </c>
      <c r="AH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194">
        <f t="shared" si="205"/>
        <v>0</v>
      </c>
      <c r="AL368" s="194">
        <f t="shared" si="206"/>
        <v>90000</v>
      </c>
    </row>
    <row r="369" spans="1:38" x14ac:dyDescent="0.25">
      <c r="B369" s="192" t="s">
        <v>1240</v>
      </c>
      <c r="C369" s="193" t="s">
        <v>1241</v>
      </c>
      <c r="D3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194">
        <f t="shared" si="199"/>
        <v>0</v>
      </c>
      <c r="G369" s="194"/>
      <c r="H369" s="194">
        <f t="shared" si="200"/>
        <v>0</v>
      </c>
      <c r="I369" s="194"/>
      <c r="J369" s="194">
        <f t="shared" si="201"/>
        <v>0</v>
      </c>
      <c r="K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194">
        <f t="shared" si="202"/>
        <v>0</v>
      </c>
      <c r="Z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194">
        <f t="shared" si="203"/>
        <v>0</v>
      </c>
      <c r="AD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194">
        <f t="shared" si="204"/>
        <v>0</v>
      </c>
      <c r="AH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194">
        <f t="shared" si="205"/>
        <v>0</v>
      </c>
      <c r="AL369" s="194">
        <f t="shared" si="206"/>
        <v>0</v>
      </c>
    </row>
    <row r="370" spans="1:38" x14ac:dyDescent="0.25">
      <c r="B370" s="192" t="s">
        <v>1242</v>
      </c>
      <c r="C370" s="193" t="s">
        <v>1243</v>
      </c>
      <c r="D3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194">
        <f t="shared" si="199"/>
        <v>0</v>
      </c>
      <c r="G370" s="194"/>
      <c r="H370" s="194">
        <f t="shared" si="200"/>
        <v>0</v>
      </c>
      <c r="I370" s="194"/>
      <c r="J370" s="194">
        <f t="shared" si="201"/>
        <v>0</v>
      </c>
      <c r="K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194">
        <f t="shared" si="202"/>
        <v>0</v>
      </c>
      <c r="Z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194">
        <f t="shared" si="203"/>
        <v>0</v>
      </c>
      <c r="AD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194">
        <f t="shared" si="204"/>
        <v>0</v>
      </c>
      <c r="AH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194">
        <f t="shared" si="205"/>
        <v>0</v>
      </c>
      <c r="AL370" s="194">
        <f t="shared" si="206"/>
        <v>0</v>
      </c>
    </row>
    <row r="371" spans="1:38" x14ac:dyDescent="0.25">
      <c r="B371" s="192" t="s">
        <v>1244</v>
      </c>
      <c r="C371" s="193" t="s">
        <v>1245</v>
      </c>
      <c r="D3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194">
        <f>D371+E371</f>
        <v>0</v>
      </c>
      <c r="G371" s="194"/>
      <c r="H371" s="194">
        <f t="shared" ref="H371:H402" si="207">F371-G371</f>
        <v>0</v>
      </c>
      <c r="I371" s="194"/>
      <c r="J371" s="194">
        <f t="shared" ref="J371:J402" si="208">F371-I371</f>
        <v>0</v>
      </c>
      <c r="K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194">
        <f t="shared" ref="Y371:Y402" si="209">V371+W371+X371</f>
        <v>0</v>
      </c>
      <c r="Z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194">
        <f t="shared" ref="AC371:AC402" si="210">Z371+AA371+AB371</f>
        <v>0</v>
      </c>
      <c r="AD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194">
        <f t="shared" ref="AG371:AG402" si="211">AD371+AE371+AF371</f>
        <v>0</v>
      </c>
      <c r="AH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194">
        <f t="shared" ref="AK371:AK402" si="212">AH371+AI371+AJ371</f>
        <v>0</v>
      </c>
      <c r="AL371" s="194">
        <f t="shared" ref="AL371:AL402" si="213">Y371+AC371+AG371+AK371</f>
        <v>0</v>
      </c>
    </row>
    <row r="372" spans="1:38" x14ac:dyDescent="0.25">
      <c r="B372" s="192" t="s">
        <v>1246</v>
      </c>
      <c r="C372" s="193" t="s">
        <v>1247</v>
      </c>
      <c r="D3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194">
        <f>D372+E372</f>
        <v>0</v>
      </c>
      <c r="G372" s="194"/>
      <c r="H372" s="194">
        <f t="shared" si="207"/>
        <v>0</v>
      </c>
      <c r="I372" s="194"/>
      <c r="J372" s="194">
        <f t="shared" si="208"/>
        <v>0</v>
      </c>
      <c r="K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194">
        <f t="shared" si="209"/>
        <v>0</v>
      </c>
      <c r="Z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194">
        <f t="shared" si="210"/>
        <v>0</v>
      </c>
      <c r="AD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194">
        <f t="shared" si="211"/>
        <v>0</v>
      </c>
      <c r="AH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194">
        <f t="shared" si="212"/>
        <v>0</v>
      </c>
      <c r="AL372" s="194">
        <f t="shared" si="213"/>
        <v>0</v>
      </c>
    </row>
    <row r="373" spans="1:38" x14ac:dyDescent="0.25">
      <c r="B373" s="192" t="s">
        <v>1248</v>
      </c>
      <c r="C373" s="193" t="s">
        <v>1247</v>
      </c>
      <c r="D37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194">
        <f>D373+E373</f>
        <v>0</v>
      </c>
      <c r="G373" s="194"/>
      <c r="H373" s="194">
        <f t="shared" si="207"/>
        <v>0</v>
      </c>
      <c r="I373" s="194"/>
      <c r="J373" s="194">
        <f t="shared" si="208"/>
        <v>0</v>
      </c>
      <c r="K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194">
        <f t="shared" si="209"/>
        <v>0</v>
      </c>
      <c r="Z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194">
        <f t="shared" si="210"/>
        <v>0</v>
      </c>
      <c r="AD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194">
        <f t="shared" si="211"/>
        <v>0</v>
      </c>
      <c r="AH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194">
        <f t="shared" si="212"/>
        <v>0</v>
      </c>
      <c r="AL373" s="194">
        <f t="shared" si="213"/>
        <v>0</v>
      </c>
    </row>
    <row r="374" spans="1:38" x14ac:dyDescent="0.25">
      <c r="B374" s="192" t="s">
        <v>1249</v>
      </c>
      <c r="C374" s="193" t="s">
        <v>1250</v>
      </c>
      <c r="D3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194">
        <f>D374+E374</f>
        <v>0</v>
      </c>
      <c r="G374" s="194"/>
      <c r="H374" s="194">
        <f t="shared" si="207"/>
        <v>0</v>
      </c>
      <c r="I374" s="194"/>
      <c r="J374" s="194">
        <f t="shared" si="208"/>
        <v>0</v>
      </c>
      <c r="K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194">
        <f t="shared" si="209"/>
        <v>0</v>
      </c>
      <c r="Z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194">
        <f t="shared" si="210"/>
        <v>0</v>
      </c>
      <c r="AD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194">
        <f t="shared" si="211"/>
        <v>0</v>
      </c>
      <c r="AH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194">
        <f t="shared" si="212"/>
        <v>0</v>
      </c>
      <c r="AL374" s="194">
        <f t="shared" si="213"/>
        <v>0</v>
      </c>
    </row>
    <row r="375" spans="1:38" x14ac:dyDescent="0.25">
      <c r="B375" s="201" t="s">
        <v>419</v>
      </c>
      <c r="C375" s="202" t="s">
        <v>286</v>
      </c>
      <c r="D375" s="203">
        <f>SUM(D376:D380)</f>
        <v>0</v>
      </c>
      <c r="E375" s="203">
        <f>SUM(E376:E380)</f>
        <v>58000</v>
      </c>
      <c r="F375" s="203">
        <f t="shared" ref="F375:F445" si="214">D375+E375</f>
        <v>58000</v>
      </c>
      <c r="G375" s="203">
        <f>SUM(G376:G380)</f>
        <v>0</v>
      </c>
      <c r="H375" s="203">
        <f t="shared" si="207"/>
        <v>58000</v>
      </c>
      <c r="I375" s="203">
        <f>SUM(I376:I380)</f>
        <v>0</v>
      </c>
      <c r="J375" s="203">
        <f t="shared" si="208"/>
        <v>58000</v>
      </c>
      <c r="K375" s="203">
        <f t="shared" ref="K375:X375" si="215">SUM(K376:K380)</f>
        <v>0</v>
      </c>
      <c r="L375" s="203">
        <f t="shared" si="215"/>
        <v>50000</v>
      </c>
      <c r="M375" s="203">
        <f t="shared" si="215"/>
        <v>0</v>
      </c>
      <c r="N375" s="203">
        <f t="shared" si="215"/>
        <v>0</v>
      </c>
      <c r="O375" s="203">
        <f t="shared" si="215"/>
        <v>0</v>
      </c>
      <c r="P375" s="203">
        <f t="shared" si="215"/>
        <v>8000</v>
      </c>
      <c r="Q375" s="203">
        <f t="shared" si="215"/>
        <v>0</v>
      </c>
      <c r="R375" s="203">
        <f t="shared" si="215"/>
        <v>0</v>
      </c>
      <c r="S375" s="203">
        <f t="shared" si="215"/>
        <v>0</v>
      </c>
      <c r="T375" s="203">
        <f t="shared" si="215"/>
        <v>0</v>
      </c>
      <c r="U375" s="203">
        <f t="shared" si="215"/>
        <v>0</v>
      </c>
      <c r="V375" s="203">
        <f t="shared" si="215"/>
        <v>0</v>
      </c>
      <c r="W375" s="203">
        <f t="shared" si="215"/>
        <v>0</v>
      </c>
      <c r="X375" s="203">
        <f t="shared" si="215"/>
        <v>0</v>
      </c>
      <c r="Y375" s="203">
        <f t="shared" si="209"/>
        <v>0</v>
      </c>
      <c r="Z375" s="203">
        <f>SUM(Z376:Z380)</f>
        <v>8000</v>
      </c>
      <c r="AA375" s="203">
        <f>SUM(AA376:AA380)</f>
        <v>0</v>
      </c>
      <c r="AB375" s="203">
        <f>SUM(AB376:AB380)</f>
        <v>0</v>
      </c>
      <c r="AC375" s="203">
        <f t="shared" si="210"/>
        <v>8000</v>
      </c>
      <c r="AD375" s="203">
        <f>SUM(AD376:AD380)</f>
        <v>50000</v>
      </c>
      <c r="AE375" s="203">
        <f>SUM(AE376:AE380)</f>
        <v>0</v>
      </c>
      <c r="AF375" s="203">
        <f>SUM(AF376:AF380)</f>
        <v>0</v>
      </c>
      <c r="AG375" s="203">
        <f t="shared" si="211"/>
        <v>50000</v>
      </c>
      <c r="AH375" s="203">
        <f>SUM(AH376:AH380)</f>
        <v>0</v>
      </c>
      <c r="AI375" s="203">
        <f>SUM(AI376:AI380)</f>
        <v>0</v>
      </c>
      <c r="AJ375" s="203">
        <f>SUM(AJ376:AJ380)</f>
        <v>0</v>
      </c>
      <c r="AK375" s="203">
        <f t="shared" si="212"/>
        <v>0</v>
      </c>
      <c r="AL375" s="203">
        <f t="shared" si="213"/>
        <v>58000</v>
      </c>
    </row>
    <row r="376" spans="1:38" x14ac:dyDescent="0.25">
      <c r="B376" s="192" t="s">
        <v>420</v>
      </c>
      <c r="C376" s="193" t="s">
        <v>287</v>
      </c>
      <c r="D3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58000</v>
      </c>
      <c r="F376" s="194">
        <f t="shared" si="214"/>
        <v>58000</v>
      </c>
      <c r="G376" s="194"/>
      <c r="H376" s="194">
        <f t="shared" si="207"/>
        <v>58000</v>
      </c>
      <c r="I376" s="194"/>
      <c r="J376" s="194">
        <f t="shared" si="208"/>
        <v>58000</v>
      </c>
      <c r="K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50000</v>
      </c>
      <c r="M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Q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194">
        <f t="shared" si="209"/>
        <v>0</v>
      </c>
      <c r="Z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8000</v>
      </c>
      <c r="AA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194">
        <f t="shared" si="210"/>
        <v>8000</v>
      </c>
      <c r="AD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50000</v>
      </c>
      <c r="AE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194">
        <f t="shared" si="211"/>
        <v>50000</v>
      </c>
      <c r="AH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194">
        <f t="shared" si="212"/>
        <v>0</v>
      </c>
      <c r="AL376" s="194">
        <f t="shared" si="213"/>
        <v>58000</v>
      </c>
    </row>
    <row r="377" spans="1:38" x14ac:dyDescent="0.25">
      <c r="B377" s="192" t="s">
        <v>1251</v>
      </c>
      <c r="C377" s="193" t="s">
        <v>1252</v>
      </c>
      <c r="D3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7" s="194">
        <f t="shared" si="214"/>
        <v>0</v>
      </c>
      <c r="G377" s="194"/>
      <c r="H377" s="194">
        <f t="shared" si="207"/>
        <v>0</v>
      </c>
      <c r="I377" s="194"/>
      <c r="J377" s="194">
        <f t="shared" si="208"/>
        <v>0</v>
      </c>
      <c r="K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194">
        <f t="shared" si="209"/>
        <v>0</v>
      </c>
      <c r="Z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194">
        <f t="shared" si="210"/>
        <v>0</v>
      </c>
      <c r="AD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194">
        <f t="shared" si="211"/>
        <v>0</v>
      </c>
      <c r="AH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194">
        <f t="shared" si="212"/>
        <v>0</v>
      </c>
      <c r="AL377" s="194">
        <f t="shared" si="213"/>
        <v>0</v>
      </c>
    </row>
    <row r="378" spans="1:38" x14ac:dyDescent="0.25">
      <c r="B378" s="192" t="s">
        <v>1253</v>
      </c>
      <c r="C378" s="193" t="s">
        <v>1254</v>
      </c>
      <c r="D37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194">
        <f>D378+E378</f>
        <v>0</v>
      </c>
      <c r="G378" s="194"/>
      <c r="H378" s="194">
        <f t="shared" si="207"/>
        <v>0</v>
      </c>
      <c r="I378" s="194"/>
      <c r="J378" s="194">
        <f t="shared" si="208"/>
        <v>0</v>
      </c>
      <c r="K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194">
        <f t="shared" si="209"/>
        <v>0</v>
      </c>
      <c r="Z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194">
        <f t="shared" si="210"/>
        <v>0</v>
      </c>
      <c r="AD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194">
        <f t="shared" si="211"/>
        <v>0</v>
      </c>
      <c r="AH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194">
        <f t="shared" si="212"/>
        <v>0</v>
      </c>
      <c r="AL378" s="194">
        <f t="shared" si="213"/>
        <v>0</v>
      </c>
    </row>
    <row r="379" spans="1:38" x14ac:dyDescent="0.25">
      <c r="A379" s="368"/>
      <c r="B379" s="192" t="s">
        <v>1255</v>
      </c>
      <c r="C379" s="193" t="s">
        <v>1256</v>
      </c>
      <c r="D3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194">
        <f>D379+E379</f>
        <v>0</v>
      </c>
      <c r="G379" s="194"/>
      <c r="H379" s="194">
        <f t="shared" si="207"/>
        <v>0</v>
      </c>
      <c r="I379" s="194"/>
      <c r="J379" s="194">
        <f t="shared" si="208"/>
        <v>0</v>
      </c>
      <c r="K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194">
        <f t="shared" si="209"/>
        <v>0</v>
      </c>
      <c r="Z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194">
        <f t="shared" si="210"/>
        <v>0</v>
      </c>
      <c r="AD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194">
        <f t="shared" si="211"/>
        <v>0</v>
      </c>
      <c r="AH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194">
        <f t="shared" si="212"/>
        <v>0</v>
      </c>
      <c r="AL379" s="194">
        <f t="shared" si="213"/>
        <v>0</v>
      </c>
    </row>
    <row r="380" spans="1:38" x14ac:dyDescent="0.25">
      <c r="A380" s="368"/>
      <c r="B380" s="192" t="s">
        <v>1257</v>
      </c>
      <c r="C380" s="193" t="s">
        <v>1256</v>
      </c>
      <c r="D3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194">
        <f t="shared" si="214"/>
        <v>0</v>
      </c>
      <c r="G380" s="194"/>
      <c r="H380" s="194">
        <f t="shared" si="207"/>
        <v>0</v>
      </c>
      <c r="I380" s="194"/>
      <c r="J380" s="194">
        <f t="shared" si="208"/>
        <v>0</v>
      </c>
      <c r="K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194">
        <f t="shared" si="209"/>
        <v>0</v>
      </c>
      <c r="Z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194">
        <f t="shared" si="210"/>
        <v>0</v>
      </c>
      <c r="AD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194">
        <f t="shared" si="211"/>
        <v>0</v>
      </c>
      <c r="AH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194">
        <f t="shared" si="212"/>
        <v>0</v>
      </c>
      <c r="AL380" s="194">
        <f t="shared" si="213"/>
        <v>0</v>
      </c>
    </row>
    <row r="381" spans="1:38" x14ac:dyDescent="0.25">
      <c r="B381" s="201" t="s">
        <v>421</v>
      </c>
      <c r="C381" s="202" t="s">
        <v>288</v>
      </c>
      <c r="D381" s="203">
        <f>SUM(D382:D389)</f>
        <v>0</v>
      </c>
      <c r="E381" s="203">
        <f>SUM(E382:E389)</f>
        <v>142083956.24000001</v>
      </c>
      <c r="F381" s="203">
        <f t="shared" si="214"/>
        <v>142083956.24000001</v>
      </c>
      <c r="G381" s="203">
        <f>SUM(G382:G389)</f>
        <v>0</v>
      </c>
      <c r="H381" s="203">
        <f t="shared" si="207"/>
        <v>142083956.24000001</v>
      </c>
      <c r="I381" s="203">
        <f>SUM(I382:I389)</f>
        <v>0</v>
      </c>
      <c r="J381" s="203">
        <f t="shared" si="208"/>
        <v>142083956.24000001</v>
      </c>
      <c r="K381" s="203">
        <f t="shared" ref="K381:AJ381" si="216">SUM(K382:K389)</f>
        <v>0</v>
      </c>
      <c r="L381" s="203">
        <f t="shared" si="216"/>
        <v>60000</v>
      </c>
      <c r="M381" s="203">
        <f t="shared" si="216"/>
        <v>0</v>
      </c>
      <c r="N381" s="203">
        <f t="shared" si="216"/>
        <v>0</v>
      </c>
      <c r="O381" s="203">
        <f t="shared" si="216"/>
        <v>120000</v>
      </c>
      <c r="P381" s="203">
        <f t="shared" si="216"/>
        <v>140403956.24000001</v>
      </c>
      <c r="Q381" s="203">
        <f t="shared" si="216"/>
        <v>0</v>
      </c>
      <c r="R381" s="203">
        <f t="shared" si="216"/>
        <v>0</v>
      </c>
      <c r="S381" s="203">
        <f t="shared" si="216"/>
        <v>1500000</v>
      </c>
      <c r="T381" s="203">
        <f t="shared" si="216"/>
        <v>0</v>
      </c>
      <c r="U381" s="203">
        <f t="shared" si="216"/>
        <v>0</v>
      </c>
      <c r="V381" s="203">
        <f t="shared" si="216"/>
        <v>4860000</v>
      </c>
      <c r="W381" s="203">
        <f t="shared" si="216"/>
        <v>137103956.24000001</v>
      </c>
      <c r="X381" s="203">
        <f t="shared" si="216"/>
        <v>0</v>
      </c>
      <c r="Y381" s="203">
        <f t="shared" si="209"/>
        <v>141963956.24000001</v>
      </c>
      <c r="Z381" s="203">
        <f t="shared" si="216"/>
        <v>120000</v>
      </c>
      <c r="AA381" s="203">
        <f t="shared" si="216"/>
        <v>0</v>
      </c>
      <c r="AB381" s="203">
        <f t="shared" si="216"/>
        <v>0</v>
      </c>
      <c r="AC381" s="203">
        <f t="shared" si="210"/>
        <v>120000</v>
      </c>
      <c r="AD381" s="203">
        <f t="shared" si="216"/>
        <v>0</v>
      </c>
      <c r="AE381" s="203">
        <f t="shared" si="216"/>
        <v>0</v>
      </c>
      <c r="AF381" s="203">
        <f t="shared" si="216"/>
        <v>0</v>
      </c>
      <c r="AG381" s="203">
        <f t="shared" si="211"/>
        <v>0</v>
      </c>
      <c r="AH381" s="203">
        <f t="shared" si="216"/>
        <v>0</v>
      </c>
      <c r="AI381" s="203">
        <f t="shared" si="216"/>
        <v>0</v>
      </c>
      <c r="AJ381" s="203">
        <f t="shared" si="216"/>
        <v>0</v>
      </c>
      <c r="AK381" s="203">
        <f t="shared" si="212"/>
        <v>0</v>
      </c>
      <c r="AL381" s="203">
        <f t="shared" si="213"/>
        <v>142083956.24000001</v>
      </c>
    </row>
    <row r="382" spans="1:38" x14ac:dyDescent="0.25">
      <c r="B382" s="192" t="s">
        <v>422</v>
      </c>
      <c r="C382" s="193" t="s">
        <v>289</v>
      </c>
      <c r="D3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142083956.24000001</v>
      </c>
      <c r="F382" s="194">
        <f t="shared" si="214"/>
        <v>142083956.24000001</v>
      </c>
      <c r="G382" s="194"/>
      <c r="H382" s="194">
        <f t="shared" si="207"/>
        <v>142083956.24000001</v>
      </c>
      <c r="I382" s="194"/>
      <c r="J382" s="194">
        <f t="shared" si="208"/>
        <v>142083956.24000001</v>
      </c>
      <c r="K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60000</v>
      </c>
      <c r="M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120000</v>
      </c>
      <c r="P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140403956.24000001</v>
      </c>
      <c r="Q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1500000</v>
      </c>
      <c r="T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4860000</v>
      </c>
      <c r="W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137103956.24000001</v>
      </c>
      <c r="X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194">
        <f t="shared" si="209"/>
        <v>141963956.24000001</v>
      </c>
      <c r="Z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120000</v>
      </c>
      <c r="AA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194">
        <f t="shared" si="210"/>
        <v>120000</v>
      </c>
      <c r="AD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194">
        <f t="shared" si="211"/>
        <v>0</v>
      </c>
      <c r="AH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194">
        <f t="shared" si="212"/>
        <v>0</v>
      </c>
      <c r="AL382" s="194">
        <f t="shared" si="213"/>
        <v>142083956.24000001</v>
      </c>
    </row>
    <row r="383" spans="1:38" x14ac:dyDescent="0.25">
      <c r="B383" s="192" t="s">
        <v>1258</v>
      </c>
      <c r="C383" s="193" t="s">
        <v>1259</v>
      </c>
      <c r="D38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3" s="194">
        <f>D383+E383</f>
        <v>0</v>
      </c>
      <c r="G383" s="194"/>
      <c r="H383" s="194">
        <f t="shared" si="207"/>
        <v>0</v>
      </c>
      <c r="I383" s="194"/>
      <c r="J383" s="194">
        <f t="shared" si="208"/>
        <v>0</v>
      </c>
      <c r="K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194">
        <f t="shared" si="209"/>
        <v>0</v>
      </c>
      <c r="Z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194">
        <f t="shared" si="210"/>
        <v>0</v>
      </c>
      <c r="AD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194">
        <f t="shared" si="211"/>
        <v>0</v>
      </c>
      <c r="AH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194">
        <f t="shared" si="212"/>
        <v>0</v>
      </c>
      <c r="AL383" s="194">
        <f t="shared" si="213"/>
        <v>0</v>
      </c>
    </row>
    <row r="384" spans="1:38" x14ac:dyDescent="0.25">
      <c r="B384" s="192" t="s">
        <v>423</v>
      </c>
      <c r="C384" s="193" t="s">
        <v>290</v>
      </c>
      <c r="D38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4" s="194">
        <f>D384+E384</f>
        <v>0</v>
      </c>
      <c r="G384" s="194"/>
      <c r="H384" s="194">
        <f t="shared" si="207"/>
        <v>0</v>
      </c>
      <c r="I384" s="194"/>
      <c r="J384" s="194">
        <f t="shared" si="208"/>
        <v>0</v>
      </c>
      <c r="K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194">
        <f t="shared" si="209"/>
        <v>0</v>
      </c>
      <c r="Z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194">
        <f t="shared" si="210"/>
        <v>0</v>
      </c>
      <c r="AD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194">
        <f t="shared" si="211"/>
        <v>0</v>
      </c>
      <c r="AH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194">
        <f t="shared" si="212"/>
        <v>0</v>
      </c>
      <c r="AL384" s="194">
        <f t="shared" si="213"/>
        <v>0</v>
      </c>
    </row>
    <row r="385" spans="2:38" x14ac:dyDescent="0.25">
      <c r="B385" s="192" t="s">
        <v>1260</v>
      </c>
      <c r="C385" s="193" t="s">
        <v>1261</v>
      </c>
      <c r="D38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194">
        <f>D385+E385</f>
        <v>0</v>
      </c>
      <c r="G385" s="194"/>
      <c r="H385" s="194">
        <f t="shared" si="207"/>
        <v>0</v>
      </c>
      <c r="I385" s="194"/>
      <c r="J385" s="194">
        <f t="shared" si="208"/>
        <v>0</v>
      </c>
      <c r="K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194">
        <f t="shared" si="209"/>
        <v>0</v>
      </c>
      <c r="Z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194">
        <f t="shared" si="210"/>
        <v>0</v>
      </c>
      <c r="AD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194">
        <f t="shared" si="211"/>
        <v>0</v>
      </c>
      <c r="AH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194">
        <f t="shared" si="212"/>
        <v>0</v>
      </c>
      <c r="AL385" s="194">
        <f t="shared" si="213"/>
        <v>0</v>
      </c>
    </row>
    <row r="386" spans="2:38" x14ac:dyDescent="0.25">
      <c r="B386" s="192" t="s">
        <v>1262</v>
      </c>
      <c r="C386" s="193" t="s">
        <v>1263</v>
      </c>
      <c r="D38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194">
        <f>D386+E386</f>
        <v>0</v>
      </c>
      <c r="G386" s="194"/>
      <c r="H386" s="194">
        <f t="shared" si="207"/>
        <v>0</v>
      </c>
      <c r="I386" s="194"/>
      <c r="J386" s="194">
        <f t="shared" si="208"/>
        <v>0</v>
      </c>
      <c r="K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194">
        <f t="shared" si="209"/>
        <v>0</v>
      </c>
      <c r="Z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194">
        <f t="shared" si="210"/>
        <v>0</v>
      </c>
      <c r="AD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194">
        <f t="shared" si="211"/>
        <v>0</v>
      </c>
      <c r="AH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194">
        <f t="shared" si="212"/>
        <v>0</v>
      </c>
      <c r="AL386" s="194">
        <f t="shared" si="213"/>
        <v>0</v>
      </c>
    </row>
    <row r="387" spans="2:38" x14ac:dyDescent="0.25">
      <c r="B387" s="192" t="s">
        <v>424</v>
      </c>
      <c r="C387" s="193" t="s">
        <v>291</v>
      </c>
      <c r="D38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194">
        <f t="shared" si="214"/>
        <v>0</v>
      </c>
      <c r="G387" s="194"/>
      <c r="H387" s="194">
        <f t="shared" si="207"/>
        <v>0</v>
      </c>
      <c r="I387" s="194"/>
      <c r="J387" s="194">
        <f t="shared" si="208"/>
        <v>0</v>
      </c>
      <c r="K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194">
        <f t="shared" si="209"/>
        <v>0</v>
      </c>
      <c r="Z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194">
        <f t="shared" si="210"/>
        <v>0</v>
      </c>
      <c r="AD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194">
        <f t="shared" si="211"/>
        <v>0</v>
      </c>
      <c r="AH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194">
        <f t="shared" si="212"/>
        <v>0</v>
      </c>
      <c r="AL387" s="194">
        <f t="shared" si="213"/>
        <v>0</v>
      </c>
    </row>
    <row r="388" spans="2:38" x14ac:dyDescent="0.25">
      <c r="B388" s="192" t="s">
        <v>1264</v>
      </c>
      <c r="C388" s="193" t="s">
        <v>1265</v>
      </c>
      <c r="D38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194">
        <f>D388+E388</f>
        <v>0</v>
      </c>
      <c r="G388" s="194"/>
      <c r="H388" s="194">
        <f t="shared" si="207"/>
        <v>0</v>
      </c>
      <c r="I388" s="194"/>
      <c r="J388" s="194">
        <f t="shared" si="208"/>
        <v>0</v>
      </c>
      <c r="K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194">
        <f t="shared" si="209"/>
        <v>0</v>
      </c>
      <c r="Z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194">
        <f t="shared" si="210"/>
        <v>0</v>
      </c>
      <c r="AD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194">
        <f t="shared" si="211"/>
        <v>0</v>
      </c>
      <c r="AH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194">
        <f t="shared" si="212"/>
        <v>0</v>
      </c>
      <c r="AL388" s="194">
        <f t="shared" si="213"/>
        <v>0</v>
      </c>
    </row>
    <row r="389" spans="2:38" x14ac:dyDescent="0.25">
      <c r="B389" s="192" t="s">
        <v>1266</v>
      </c>
      <c r="C389" s="193" t="s">
        <v>1267</v>
      </c>
      <c r="D38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194">
        <f t="shared" si="214"/>
        <v>0</v>
      </c>
      <c r="G389" s="194"/>
      <c r="H389" s="194">
        <f t="shared" si="207"/>
        <v>0</v>
      </c>
      <c r="I389" s="194"/>
      <c r="J389" s="194">
        <f t="shared" si="208"/>
        <v>0</v>
      </c>
      <c r="K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194">
        <f t="shared" si="209"/>
        <v>0</v>
      </c>
      <c r="Z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194">
        <f t="shared" si="210"/>
        <v>0</v>
      </c>
      <c r="AD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194">
        <f t="shared" si="211"/>
        <v>0</v>
      </c>
      <c r="AH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194">
        <f t="shared" si="212"/>
        <v>0</v>
      </c>
      <c r="AL389" s="194">
        <f t="shared" si="213"/>
        <v>0</v>
      </c>
    </row>
    <row r="390" spans="2:38" x14ac:dyDescent="0.25">
      <c r="B390" s="189" t="s">
        <v>410</v>
      </c>
      <c r="C390" s="190" t="s">
        <v>281</v>
      </c>
      <c r="D390" s="191">
        <f>D391+D401</f>
        <v>0</v>
      </c>
      <c r="E390" s="191">
        <f>E391+E401</f>
        <v>0</v>
      </c>
      <c r="F390" s="191">
        <f t="shared" si="214"/>
        <v>0</v>
      </c>
      <c r="G390" s="191">
        <f>G391+G401</f>
        <v>0</v>
      </c>
      <c r="H390" s="191">
        <f t="shared" si="207"/>
        <v>0</v>
      </c>
      <c r="I390" s="191">
        <f>I391+I401</f>
        <v>0</v>
      </c>
      <c r="J390" s="191">
        <f t="shared" si="208"/>
        <v>0</v>
      </c>
      <c r="K390" s="191">
        <f t="shared" ref="K390:AJ390" si="217">K391+K401</f>
        <v>0</v>
      </c>
      <c r="L390" s="191">
        <f t="shared" si="217"/>
        <v>0</v>
      </c>
      <c r="M390" s="191">
        <f t="shared" si="217"/>
        <v>0</v>
      </c>
      <c r="N390" s="191">
        <f t="shared" si="217"/>
        <v>0</v>
      </c>
      <c r="O390" s="191">
        <f t="shared" si="217"/>
        <v>0</v>
      </c>
      <c r="P390" s="191">
        <f t="shared" si="217"/>
        <v>0</v>
      </c>
      <c r="Q390" s="191">
        <f t="shared" si="217"/>
        <v>0</v>
      </c>
      <c r="R390" s="191">
        <f t="shared" si="217"/>
        <v>0</v>
      </c>
      <c r="S390" s="191">
        <f t="shared" si="217"/>
        <v>0</v>
      </c>
      <c r="T390" s="191">
        <f t="shared" si="217"/>
        <v>0</v>
      </c>
      <c r="U390" s="191">
        <f t="shared" si="217"/>
        <v>0</v>
      </c>
      <c r="V390" s="191">
        <f t="shared" si="217"/>
        <v>0</v>
      </c>
      <c r="W390" s="191">
        <f t="shared" si="217"/>
        <v>0</v>
      </c>
      <c r="X390" s="191">
        <f t="shared" si="217"/>
        <v>0</v>
      </c>
      <c r="Y390" s="191">
        <f t="shared" si="209"/>
        <v>0</v>
      </c>
      <c r="Z390" s="191">
        <f t="shared" si="217"/>
        <v>0</v>
      </c>
      <c r="AA390" s="191">
        <f t="shared" si="217"/>
        <v>0</v>
      </c>
      <c r="AB390" s="191">
        <f t="shared" si="217"/>
        <v>0</v>
      </c>
      <c r="AC390" s="191">
        <f t="shared" si="210"/>
        <v>0</v>
      </c>
      <c r="AD390" s="191">
        <f t="shared" si="217"/>
        <v>0</v>
      </c>
      <c r="AE390" s="191">
        <f t="shared" si="217"/>
        <v>0</v>
      </c>
      <c r="AF390" s="191">
        <f t="shared" si="217"/>
        <v>0</v>
      </c>
      <c r="AG390" s="191">
        <f t="shared" si="211"/>
        <v>0</v>
      </c>
      <c r="AH390" s="191">
        <f t="shared" si="217"/>
        <v>0</v>
      </c>
      <c r="AI390" s="191">
        <f t="shared" si="217"/>
        <v>0</v>
      </c>
      <c r="AJ390" s="191">
        <f t="shared" si="217"/>
        <v>0</v>
      </c>
      <c r="AK390" s="191">
        <f t="shared" si="212"/>
        <v>0</v>
      </c>
      <c r="AL390" s="191">
        <f t="shared" si="213"/>
        <v>0</v>
      </c>
    </row>
    <row r="391" spans="2:38" x14ac:dyDescent="0.25">
      <c r="B391" s="201" t="s">
        <v>411</v>
      </c>
      <c r="C391" s="202" t="s">
        <v>282</v>
      </c>
      <c r="D391" s="203">
        <f>SUM(D392:D400)</f>
        <v>0</v>
      </c>
      <c r="E391" s="203">
        <f>SUM(E392:E400)</f>
        <v>0</v>
      </c>
      <c r="F391" s="203">
        <f t="shared" si="214"/>
        <v>0</v>
      </c>
      <c r="G391" s="203">
        <f>SUM(G392:G400)</f>
        <v>0</v>
      </c>
      <c r="H391" s="203">
        <f t="shared" si="207"/>
        <v>0</v>
      </c>
      <c r="I391" s="203">
        <f>SUM(I392:I400)</f>
        <v>0</v>
      </c>
      <c r="J391" s="203">
        <f t="shared" si="208"/>
        <v>0</v>
      </c>
      <c r="K391" s="203">
        <f t="shared" ref="K391:AJ391" si="218">SUM(K392:K400)</f>
        <v>0</v>
      </c>
      <c r="L391" s="203">
        <f t="shared" si="218"/>
        <v>0</v>
      </c>
      <c r="M391" s="203">
        <f t="shared" si="218"/>
        <v>0</v>
      </c>
      <c r="N391" s="203">
        <f t="shared" si="218"/>
        <v>0</v>
      </c>
      <c r="O391" s="203">
        <f t="shared" si="218"/>
        <v>0</v>
      </c>
      <c r="P391" s="203">
        <f t="shared" si="218"/>
        <v>0</v>
      </c>
      <c r="Q391" s="203">
        <f t="shared" si="218"/>
        <v>0</v>
      </c>
      <c r="R391" s="203">
        <f t="shared" si="218"/>
        <v>0</v>
      </c>
      <c r="S391" s="203">
        <f t="shared" si="218"/>
        <v>0</v>
      </c>
      <c r="T391" s="203">
        <f t="shared" si="218"/>
        <v>0</v>
      </c>
      <c r="U391" s="203">
        <f t="shared" si="218"/>
        <v>0</v>
      </c>
      <c r="V391" s="203">
        <f t="shared" si="218"/>
        <v>0</v>
      </c>
      <c r="W391" s="203">
        <f t="shared" si="218"/>
        <v>0</v>
      </c>
      <c r="X391" s="203">
        <f t="shared" si="218"/>
        <v>0</v>
      </c>
      <c r="Y391" s="203">
        <f t="shared" si="209"/>
        <v>0</v>
      </c>
      <c r="Z391" s="203">
        <f t="shared" si="218"/>
        <v>0</v>
      </c>
      <c r="AA391" s="203">
        <f t="shared" si="218"/>
        <v>0</v>
      </c>
      <c r="AB391" s="203">
        <f t="shared" si="218"/>
        <v>0</v>
      </c>
      <c r="AC391" s="203">
        <f t="shared" si="210"/>
        <v>0</v>
      </c>
      <c r="AD391" s="203">
        <f t="shared" si="218"/>
        <v>0</v>
      </c>
      <c r="AE391" s="203">
        <f t="shared" si="218"/>
        <v>0</v>
      </c>
      <c r="AF391" s="203">
        <f t="shared" si="218"/>
        <v>0</v>
      </c>
      <c r="AG391" s="203">
        <f t="shared" si="211"/>
        <v>0</v>
      </c>
      <c r="AH391" s="203">
        <f t="shared" si="218"/>
        <v>0</v>
      </c>
      <c r="AI391" s="203">
        <f t="shared" si="218"/>
        <v>0</v>
      </c>
      <c r="AJ391" s="203">
        <f t="shared" si="218"/>
        <v>0</v>
      </c>
      <c r="AK391" s="203">
        <f t="shared" si="212"/>
        <v>0</v>
      </c>
      <c r="AL391" s="203">
        <f t="shared" si="213"/>
        <v>0</v>
      </c>
    </row>
    <row r="392" spans="2:38" x14ac:dyDescent="0.25">
      <c r="B392" s="192" t="s">
        <v>425</v>
      </c>
      <c r="C392" s="193" t="s">
        <v>292</v>
      </c>
      <c r="D39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194">
        <f t="shared" si="214"/>
        <v>0</v>
      </c>
      <c r="G392" s="194"/>
      <c r="H392" s="194">
        <f t="shared" si="207"/>
        <v>0</v>
      </c>
      <c r="I392" s="194"/>
      <c r="J392" s="194">
        <f t="shared" si="208"/>
        <v>0</v>
      </c>
      <c r="K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194">
        <f t="shared" si="209"/>
        <v>0</v>
      </c>
      <c r="Z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194">
        <f t="shared" si="210"/>
        <v>0</v>
      </c>
      <c r="AD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194">
        <f t="shared" si="211"/>
        <v>0</v>
      </c>
      <c r="AH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194">
        <f t="shared" si="212"/>
        <v>0</v>
      </c>
      <c r="AL392" s="194">
        <f t="shared" si="213"/>
        <v>0</v>
      </c>
    </row>
    <row r="393" spans="2:38" x14ac:dyDescent="0.25">
      <c r="B393" s="192" t="s">
        <v>1170</v>
      </c>
      <c r="C393" s="193" t="s">
        <v>1171</v>
      </c>
      <c r="D39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3" s="194">
        <f t="shared" si="214"/>
        <v>0</v>
      </c>
      <c r="G393" s="194"/>
      <c r="H393" s="194">
        <f t="shared" si="207"/>
        <v>0</v>
      </c>
      <c r="I393" s="194"/>
      <c r="J393" s="194">
        <f t="shared" si="208"/>
        <v>0</v>
      </c>
      <c r="K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194">
        <f t="shared" si="209"/>
        <v>0</v>
      </c>
      <c r="Z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194">
        <f t="shared" si="210"/>
        <v>0</v>
      </c>
      <c r="AD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194">
        <f t="shared" si="211"/>
        <v>0</v>
      </c>
      <c r="AH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194">
        <f t="shared" si="212"/>
        <v>0</v>
      </c>
      <c r="AL393" s="194">
        <f t="shared" si="213"/>
        <v>0</v>
      </c>
    </row>
    <row r="394" spans="2:38" x14ac:dyDescent="0.25">
      <c r="B394" s="192" t="s">
        <v>1172</v>
      </c>
      <c r="C394" s="193" t="s">
        <v>1173</v>
      </c>
      <c r="D39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194">
        <f>D394+E394</f>
        <v>0</v>
      </c>
      <c r="G394" s="194"/>
      <c r="H394" s="194">
        <f t="shared" si="207"/>
        <v>0</v>
      </c>
      <c r="I394" s="194"/>
      <c r="J394" s="194">
        <f t="shared" si="208"/>
        <v>0</v>
      </c>
      <c r="K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194">
        <f t="shared" si="209"/>
        <v>0</v>
      </c>
      <c r="Z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194">
        <f t="shared" si="210"/>
        <v>0</v>
      </c>
      <c r="AD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194">
        <f t="shared" si="211"/>
        <v>0</v>
      </c>
      <c r="AH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194">
        <f t="shared" si="212"/>
        <v>0</v>
      </c>
      <c r="AL394" s="194">
        <f t="shared" si="213"/>
        <v>0</v>
      </c>
    </row>
    <row r="395" spans="2:38" x14ac:dyDescent="0.25">
      <c r="B395" s="192" t="s">
        <v>1174</v>
      </c>
      <c r="C395" s="193" t="s">
        <v>1175</v>
      </c>
      <c r="D39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194">
        <f>D395+E395</f>
        <v>0</v>
      </c>
      <c r="G395" s="194"/>
      <c r="H395" s="194">
        <f t="shared" si="207"/>
        <v>0</v>
      </c>
      <c r="I395" s="194"/>
      <c r="J395" s="194">
        <f t="shared" si="208"/>
        <v>0</v>
      </c>
      <c r="K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194">
        <f t="shared" si="209"/>
        <v>0</v>
      </c>
      <c r="Z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194">
        <f t="shared" si="210"/>
        <v>0</v>
      </c>
      <c r="AD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194">
        <f t="shared" si="211"/>
        <v>0</v>
      </c>
      <c r="AH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194">
        <f t="shared" si="212"/>
        <v>0</v>
      </c>
      <c r="AL395" s="194">
        <f t="shared" si="213"/>
        <v>0</v>
      </c>
    </row>
    <row r="396" spans="2:38" x14ac:dyDescent="0.25">
      <c r="B396" s="192" t="s">
        <v>1176</v>
      </c>
      <c r="C396" s="193" t="s">
        <v>1177</v>
      </c>
      <c r="D39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194">
        <f>D396+E396</f>
        <v>0</v>
      </c>
      <c r="G396" s="194"/>
      <c r="H396" s="194">
        <f t="shared" si="207"/>
        <v>0</v>
      </c>
      <c r="I396" s="194"/>
      <c r="J396" s="194">
        <f t="shared" si="208"/>
        <v>0</v>
      </c>
      <c r="K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194">
        <f t="shared" si="209"/>
        <v>0</v>
      </c>
      <c r="Z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194">
        <f t="shared" si="210"/>
        <v>0</v>
      </c>
      <c r="AD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194">
        <f t="shared" si="211"/>
        <v>0</v>
      </c>
      <c r="AH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194">
        <f t="shared" si="212"/>
        <v>0</v>
      </c>
      <c r="AL396" s="194">
        <f t="shared" si="213"/>
        <v>0</v>
      </c>
    </row>
    <row r="397" spans="2:38" x14ac:dyDescent="0.25">
      <c r="B397" s="192" t="s">
        <v>426</v>
      </c>
      <c r="C397" s="193" t="s">
        <v>293</v>
      </c>
      <c r="D39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194">
        <f t="shared" si="214"/>
        <v>0</v>
      </c>
      <c r="G397" s="194"/>
      <c r="H397" s="194">
        <f t="shared" si="207"/>
        <v>0</v>
      </c>
      <c r="I397" s="194"/>
      <c r="J397" s="194">
        <f t="shared" si="208"/>
        <v>0</v>
      </c>
      <c r="K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194">
        <f t="shared" si="209"/>
        <v>0</v>
      </c>
      <c r="Z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194">
        <f t="shared" si="210"/>
        <v>0</v>
      </c>
      <c r="AD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194">
        <f t="shared" si="211"/>
        <v>0</v>
      </c>
      <c r="AH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194">
        <f t="shared" si="212"/>
        <v>0</v>
      </c>
      <c r="AL397" s="194">
        <f t="shared" si="213"/>
        <v>0</v>
      </c>
    </row>
    <row r="398" spans="2:38" x14ac:dyDescent="0.25">
      <c r="B398" s="192" t="s">
        <v>1178</v>
      </c>
      <c r="C398" s="193" t="s">
        <v>1179</v>
      </c>
      <c r="D39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194">
        <f>D398+E398</f>
        <v>0</v>
      </c>
      <c r="G398" s="194"/>
      <c r="H398" s="194">
        <f t="shared" si="207"/>
        <v>0</v>
      </c>
      <c r="I398" s="194"/>
      <c r="J398" s="194">
        <f t="shared" si="208"/>
        <v>0</v>
      </c>
      <c r="K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194">
        <f t="shared" si="209"/>
        <v>0</v>
      </c>
      <c r="Z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194">
        <f t="shared" si="210"/>
        <v>0</v>
      </c>
      <c r="AD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194">
        <f t="shared" si="211"/>
        <v>0</v>
      </c>
      <c r="AH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194">
        <f t="shared" si="212"/>
        <v>0</v>
      </c>
      <c r="AL398" s="194">
        <f t="shared" si="213"/>
        <v>0</v>
      </c>
    </row>
    <row r="399" spans="2:38" x14ac:dyDescent="0.25">
      <c r="B399" s="192" t="s">
        <v>427</v>
      </c>
      <c r="C399" s="193" t="s">
        <v>294</v>
      </c>
      <c r="D39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194">
        <f>D399+E399</f>
        <v>0</v>
      </c>
      <c r="G399" s="194"/>
      <c r="H399" s="194">
        <f t="shared" si="207"/>
        <v>0</v>
      </c>
      <c r="I399" s="194"/>
      <c r="J399" s="194">
        <f t="shared" si="208"/>
        <v>0</v>
      </c>
      <c r="K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194">
        <f t="shared" si="209"/>
        <v>0</v>
      </c>
      <c r="Z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194">
        <f t="shared" si="210"/>
        <v>0</v>
      </c>
      <c r="AD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194">
        <f t="shared" si="211"/>
        <v>0</v>
      </c>
      <c r="AH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194">
        <f t="shared" si="212"/>
        <v>0</v>
      </c>
      <c r="AL399" s="194">
        <f t="shared" si="213"/>
        <v>0</v>
      </c>
    </row>
    <row r="400" spans="2:38" x14ac:dyDescent="0.25">
      <c r="B400" s="192" t="s">
        <v>1180</v>
      </c>
      <c r="C400" s="193" t="s">
        <v>1181</v>
      </c>
      <c r="D40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194">
        <f t="shared" si="214"/>
        <v>0</v>
      </c>
      <c r="G400" s="194"/>
      <c r="H400" s="194">
        <f t="shared" si="207"/>
        <v>0</v>
      </c>
      <c r="I400" s="194"/>
      <c r="J400" s="194">
        <f t="shared" si="208"/>
        <v>0</v>
      </c>
      <c r="K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194">
        <f t="shared" si="209"/>
        <v>0</v>
      </c>
      <c r="Z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194">
        <f t="shared" si="210"/>
        <v>0</v>
      </c>
      <c r="AD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194">
        <f t="shared" si="211"/>
        <v>0</v>
      </c>
      <c r="AH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194">
        <f t="shared" si="212"/>
        <v>0</v>
      </c>
      <c r="AL400" s="194">
        <f t="shared" si="213"/>
        <v>0</v>
      </c>
    </row>
    <row r="401" spans="2:38" x14ac:dyDescent="0.25">
      <c r="B401" s="201" t="s">
        <v>412</v>
      </c>
      <c r="C401" s="202" t="s">
        <v>283</v>
      </c>
      <c r="D401" s="203">
        <f>SUM(D402:D403)</f>
        <v>0</v>
      </c>
      <c r="E401" s="203">
        <f>SUM(E402:E403)</f>
        <v>0</v>
      </c>
      <c r="F401" s="203">
        <f t="shared" si="214"/>
        <v>0</v>
      </c>
      <c r="G401" s="203">
        <f>SUM(G402:G403)</f>
        <v>0</v>
      </c>
      <c r="H401" s="203">
        <f t="shared" si="207"/>
        <v>0</v>
      </c>
      <c r="I401" s="203">
        <f>SUM(I402:I403)</f>
        <v>0</v>
      </c>
      <c r="J401" s="203">
        <f t="shared" si="208"/>
        <v>0</v>
      </c>
      <c r="K401" s="203">
        <f t="shared" ref="K401:X401" si="219">SUM(K402:K403)</f>
        <v>0</v>
      </c>
      <c r="L401" s="203">
        <f t="shared" si="219"/>
        <v>0</v>
      </c>
      <c r="M401" s="203">
        <f t="shared" si="219"/>
        <v>0</v>
      </c>
      <c r="N401" s="203">
        <f t="shared" si="219"/>
        <v>0</v>
      </c>
      <c r="O401" s="203">
        <f t="shared" si="219"/>
        <v>0</v>
      </c>
      <c r="P401" s="203">
        <f t="shared" si="219"/>
        <v>0</v>
      </c>
      <c r="Q401" s="203">
        <f t="shared" si="219"/>
        <v>0</v>
      </c>
      <c r="R401" s="203">
        <f t="shared" si="219"/>
        <v>0</v>
      </c>
      <c r="S401" s="203">
        <f t="shared" si="219"/>
        <v>0</v>
      </c>
      <c r="T401" s="203">
        <f t="shared" si="219"/>
        <v>0</v>
      </c>
      <c r="U401" s="203">
        <f t="shared" si="219"/>
        <v>0</v>
      </c>
      <c r="V401" s="203">
        <f t="shared" si="219"/>
        <v>0</v>
      </c>
      <c r="W401" s="203">
        <f t="shared" si="219"/>
        <v>0</v>
      </c>
      <c r="X401" s="203">
        <f t="shared" si="219"/>
        <v>0</v>
      </c>
      <c r="Y401" s="203">
        <f t="shared" si="209"/>
        <v>0</v>
      </c>
      <c r="Z401" s="203">
        <f>SUM(Z402:Z403)</f>
        <v>0</v>
      </c>
      <c r="AA401" s="203">
        <f>SUM(AA402:AA403)</f>
        <v>0</v>
      </c>
      <c r="AB401" s="203">
        <f>SUM(AB402:AB403)</f>
        <v>0</v>
      </c>
      <c r="AC401" s="203">
        <f t="shared" si="210"/>
        <v>0</v>
      </c>
      <c r="AD401" s="203">
        <f>SUM(AD402:AD403)</f>
        <v>0</v>
      </c>
      <c r="AE401" s="203">
        <f>SUM(AE402:AE403)</f>
        <v>0</v>
      </c>
      <c r="AF401" s="203">
        <f>SUM(AF402:AF403)</f>
        <v>0</v>
      </c>
      <c r="AG401" s="203">
        <f t="shared" si="211"/>
        <v>0</v>
      </c>
      <c r="AH401" s="203">
        <f>SUM(AH402:AH403)</f>
        <v>0</v>
      </c>
      <c r="AI401" s="203">
        <f>SUM(AI402:AI403)</f>
        <v>0</v>
      </c>
      <c r="AJ401" s="203">
        <f>SUM(AJ402:AJ403)</f>
        <v>0</v>
      </c>
      <c r="AK401" s="203">
        <f t="shared" si="212"/>
        <v>0</v>
      </c>
      <c r="AL401" s="203">
        <f t="shared" si="213"/>
        <v>0</v>
      </c>
    </row>
    <row r="402" spans="2:38" x14ac:dyDescent="0.25">
      <c r="B402" s="192" t="s">
        <v>1182</v>
      </c>
      <c r="C402" s="193" t="s">
        <v>1183</v>
      </c>
      <c r="D40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194">
        <f>D402+E402</f>
        <v>0</v>
      </c>
      <c r="G402" s="194"/>
      <c r="H402" s="194">
        <f t="shared" si="207"/>
        <v>0</v>
      </c>
      <c r="I402" s="194"/>
      <c r="J402" s="194">
        <f t="shared" si="208"/>
        <v>0</v>
      </c>
      <c r="K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194">
        <f t="shared" si="209"/>
        <v>0</v>
      </c>
      <c r="Z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194">
        <f t="shared" si="210"/>
        <v>0</v>
      </c>
      <c r="AD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194">
        <f t="shared" si="211"/>
        <v>0</v>
      </c>
      <c r="AH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194">
        <f t="shared" si="212"/>
        <v>0</v>
      </c>
      <c r="AL402" s="194">
        <f t="shared" si="213"/>
        <v>0</v>
      </c>
    </row>
    <row r="403" spans="2:38" x14ac:dyDescent="0.25">
      <c r="B403" s="192" t="s">
        <v>428</v>
      </c>
      <c r="C403" s="193" t="s">
        <v>295</v>
      </c>
      <c r="D40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194">
        <f t="shared" si="214"/>
        <v>0</v>
      </c>
      <c r="G403" s="194"/>
      <c r="H403" s="194">
        <f t="shared" ref="H403:H434" si="220">F403-G403</f>
        <v>0</v>
      </c>
      <c r="I403" s="194"/>
      <c r="J403" s="194">
        <f t="shared" ref="J403:J434" si="221">F403-I403</f>
        <v>0</v>
      </c>
      <c r="K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194">
        <f t="shared" ref="Y403:Y434" si="222">V403+W403+X403</f>
        <v>0</v>
      </c>
      <c r="Z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194">
        <f t="shared" ref="AC403:AC434" si="223">Z403+AA403+AB403</f>
        <v>0</v>
      </c>
      <c r="AD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194">
        <f t="shared" ref="AG403:AG434" si="224">AD403+AE403+AF403</f>
        <v>0</v>
      </c>
      <c r="AH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194">
        <f t="shared" ref="AK403:AK434" si="225">AH403+AI403+AJ403</f>
        <v>0</v>
      </c>
      <c r="AL403" s="194">
        <f t="shared" ref="AL403:AL434" si="226">Y403+AC403+AG403+AK403</f>
        <v>0</v>
      </c>
    </row>
    <row r="404" spans="2:38" x14ac:dyDescent="0.25">
      <c r="B404" s="189" t="s">
        <v>412</v>
      </c>
      <c r="C404" s="190" t="s">
        <v>283</v>
      </c>
      <c r="D404" s="191">
        <f>D405</f>
        <v>0</v>
      </c>
      <c r="E404" s="191">
        <f>E405</f>
        <v>0</v>
      </c>
      <c r="F404" s="191">
        <f t="shared" si="214"/>
        <v>0</v>
      </c>
      <c r="G404" s="191">
        <f>G405</f>
        <v>0</v>
      </c>
      <c r="H404" s="191">
        <f t="shared" si="220"/>
        <v>0</v>
      </c>
      <c r="I404" s="191">
        <f>I405</f>
        <v>0</v>
      </c>
      <c r="J404" s="191">
        <f t="shared" si="221"/>
        <v>0</v>
      </c>
      <c r="K404" s="191">
        <f t="shared" ref="K404:AJ404" si="227">K405</f>
        <v>0</v>
      </c>
      <c r="L404" s="191">
        <f t="shared" si="227"/>
        <v>0</v>
      </c>
      <c r="M404" s="191">
        <f t="shared" si="227"/>
        <v>0</v>
      </c>
      <c r="N404" s="191">
        <f t="shared" si="227"/>
        <v>0</v>
      </c>
      <c r="O404" s="191">
        <f t="shared" si="227"/>
        <v>0</v>
      </c>
      <c r="P404" s="191">
        <f t="shared" si="227"/>
        <v>0</v>
      </c>
      <c r="Q404" s="191">
        <f t="shared" si="227"/>
        <v>0</v>
      </c>
      <c r="R404" s="191">
        <f t="shared" si="227"/>
        <v>0</v>
      </c>
      <c r="S404" s="191">
        <f t="shared" si="227"/>
        <v>0</v>
      </c>
      <c r="T404" s="191">
        <f t="shared" si="227"/>
        <v>0</v>
      </c>
      <c r="U404" s="191">
        <f t="shared" si="227"/>
        <v>0</v>
      </c>
      <c r="V404" s="191">
        <f t="shared" si="227"/>
        <v>0</v>
      </c>
      <c r="W404" s="191">
        <f t="shared" si="227"/>
        <v>0</v>
      </c>
      <c r="X404" s="191">
        <f t="shared" si="227"/>
        <v>0</v>
      </c>
      <c r="Y404" s="191">
        <f t="shared" si="222"/>
        <v>0</v>
      </c>
      <c r="Z404" s="191">
        <f t="shared" si="227"/>
        <v>0</v>
      </c>
      <c r="AA404" s="191">
        <f t="shared" si="227"/>
        <v>0</v>
      </c>
      <c r="AB404" s="191">
        <f t="shared" si="227"/>
        <v>0</v>
      </c>
      <c r="AC404" s="191">
        <f t="shared" si="223"/>
        <v>0</v>
      </c>
      <c r="AD404" s="191">
        <f t="shared" si="227"/>
        <v>0</v>
      </c>
      <c r="AE404" s="191">
        <f t="shared" si="227"/>
        <v>0</v>
      </c>
      <c r="AF404" s="191">
        <f t="shared" si="227"/>
        <v>0</v>
      </c>
      <c r="AG404" s="191">
        <f t="shared" si="224"/>
        <v>0</v>
      </c>
      <c r="AH404" s="191">
        <f t="shared" si="227"/>
        <v>0</v>
      </c>
      <c r="AI404" s="191">
        <f t="shared" si="227"/>
        <v>0</v>
      </c>
      <c r="AJ404" s="191">
        <f t="shared" si="227"/>
        <v>0</v>
      </c>
      <c r="AK404" s="191">
        <f t="shared" si="225"/>
        <v>0</v>
      </c>
      <c r="AL404" s="191">
        <f t="shared" si="226"/>
        <v>0</v>
      </c>
    </row>
    <row r="405" spans="2:38" x14ac:dyDescent="0.25">
      <c r="B405" s="201" t="s">
        <v>428</v>
      </c>
      <c r="C405" s="202" t="s">
        <v>295</v>
      </c>
      <c r="D405" s="203">
        <f>SUM(D406:D408)</f>
        <v>0</v>
      </c>
      <c r="E405" s="203">
        <f>SUM(E406:E408)</f>
        <v>0</v>
      </c>
      <c r="F405" s="203">
        <f t="shared" si="214"/>
        <v>0</v>
      </c>
      <c r="G405" s="203">
        <f>SUM(G406:G408)</f>
        <v>0</v>
      </c>
      <c r="H405" s="203">
        <f t="shared" si="220"/>
        <v>0</v>
      </c>
      <c r="I405" s="203">
        <f>SUM(I406:I408)</f>
        <v>0</v>
      </c>
      <c r="J405" s="203">
        <f t="shared" si="221"/>
        <v>0</v>
      </c>
      <c r="K405" s="203">
        <f t="shared" ref="K405:X405" si="228">SUM(K406:K408)</f>
        <v>0</v>
      </c>
      <c r="L405" s="203">
        <f t="shared" si="228"/>
        <v>0</v>
      </c>
      <c r="M405" s="203">
        <f t="shared" si="228"/>
        <v>0</v>
      </c>
      <c r="N405" s="203">
        <f t="shared" si="228"/>
        <v>0</v>
      </c>
      <c r="O405" s="203">
        <f t="shared" si="228"/>
        <v>0</v>
      </c>
      <c r="P405" s="203">
        <f t="shared" si="228"/>
        <v>0</v>
      </c>
      <c r="Q405" s="203">
        <f t="shared" si="228"/>
        <v>0</v>
      </c>
      <c r="R405" s="203">
        <f t="shared" si="228"/>
        <v>0</v>
      </c>
      <c r="S405" s="203">
        <f t="shared" si="228"/>
        <v>0</v>
      </c>
      <c r="T405" s="203">
        <f t="shared" si="228"/>
        <v>0</v>
      </c>
      <c r="U405" s="203">
        <f t="shared" si="228"/>
        <v>0</v>
      </c>
      <c r="V405" s="203">
        <f t="shared" si="228"/>
        <v>0</v>
      </c>
      <c r="W405" s="203">
        <f t="shared" si="228"/>
        <v>0</v>
      </c>
      <c r="X405" s="203">
        <f t="shared" si="228"/>
        <v>0</v>
      </c>
      <c r="Y405" s="203">
        <f t="shared" si="222"/>
        <v>0</v>
      </c>
      <c r="Z405" s="203">
        <f>SUM(Z406:Z408)</f>
        <v>0</v>
      </c>
      <c r="AA405" s="203">
        <f>SUM(AA406:AA408)</f>
        <v>0</v>
      </c>
      <c r="AB405" s="203">
        <f>SUM(AB406:AB408)</f>
        <v>0</v>
      </c>
      <c r="AC405" s="203">
        <f t="shared" si="223"/>
        <v>0</v>
      </c>
      <c r="AD405" s="203">
        <f>SUM(AD406:AD408)</f>
        <v>0</v>
      </c>
      <c r="AE405" s="203">
        <f>SUM(AE406:AE408)</f>
        <v>0</v>
      </c>
      <c r="AF405" s="203">
        <f>SUM(AF406:AF408)</f>
        <v>0</v>
      </c>
      <c r="AG405" s="203">
        <f t="shared" si="224"/>
        <v>0</v>
      </c>
      <c r="AH405" s="203">
        <f>SUM(AH406:AH408)</f>
        <v>0</v>
      </c>
      <c r="AI405" s="203">
        <f>SUM(AI406:AI408)</f>
        <v>0</v>
      </c>
      <c r="AJ405" s="203">
        <f>SUM(AJ406:AJ408)</f>
        <v>0</v>
      </c>
      <c r="AK405" s="203">
        <f t="shared" si="225"/>
        <v>0</v>
      </c>
      <c r="AL405" s="203">
        <f t="shared" si="226"/>
        <v>0</v>
      </c>
    </row>
    <row r="406" spans="2:38" x14ac:dyDescent="0.25">
      <c r="B406" s="192" t="s">
        <v>1184</v>
      </c>
      <c r="C406" s="193" t="s">
        <v>1185</v>
      </c>
      <c r="D40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6" s="194">
        <f t="shared" si="214"/>
        <v>0</v>
      </c>
      <c r="G406" s="194"/>
      <c r="H406" s="194">
        <f t="shared" si="220"/>
        <v>0</v>
      </c>
      <c r="I406" s="194"/>
      <c r="J406" s="194">
        <f t="shared" si="221"/>
        <v>0</v>
      </c>
      <c r="K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194">
        <f t="shared" si="222"/>
        <v>0</v>
      </c>
      <c r="Z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194">
        <f t="shared" si="223"/>
        <v>0</v>
      </c>
      <c r="AD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194">
        <f t="shared" si="224"/>
        <v>0</v>
      </c>
      <c r="AH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194">
        <f t="shared" si="225"/>
        <v>0</v>
      </c>
      <c r="AL406" s="194">
        <f t="shared" si="226"/>
        <v>0</v>
      </c>
    </row>
    <row r="407" spans="2:38" x14ac:dyDescent="0.25">
      <c r="B407" s="192" t="s">
        <v>1186</v>
      </c>
      <c r="C407" s="193" t="s">
        <v>1187</v>
      </c>
      <c r="D40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194">
        <f>D407+E407</f>
        <v>0</v>
      </c>
      <c r="G407" s="194"/>
      <c r="H407" s="194">
        <f t="shared" si="220"/>
        <v>0</v>
      </c>
      <c r="I407" s="194"/>
      <c r="J407" s="194">
        <f t="shared" si="221"/>
        <v>0</v>
      </c>
      <c r="K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194">
        <f t="shared" si="222"/>
        <v>0</v>
      </c>
      <c r="Z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194">
        <f t="shared" si="223"/>
        <v>0</v>
      </c>
      <c r="AD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194">
        <f t="shared" si="224"/>
        <v>0</v>
      </c>
      <c r="AH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194">
        <f t="shared" si="225"/>
        <v>0</v>
      </c>
      <c r="AL407" s="194">
        <f t="shared" si="226"/>
        <v>0</v>
      </c>
    </row>
    <row r="408" spans="2:38" x14ac:dyDescent="0.25">
      <c r="B408" s="192" t="s">
        <v>429</v>
      </c>
      <c r="C408" s="193" t="s">
        <v>296</v>
      </c>
      <c r="D40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194">
        <f t="shared" si="214"/>
        <v>0</v>
      </c>
      <c r="G408" s="194"/>
      <c r="H408" s="194">
        <f t="shared" si="220"/>
        <v>0</v>
      </c>
      <c r="I408" s="194"/>
      <c r="J408" s="194">
        <f t="shared" si="221"/>
        <v>0</v>
      </c>
      <c r="K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194">
        <f t="shared" si="222"/>
        <v>0</v>
      </c>
      <c r="Z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194">
        <f t="shared" si="223"/>
        <v>0</v>
      </c>
      <c r="AD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194">
        <f t="shared" si="224"/>
        <v>0</v>
      </c>
      <c r="AH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194">
        <f t="shared" si="225"/>
        <v>0</v>
      </c>
      <c r="AL408" s="194">
        <f t="shared" si="226"/>
        <v>0</v>
      </c>
    </row>
    <row r="409" spans="2:38" x14ac:dyDescent="0.25">
      <c r="B409" s="189" t="s">
        <v>430</v>
      </c>
      <c r="C409" s="190" t="s">
        <v>297</v>
      </c>
      <c r="D409" s="191">
        <f>D410+D421+D429+D432+D436</f>
        <v>0</v>
      </c>
      <c r="E409" s="191">
        <f>E410+E421+E429+E432+E436</f>
        <v>0</v>
      </c>
      <c r="F409" s="191">
        <f t="shared" si="214"/>
        <v>0</v>
      </c>
      <c r="G409" s="191">
        <f>G410+G421+G429+G432+G436</f>
        <v>0</v>
      </c>
      <c r="H409" s="191">
        <f t="shared" si="220"/>
        <v>0</v>
      </c>
      <c r="I409" s="191">
        <f>I410+I421+I429+I432+I436</f>
        <v>0</v>
      </c>
      <c r="J409" s="191">
        <f t="shared" si="221"/>
        <v>0</v>
      </c>
      <c r="K409" s="191">
        <f t="shared" ref="K409:AJ409" si="229">K410+K421+K429+K432+K436</f>
        <v>0</v>
      </c>
      <c r="L409" s="191">
        <f t="shared" si="229"/>
        <v>0</v>
      </c>
      <c r="M409" s="191">
        <f t="shared" si="229"/>
        <v>0</v>
      </c>
      <c r="N409" s="191">
        <f t="shared" si="229"/>
        <v>0</v>
      </c>
      <c r="O409" s="191">
        <f t="shared" si="229"/>
        <v>0</v>
      </c>
      <c r="P409" s="191">
        <f t="shared" si="229"/>
        <v>0</v>
      </c>
      <c r="Q409" s="191">
        <f t="shared" si="229"/>
        <v>0</v>
      </c>
      <c r="R409" s="191">
        <f t="shared" si="229"/>
        <v>0</v>
      </c>
      <c r="S409" s="191">
        <f t="shared" si="229"/>
        <v>0</v>
      </c>
      <c r="T409" s="191">
        <f t="shared" si="229"/>
        <v>0</v>
      </c>
      <c r="U409" s="191">
        <f t="shared" si="229"/>
        <v>0</v>
      </c>
      <c r="V409" s="191">
        <f t="shared" si="229"/>
        <v>0</v>
      </c>
      <c r="W409" s="191">
        <f t="shared" si="229"/>
        <v>0</v>
      </c>
      <c r="X409" s="191">
        <f t="shared" si="229"/>
        <v>0</v>
      </c>
      <c r="Y409" s="191">
        <f t="shared" si="222"/>
        <v>0</v>
      </c>
      <c r="Z409" s="191">
        <f t="shared" si="229"/>
        <v>0</v>
      </c>
      <c r="AA409" s="191">
        <f t="shared" si="229"/>
        <v>0</v>
      </c>
      <c r="AB409" s="191">
        <f t="shared" si="229"/>
        <v>0</v>
      </c>
      <c r="AC409" s="191">
        <f t="shared" si="223"/>
        <v>0</v>
      </c>
      <c r="AD409" s="191">
        <f t="shared" si="229"/>
        <v>0</v>
      </c>
      <c r="AE409" s="191">
        <f t="shared" si="229"/>
        <v>0</v>
      </c>
      <c r="AF409" s="191">
        <f t="shared" si="229"/>
        <v>0</v>
      </c>
      <c r="AG409" s="191">
        <f t="shared" si="224"/>
        <v>0</v>
      </c>
      <c r="AH409" s="191">
        <f t="shared" si="229"/>
        <v>0</v>
      </c>
      <c r="AI409" s="191">
        <f t="shared" si="229"/>
        <v>0</v>
      </c>
      <c r="AJ409" s="191">
        <f t="shared" si="229"/>
        <v>0</v>
      </c>
      <c r="AK409" s="191">
        <f t="shared" si="225"/>
        <v>0</v>
      </c>
      <c r="AL409" s="191">
        <f t="shared" si="226"/>
        <v>0</v>
      </c>
    </row>
    <row r="410" spans="2:38" x14ac:dyDescent="0.25">
      <c r="B410" s="201" t="s">
        <v>431</v>
      </c>
      <c r="C410" s="202" t="s">
        <v>298</v>
      </c>
      <c r="D410" s="203">
        <f>SUM(D411:D420)</f>
        <v>0</v>
      </c>
      <c r="E410" s="203">
        <f>SUM(E411:E420)</f>
        <v>0</v>
      </c>
      <c r="F410" s="203">
        <f t="shared" si="214"/>
        <v>0</v>
      </c>
      <c r="G410" s="203">
        <f>SUM(G411:G420)</f>
        <v>0</v>
      </c>
      <c r="H410" s="203">
        <f t="shared" si="220"/>
        <v>0</v>
      </c>
      <c r="I410" s="203">
        <f>SUM(I411:I420)</f>
        <v>0</v>
      </c>
      <c r="J410" s="203">
        <f t="shared" si="221"/>
        <v>0</v>
      </c>
      <c r="K410" s="203">
        <f t="shared" ref="K410:AJ410" si="230">SUM(K411:K420)</f>
        <v>0</v>
      </c>
      <c r="L410" s="203">
        <f t="shared" si="230"/>
        <v>0</v>
      </c>
      <c r="M410" s="203">
        <f t="shared" si="230"/>
        <v>0</v>
      </c>
      <c r="N410" s="203">
        <f t="shared" si="230"/>
        <v>0</v>
      </c>
      <c r="O410" s="203">
        <f t="shared" si="230"/>
        <v>0</v>
      </c>
      <c r="P410" s="203">
        <f t="shared" si="230"/>
        <v>0</v>
      </c>
      <c r="Q410" s="203">
        <f t="shared" si="230"/>
        <v>0</v>
      </c>
      <c r="R410" s="203">
        <f t="shared" si="230"/>
        <v>0</v>
      </c>
      <c r="S410" s="203">
        <f t="shared" si="230"/>
        <v>0</v>
      </c>
      <c r="T410" s="203">
        <f t="shared" si="230"/>
        <v>0</v>
      </c>
      <c r="U410" s="203">
        <f t="shared" si="230"/>
        <v>0</v>
      </c>
      <c r="V410" s="203">
        <f t="shared" si="230"/>
        <v>0</v>
      </c>
      <c r="W410" s="203">
        <f t="shared" si="230"/>
        <v>0</v>
      </c>
      <c r="X410" s="203">
        <f t="shared" si="230"/>
        <v>0</v>
      </c>
      <c r="Y410" s="203">
        <f t="shared" si="222"/>
        <v>0</v>
      </c>
      <c r="Z410" s="203">
        <f t="shared" si="230"/>
        <v>0</v>
      </c>
      <c r="AA410" s="203">
        <f t="shared" si="230"/>
        <v>0</v>
      </c>
      <c r="AB410" s="203">
        <f t="shared" si="230"/>
        <v>0</v>
      </c>
      <c r="AC410" s="203">
        <f t="shared" si="223"/>
        <v>0</v>
      </c>
      <c r="AD410" s="203">
        <f t="shared" si="230"/>
        <v>0</v>
      </c>
      <c r="AE410" s="203">
        <f t="shared" si="230"/>
        <v>0</v>
      </c>
      <c r="AF410" s="203">
        <f t="shared" si="230"/>
        <v>0</v>
      </c>
      <c r="AG410" s="203">
        <f t="shared" si="224"/>
        <v>0</v>
      </c>
      <c r="AH410" s="203">
        <f t="shared" si="230"/>
        <v>0</v>
      </c>
      <c r="AI410" s="203">
        <f t="shared" si="230"/>
        <v>0</v>
      </c>
      <c r="AJ410" s="203">
        <f t="shared" si="230"/>
        <v>0</v>
      </c>
      <c r="AK410" s="203">
        <f t="shared" si="225"/>
        <v>0</v>
      </c>
      <c r="AL410" s="203">
        <f t="shared" si="226"/>
        <v>0</v>
      </c>
    </row>
    <row r="411" spans="2:38" x14ac:dyDescent="0.25">
      <c r="B411" s="192" t="s">
        <v>432</v>
      </c>
      <c r="C411" s="193" t="s">
        <v>299</v>
      </c>
      <c r="D4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194">
        <f t="shared" si="214"/>
        <v>0</v>
      </c>
      <c r="G411" s="194"/>
      <c r="H411" s="194">
        <f t="shared" si="220"/>
        <v>0</v>
      </c>
      <c r="I411" s="194"/>
      <c r="J411" s="194">
        <f t="shared" si="221"/>
        <v>0</v>
      </c>
      <c r="K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194">
        <f t="shared" si="222"/>
        <v>0</v>
      </c>
      <c r="Z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194">
        <f t="shared" si="223"/>
        <v>0</v>
      </c>
      <c r="AD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194">
        <f t="shared" si="224"/>
        <v>0</v>
      </c>
      <c r="AH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194">
        <f t="shared" si="225"/>
        <v>0</v>
      </c>
      <c r="AL411" s="194">
        <f t="shared" si="226"/>
        <v>0</v>
      </c>
    </row>
    <row r="412" spans="2:38" x14ac:dyDescent="0.25">
      <c r="B412" s="192" t="s">
        <v>1268</v>
      </c>
      <c r="C412" s="193" t="s">
        <v>1269</v>
      </c>
      <c r="D41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194">
        <f t="shared" si="214"/>
        <v>0</v>
      </c>
      <c r="G412" s="194"/>
      <c r="H412" s="194">
        <f t="shared" si="220"/>
        <v>0</v>
      </c>
      <c r="I412" s="194"/>
      <c r="J412" s="194">
        <f t="shared" si="221"/>
        <v>0</v>
      </c>
      <c r="K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194">
        <f t="shared" si="222"/>
        <v>0</v>
      </c>
      <c r="Z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194">
        <f t="shared" si="223"/>
        <v>0</v>
      </c>
      <c r="AD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194">
        <f t="shared" si="224"/>
        <v>0</v>
      </c>
      <c r="AH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194">
        <f t="shared" si="225"/>
        <v>0</v>
      </c>
      <c r="AL412" s="194">
        <f t="shared" si="226"/>
        <v>0</v>
      </c>
    </row>
    <row r="413" spans="2:38" x14ac:dyDescent="0.25">
      <c r="B413" s="192" t="s">
        <v>1270</v>
      </c>
      <c r="C413" s="193" t="s">
        <v>1271</v>
      </c>
      <c r="D4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194">
        <f t="shared" si="214"/>
        <v>0</v>
      </c>
      <c r="G413" s="194"/>
      <c r="H413" s="194">
        <f t="shared" si="220"/>
        <v>0</v>
      </c>
      <c r="I413" s="194"/>
      <c r="J413" s="194">
        <f t="shared" si="221"/>
        <v>0</v>
      </c>
      <c r="K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194">
        <f t="shared" si="222"/>
        <v>0</v>
      </c>
      <c r="Z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194">
        <f t="shared" si="223"/>
        <v>0</v>
      </c>
      <c r="AD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194">
        <f t="shared" si="224"/>
        <v>0</v>
      </c>
      <c r="AH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194">
        <f t="shared" si="225"/>
        <v>0</v>
      </c>
      <c r="AL413" s="194">
        <f t="shared" si="226"/>
        <v>0</v>
      </c>
    </row>
    <row r="414" spans="2:38" x14ac:dyDescent="0.25">
      <c r="B414" s="192" t="s">
        <v>433</v>
      </c>
      <c r="C414" s="193" t="s">
        <v>300</v>
      </c>
      <c r="D4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194">
        <f>D414+E414</f>
        <v>0</v>
      </c>
      <c r="G414" s="194"/>
      <c r="H414" s="194">
        <f t="shared" si="220"/>
        <v>0</v>
      </c>
      <c r="I414" s="194"/>
      <c r="J414" s="194">
        <f t="shared" si="221"/>
        <v>0</v>
      </c>
      <c r="K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194">
        <f t="shared" si="222"/>
        <v>0</v>
      </c>
      <c r="Z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194">
        <f t="shared" si="223"/>
        <v>0</v>
      </c>
      <c r="AD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194">
        <f t="shared" si="224"/>
        <v>0</v>
      </c>
      <c r="AH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194">
        <f t="shared" si="225"/>
        <v>0</v>
      </c>
      <c r="AL414" s="194">
        <f t="shared" si="226"/>
        <v>0</v>
      </c>
    </row>
    <row r="415" spans="2:38" x14ac:dyDescent="0.25">
      <c r="B415" s="192" t="s">
        <v>434</v>
      </c>
      <c r="C415" s="193" t="s">
        <v>301</v>
      </c>
      <c r="D41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194">
        <f>D415+E415</f>
        <v>0</v>
      </c>
      <c r="G415" s="194"/>
      <c r="H415" s="194">
        <f t="shared" si="220"/>
        <v>0</v>
      </c>
      <c r="I415" s="194"/>
      <c r="J415" s="194">
        <f t="shared" si="221"/>
        <v>0</v>
      </c>
      <c r="K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194">
        <f t="shared" si="222"/>
        <v>0</v>
      </c>
      <c r="Z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194">
        <f t="shared" si="223"/>
        <v>0</v>
      </c>
      <c r="AD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194">
        <f t="shared" si="224"/>
        <v>0</v>
      </c>
      <c r="AH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194">
        <f t="shared" si="225"/>
        <v>0</v>
      </c>
      <c r="AL415" s="194">
        <f t="shared" si="226"/>
        <v>0</v>
      </c>
    </row>
    <row r="416" spans="2:38" x14ac:dyDescent="0.25">
      <c r="B416" s="192" t="s">
        <v>1368</v>
      </c>
      <c r="C416" s="193" t="s">
        <v>1369</v>
      </c>
      <c r="D41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194">
        <f>D416+E416</f>
        <v>0</v>
      </c>
      <c r="G416" s="194"/>
      <c r="H416" s="194">
        <f t="shared" si="220"/>
        <v>0</v>
      </c>
      <c r="I416" s="194"/>
      <c r="J416" s="194">
        <f t="shared" si="221"/>
        <v>0</v>
      </c>
      <c r="K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194">
        <f t="shared" si="222"/>
        <v>0</v>
      </c>
      <c r="Z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194">
        <f t="shared" si="223"/>
        <v>0</v>
      </c>
      <c r="AD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194">
        <f t="shared" si="224"/>
        <v>0</v>
      </c>
      <c r="AH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194">
        <f t="shared" si="225"/>
        <v>0</v>
      </c>
      <c r="AL416" s="194">
        <f t="shared" si="226"/>
        <v>0</v>
      </c>
    </row>
    <row r="417" spans="2:38" x14ac:dyDescent="0.25">
      <c r="B417" s="192" t="s">
        <v>1370</v>
      </c>
      <c r="C417" s="193" t="s">
        <v>1371</v>
      </c>
      <c r="D4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194">
        <f>D417+E417</f>
        <v>0</v>
      </c>
      <c r="G417" s="194"/>
      <c r="H417" s="194">
        <f t="shared" si="220"/>
        <v>0</v>
      </c>
      <c r="I417" s="194"/>
      <c r="J417" s="194">
        <f t="shared" si="221"/>
        <v>0</v>
      </c>
      <c r="K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194">
        <f t="shared" si="222"/>
        <v>0</v>
      </c>
      <c r="Z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194">
        <f t="shared" si="223"/>
        <v>0</v>
      </c>
      <c r="AD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194">
        <f t="shared" si="224"/>
        <v>0</v>
      </c>
      <c r="AH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194">
        <f t="shared" si="225"/>
        <v>0</v>
      </c>
      <c r="AL417" s="194">
        <f t="shared" si="226"/>
        <v>0</v>
      </c>
    </row>
    <row r="418" spans="2:38" x14ac:dyDescent="0.25">
      <c r="B418" s="192" t="s">
        <v>1372</v>
      </c>
      <c r="C418" s="193" t="s">
        <v>1373</v>
      </c>
      <c r="D41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194">
        <f>D418+E418</f>
        <v>0</v>
      </c>
      <c r="G418" s="194"/>
      <c r="H418" s="194">
        <f t="shared" si="220"/>
        <v>0</v>
      </c>
      <c r="I418" s="194"/>
      <c r="J418" s="194">
        <f t="shared" si="221"/>
        <v>0</v>
      </c>
      <c r="K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194">
        <f t="shared" si="222"/>
        <v>0</v>
      </c>
      <c r="Z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194">
        <f t="shared" si="223"/>
        <v>0</v>
      </c>
      <c r="AD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194">
        <f t="shared" si="224"/>
        <v>0</v>
      </c>
      <c r="AH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194">
        <f t="shared" si="225"/>
        <v>0</v>
      </c>
      <c r="AL418" s="194">
        <f t="shared" si="226"/>
        <v>0</v>
      </c>
    </row>
    <row r="419" spans="2:38" x14ac:dyDescent="0.25">
      <c r="B419" s="192" t="s">
        <v>1374</v>
      </c>
      <c r="C419" s="193" t="s">
        <v>1375</v>
      </c>
      <c r="D41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194">
        <f t="shared" si="214"/>
        <v>0</v>
      </c>
      <c r="G419" s="194"/>
      <c r="H419" s="194">
        <f t="shared" si="220"/>
        <v>0</v>
      </c>
      <c r="I419" s="194"/>
      <c r="J419" s="194">
        <f t="shared" si="221"/>
        <v>0</v>
      </c>
      <c r="K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194">
        <f t="shared" si="222"/>
        <v>0</v>
      </c>
      <c r="Z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194">
        <f t="shared" si="223"/>
        <v>0</v>
      </c>
      <c r="AD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194">
        <f t="shared" si="224"/>
        <v>0</v>
      </c>
      <c r="AH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194">
        <f t="shared" si="225"/>
        <v>0</v>
      </c>
      <c r="AL419" s="194">
        <f t="shared" si="226"/>
        <v>0</v>
      </c>
    </row>
    <row r="420" spans="2:38" x14ac:dyDescent="0.25">
      <c r="B420" s="192" t="s">
        <v>1376</v>
      </c>
      <c r="C420" s="193" t="s">
        <v>1377</v>
      </c>
      <c r="D4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194">
        <f t="shared" si="214"/>
        <v>0</v>
      </c>
      <c r="G420" s="194"/>
      <c r="H420" s="194">
        <f t="shared" si="220"/>
        <v>0</v>
      </c>
      <c r="I420" s="194"/>
      <c r="J420" s="194">
        <f t="shared" si="221"/>
        <v>0</v>
      </c>
      <c r="K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194">
        <f t="shared" si="222"/>
        <v>0</v>
      </c>
      <c r="Z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194">
        <f t="shared" si="223"/>
        <v>0</v>
      </c>
      <c r="AD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194">
        <f t="shared" si="224"/>
        <v>0</v>
      </c>
      <c r="AH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194">
        <f t="shared" si="225"/>
        <v>0</v>
      </c>
      <c r="AL420" s="194">
        <f t="shared" si="226"/>
        <v>0</v>
      </c>
    </row>
    <row r="421" spans="2:38" x14ac:dyDescent="0.25">
      <c r="B421" s="201" t="s">
        <v>435</v>
      </c>
      <c r="C421" s="202" t="s">
        <v>302</v>
      </c>
      <c r="D421" s="203">
        <f>SUM(D422:D428)</f>
        <v>0</v>
      </c>
      <c r="E421" s="203">
        <f>SUM(E422:E428)</f>
        <v>0</v>
      </c>
      <c r="F421" s="203">
        <f t="shared" si="214"/>
        <v>0</v>
      </c>
      <c r="G421" s="203">
        <f>SUM(G422:G428)</f>
        <v>0</v>
      </c>
      <c r="H421" s="203">
        <f t="shared" si="220"/>
        <v>0</v>
      </c>
      <c r="I421" s="203">
        <f>SUM(I422:I428)</f>
        <v>0</v>
      </c>
      <c r="J421" s="203">
        <f t="shared" si="221"/>
        <v>0</v>
      </c>
      <c r="K421" s="203">
        <f t="shared" ref="K421:X421" si="231">SUM(K422:K428)</f>
        <v>0</v>
      </c>
      <c r="L421" s="203">
        <f t="shared" si="231"/>
        <v>0</v>
      </c>
      <c r="M421" s="203">
        <f t="shared" si="231"/>
        <v>0</v>
      </c>
      <c r="N421" s="203">
        <f t="shared" si="231"/>
        <v>0</v>
      </c>
      <c r="O421" s="203">
        <f t="shared" si="231"/>
        <v>0</v>
      </c>
      <c r="P421" s="203">
        <f t="shared" si="231"/>
        <v>0</v>
      </c>
      <c r="Q421" s="203">
        <f t="shared" si="231"/>
        <v>0</v>
      </c>
      <c r="R421" s="203">
        <f t="shared" si="231"/>
        <v>0</v>
      </c>
      <c r="S421" s="203">
        <f t="shared" si="231"/>
        <v>0</v>
      </c>
      <c r="T421" s="203">
        <f t="shared" si="231"/>
        <v>0</v>
      </c>
      <c r="U421" s="203">
        <f t="shared" si="231"/>
        <v>0</v>
      </c>
      <c r="V421" s="203">
        <f t="shared" si="231"/>
        <v>0</v>
      </c>
      <c r="W421" s="203">
        <f t="shared" si="231"/>
        <v>0</v>
      </c>
      <c r="X421" s="203">
        <f t="shared" si="231"/>
        <v>0</v>
      </c>
      <c r="Y421" s="203">
        <f t="shared" si="222"/>
        <v>0</v>
      </c>
      <c r="Z421" s="203">
        <f>SUM(Z422:Z428)</f>
        <v>0</v>
      </c>
      <c r="AA421" s="203">
        <f>SUM(AA422:AA428)</f>
        <v>0</v>
      </c>
      <c r="AB421" s="203">
        <f>SUM(AB422:AB428)</f>
        <v>0</v>
      </c>
      <c r="AC421" s="203">
        <f t="shared" si="223"/>
        <v>0</v>
      </c>
      <c r="AD421" s="203">
        <f>SUM(AD422:AD428)</f>
        <v>0</v>
      </c>
      <c r="AE421" s="203">
        <f>SUM(AE422:AE428)</f>
        <v>0</v>
      </c>
      <c r="AF421" s="203">
        <f>SUM(AF422:AF428)</f>
        <v>0</v>
      </c>
      <c r="AG421" s="203">
        <f t="shared" si="224"/>
        <v>0</v>
      </c>
      <c r="AH421" s="203">
        <f>SUM(AH422:AH428)</f>
        <v>0</v>
      </c>
      <c r="AI421" s="203">
        <f>SUM(AI422:AI428)</f>
        <v>0</v>
      </c>
      <c r="AJ421" s="203">
        <f>SUM(AJ422:AJ428)</f>
        <v>0</v>
      </c>
      <c r="AK421" s="203">
        <f t="shared" si="225"/>
        <v>0</v>
      </c>
      <c r="AL421" s="203">
        <f t="shared" si="226"/>
        <v>0</v>
      </c>
    </row>
    <row r="422" spans="2:38" x14ac:dyDescent="0.25">
      <c r="B422" s="192" t="s">
        <v>436</v>
      </c>
      <c r="C422" s="193" t="s">
        <v>303</v>
      </c>
      <c r="D4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194">
        <f>D422+E422</f>
        <v>0</v>
      </c>
      <c r="G422" s="194"/>
      <c r="H422" s="194">
        <f t="shared" si="220"/>
        <v>0</v>
      </c>
      <c r="I422" s="194"/>
      <c r="J422" s="194">
        <f t="shared" si="221"/>
        <v>0</v>
      </c>
      <c r="K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194">
        <f t="shared" si="222"/>
        <v>0</v>
      </c>
      <c r="Z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194">
        <f t="shared" si="223"/>
        <v>0</v>
      </c>
      <c r="AD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194">
        <f t="shared" si="224"/>
        <v>0</v>
      </c>
      <c r="AH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194">
        <f t="shared" si="225"/>
        <v>0</v>
      </c>
      <c r="AL422" s="194">
        <f t="shared" si="226"/>
        <v>0</v>
      </c>
    </row>
    <row r="423" spans="2:38" x14ac:dyDescent="0.25">
      <c r="B423" s="192" t="s">
        <v>1378</v>
      </c>
      <c r="C423" s="193" t="s">
        <v>1379</v>
      </c>
      <c r="D4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194">
        <f>D423+E423</f>
        <v>0</v>
      </c>
      <c r="G423" s="194"/>
      <c r="H423" s="194">
        <f t="shared" si="220"/>
        <v>0</v>
      </c>
      <c r="I423" s="194"/>
      <c r="J423" s="194">
        <f t="shared" si="221"/>
        <v>0</v>
      </c>
      <c r="K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194">
        <f t="shared" si="222"/>
        <v>0</v>
      </c>
      <c r="Z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194">
        <f t="shared" si="223"/>
        <v>0</v>
      </c>
      <c r="AD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194">
        <f t="shared" si="224"/>
        <v>0</v>
      </c>
      <c r="AH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194">
        <f t="shared" si="225"/>
        <v>0</v>
      </c>
      <c r="AL423" s="194">
        <f t="shared" si="226"/>
        <v>0</v>
      </c>
    </row>
    <row r="424" spans="2:38" x14ac:dyDescent="0.25">
      <c r="B424" s="192" t="s">
        <v>1380</v>
      </c>
      <c r="C424" s="193" t="s">
        <v>1381</v>
      </c>
      <c r="D4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194">
        <f>D424+E424</f>
        <v>0</v>
      </c>
      <c r="G424" s="194"/>
      <c r="H424" s="194">
        <f t="shared" si="220"/>
        <v>0</v>
      </c>
      <c r="I424" s="194"/>
      <c r="J424" s="194">
        <f t="shared" si="221"/>
        <v>0</v>
      </c>
      <c r="K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194">
        <f t="shared" si="222"/>
        <v>0</v>
      </c>
      <c r="Z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194">
        <f t="shared" si="223"/>
        <v>0</v>
      </c>
      <c r="AD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194">
        <f t="shared" si="224"/>
        <v>0</v>
      </c>
      <c r="AH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194">
        <f t="shared" si="225"/>
        <v>0</v>
      </c>
      <c r="AL424" s="194">
        <f t="shared" si="226"/>
        <v>0</v>
      </c>
    </row>
    <row r="425" spans="2:38" x14ac:dyDescent="0.25">
      <c r="B425" s="192" t="s">
        <v>1382</v>
      </c>
      <c r="C425" s="193" t="s">
        <v>1383</v>
      </c>
      <c r="D42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194">
        <f t="shared" si="214"/>
        <v>0</v>
      </c>
      <c r="G425" s="194"/>
      <c r="H425" s="194">
        <f t="shared" si="220"/>
        <v>0</v>
      </c>
      <c r="I425" s="194"/>
      <c r="J425" s="194">
        <f t="shared" si="221"/>
        <v>0</v>
      </c>
      <c r="K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194">
        <f t="shared" si="222"/>
        <v>0</v>
      </c>
      <c r="Z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194">
        <f t="shared" si="223"/>
        <v>0</v>
      </c>
      <c r="AD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194">
        <f t="shared" si="224"/>
        <v>0</v>
      </c>
      <c r="AH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194">
        <f t="shared" si="225"/>
        <v>0</v>
      </c>
      <c r="AL425" s="194">
        <f t="shared" si="226"/>
        <v>0</v>
      </c>
    </row>
    <row r="426" spans="2:38" x14ac:dyDescent="0.25">
      <c r="B426" s="192" t="s">
        <v>1384</v>
      </c>
      <c r="C426" s="193" t="s">
        <v>1385</v>
      </c>
      <c r="D42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194">
        <f>D426+E426</f>
        <v>0</v>
      </c>
      <c r="G426" s="194"/>
      <c r="H426" s="194">
        <f t="shared" si="220"/>
        <v>0</v>
      </c>
      <c r="I426" s="194"/>
      <c r="J426" s="194">
        <f t="shared" si="221"/>
        <v>0</v>
      </c>
      <c r="K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194">
        <f t="shared" si="222"/>
        <v>0</v>
      </c>
      <c r="Z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194">
        <f t="shared" si="223"/>
        <v>0</v>
      </c>
      <c r="AD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194">
        <f t="shared" si="224"/>
        <v>0</v>
      </c>
      <c r="AH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194">
        <f t="shared" si="225"/>
        <v>0</v>
      </c>
      <c r="AL426" s="194">
        <f t="shared" si="226"/>
        <v>0</v>
      </c>
    </row>
    <row r="427" spans="2:38" x14ac:dyDescent="0.25">
      <c r="B427" s="192" t="s">
        <v>1386</v>
      </c>
      <c r="C427" s="193" t="s">
        <v>1387</v>
      </c>
      <c r="D42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194">
        <f>D427+E427</f>
        <v>0</v>
      </c>
      <c r="G427" s="194"/>
      <c r="H427" s="194">
        <f t="shared" si="220"/>
        <v>0</v>
      </c>
      <c r="I427" s="194"/>
      <c r="J427" s="194">
        <f t="shared" si="221"/>
        <v>0</v>
      </c>
      <c r="K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194">
        <f t="shared" si="222"/>
        <v>0</v>
      </c>
      <c r="Z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194">
        <f t="shared" si="223"/>
        <v>0</v>
      </c>
      <c r="AD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194">
        <f t="shared" si="224"/>
        <v>0</v>
      </c>
      <c r="AH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194">
        <f t="shared" si="225"/>
        <v>0</v>
      </c>
      <c r="AL427" s="194">
        <f t="shared" si="226"/>
        <v>0</v>
      </c>
    </row>
    <row r="428" spans="2:38" x14ac:dyDescent="0.25">
      <c r="B428" s="192" t="s">
        <v>1388</v>
      </c>
      <c r="C428" s="193" t="s">
        <v>1389</v>
      </c>
      <c r="D42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194">
        <f t="shared" si="214"/>
        <v>0</v>
      </c>
      <c r="G428" s="194"/>
      <c r="H428" s="194">
        <f t="shared" si="220"/>
        <v>0</v>
      </c>
      <c r="I428" s="194"/>
      <c r="J428" s="194">
        <f t="shared" si="221"/>
        <v>0</v>
      </c>
      <c r="K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194">
        <f t="shared" si="222"/>
        <v>0</v>
      </c>
      <c r="Z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194">
        <f t="shared" si="223"/>
        <v>0</v>
      </c>
      <c r="AD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194">
        <f t="shared" si="224"/>
        <v>0</v>
      </c>
      <c r="AH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194">
        <f t="shared" si="225"/>
        <v>0</v>
      </c>
      <c r="AL428" s="194">
        <f t="shared" si="226"/>
        <v>0</v>
      </c>
    </row>
    <row r="429" spans="2:38" x14ac:dyDescent="0.25">
      <c r="B429" s="201" t="s">
        <v>437</v>
      </c>
      <c r="C429" s="202" t="s">
        <v>304</v>
      </c>
      <c r="D429" s="203">
        <f>SUM(D430:D431)</f>
        <v>0</v>
      </c>
      <c r="E429" s="203">
        <f>SUM(E430:E431)</f>
        <v>0</v>
      </c>
      <c r="F429" s="203">
        <f t="shared" si="214"/>
        <v>0</v>
      </c>
      <c r="G429" s="203">
        <f>SUM(G430:G431)</f>
        <v>0</v>
      </c>
      <c r="H429" s="203">
        <f t="shared" si="220"/>
        <v>0</v>
      </c>
      <c r="I429" s="203">
        <f>SUM(I430:I431)</f>
        <v>0</v>
      </c>
      <c r="J429" s="203">
        <f t="shared" si="221"/>
        <v>0</v>
      </c>
      <c r="K429" s="203">
        <f t="shared" ref="K429:X429" si="232">SUM(K430:K431)</f>
        <v>0</v>
      </c>
      <c r="L429" s="203">
        <f t="shared" si="232"/>
        <v>0</v>
      </c>
      <c r="M429" s="203">
        <f t="shared" si="232"/>
        <v>0</v>
      </c>
      <c r="N429" s="203">
        <f t="shared" si="232"/>
        <v>0</v>
      </c>
      <c r="O429" s="203">
        <f t="shared" si="232"/>
        <v>0</v>
      </c>
      <c r="P429" s="203">
        <f t="shared" si="232"/>
        <v>0</v>
      </c>
      <c r="Q429" s="203">
        <f t="shared" si="232"/>
        <v>0</v>
      </c>
      <c r="R429" s="203">
        <f t="shared" si="232"/>
        <v>0</v>
      </c>
      <c r="S429" s="203">
        <f t="shared" si="232"/>
        <v>0</v>
      </c>
      <c r="T429" s="203">
        <f t="shared" si="232"/>
        <v>0</v>
      </c>
      <c r="U429" s="203">
        <f t="shared" si="232"/>
        <v>0</v>
      </c>
      <c r="V429" s="203">
        <f t="shared" si="232"/>
        <v>0</v>
      </c>
      <c r="W429" s="203">
        <f t="shared" si="232"/>
        <v>0</v>
      </c>
      <c r="X429" s="203">
        <f t="shared" si="232"/>
        <v>0</v>
      </c>
      <c r="Y429" s="203">
        <f t="shared" si="222"/>
        <v>0</v>
      </c>
      <c r="Z429" s="203">
        <f>SUM(Z430:Z431)</f>
        <v>0</v>
      </c>
      <c r="AA429" s="203">
        <f>SUM(AA430:AA431)</f>
        <v>0</v>
      </c>
      <c r="AB429" s="203">
        <f>SUM(AB430:AB431)</f>
        <v>0</v>
      </c>
      <c r="AC429" s="203">
        <f t="shared" si="223"/>
        <v>0</v>
      </c>
      <c r="AD429" s="203">
        <f>SUM(AD430:AD431)</f>
        <v>0</v>
      </c>
      <c r="AE429" s="203">
        <f>SUM(AE430:AE431)</f>
        <v>0</v>
      </c>
      <c r="AF429" s="203">
        <f>SUM(AF430:AF431)</f>
        <v>0</v>
      </c>
      <c r="AG429" s="203">
        <f t="shared" si="224"/>
        <v>0</v>
      </c>
      <c r="AH429" s="203">
        <f>SUM(AH430:AH431)</f>
        <v>0</v>
      </c>
      <c r="AI429" s="203">
        <f>SUM(AI430:AI431)</f>
        <v>0</v>
      </c>
      <c r="AJ429" s="203">
        <f>SUM(AJ430:AJ431)</f>
        <v>0</v>
      </c>
      <c r="AK429" s="203">
        <f t="shared" si="225"/>
        <v>0</v>
      </c>
      <c r="AL429" s="203">
        <f t="shared" si="226"/>
        <v>0</v>
      </c>
    </row>
    <row r="430" spans="2:38" x14ac:dyDescent="0.25">
      <c r="B430" s="192" t="s">
        <v>1390</v>
      </c>
      <c r="C430" s="193" t="s">
        <v>1391</v>
      </c>
      <c r="D4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194">
        <f>D430+E430</f>
        <v>0</v>
      </c>
      <c r="G430" s="194"/>
      <c r="H430" s="194">
        <f t="shared" si="220"/>
        <v>0</v>
      </c>
      <c r="I430" s="194"/>
      <c r="J430" s="194">
        <f t="shared" si="221"/>
        <v>0</v>
      </c>
      <c r="K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194">
        <f t="shared" si="222"/>
        <v>0</v>
      </c>
      <c r="Z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194">
        <f t="shared" si="223"/>
        <v>0</v>
      </c>
      <c r="AD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194">
        <f t="shared" si="224"/>
        <v>0</v>
      </c>
      <c r="AH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194">
        <f t="shared" si="225"/>
        <v>0</v>
      </c>
      <c r="AL430" s="194">
        <f t="shared" si="226"/>
        <v>0</v>
      </c>
    </row>
    <row r="431" spans="2:38" x14ac:dyDescent="0.25">
      <c r="B431" s="192" t="s">
        <v>438</v>
      </c>
      <c r="C431" s="193" t="s">
        <v>305</v>
      </c>
      <c r="D4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194">
        <f t="shared" si="214"/>
        <v>0</v>
      </c>
      <c r="G431" s="194"/>
      <c r="H431" s="194">
        <f t="shared" si="220"/>
        <v>0</v>
      </c>
      <c r="I431" s="194"/>
      <c r="J431" s="194">
        <f t="shared" si="221"/>
        <v>0</v>
      </c>
      <c r="K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194">
        <f t="shared" si="222"/>
        <v>0</v>
      </c>
      <c r="Z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194">
        <f t="shared" si="223"/>
        <v>0</v>
      </c>
      <c r="AD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194">
        <f t="shared" si="224"/>
        <v>0</v>
      </c>
      <c r="AH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194">
        <f t="shared" si="225"/>
        <v>0</v>
      </c>
      <c r="AL431" s="194">
        <f t="shared" si="226"/>
        <v>0</v>
      </c>
    </row>
    <row r="432" spans="2:38" x14ac:dyDescent="0.25">
      <c r="B432" s="201" t="s">
        <v>439</v>
      </c>
      <c r="C432" s="202" t="s">
        <v>306</v>
      </c>
      <c r="D432" s="203">
        <f>SUM(D433:D435)</f>
        <v>0</v>
      </c>
      <c r="E432" s="203">
        <f>SUM(E433:E435)</f>
        <v>0</v>
      </c>
      <c r="F432" s="203">
        <f t="shared" si="214"/>
        <v>0</v>
      </c>
      <c r="G432" s="203">
        <f>SUM(G433:G435)</f>
        <v>0</v>
      </c>
      <c r="H432" s="203">
        <f t="shared" si="220"/>
        <v>0</v>
      </c>
      <c r="I432" s="203">
        <f>SUM(I433:I435)</f>
        <v>0</v>
      </c>
      <c r="J432" s="203">
        <f t="shared" si="221"/>
        <v>0</v>
      </c>
      <c r="K432" s="203">
        <f t="shared" ref="K432:X432" si="233">SUM(K433:K435)</f>
        <v>0</v>
      </c>
      <c r="L432" s="203">
        <f t="shared" si="233"/>
        <v>0</v>
      </c>
      <c r="M432" s="203">
        <f t="shared" si="233"/>
        <v>0</v>
      </c>
      <c r="N432" s="203">
        <f t="shared" si="233"/>
        <v>0</v>
      </c>
      <c r="O432" s="203">
        <f t="shared" si="233"/>
        <v>0</v>
      </c>
      <c r="P432" s="203">
        <f t="shared" si="233"/>
        <v>0</v>
      </c>
      <c r="Q432" s="203">
        <f t="shared" si="233"/>
        <v>0</v>
      </c>
      <c r="R432" s="203">
        <f t="shared" si="233"/>
        <v>0</v>
      </c>
      <c r="S432" s="203">
        <f t="shared" si="233"/>
        <v>0</v>
      </c>
      <c r="T432" s="203">
        <f t="shared" si="233"/>
        <v>0</v>
      </c>
      <c r="U432" s="203">
        <f t="shared" si="233"/>
        <v>0</v>
      </c>
      <c r="V432" s="203">
        <f t="shared" si="233"/>
        <v>0</v>
      </c>
      <c r="W432" s="203">
        <f t="shared" si="233"/>
        <v>0</v>
      </c>
      <c r="X432" s="203">
        <f t="shared" si="233"/>
        <v>0</v>
      </c>
      <c r="Y432" s="203">
        <f t="shared" si="222"/>
        <v>0</v>
      </c>
      <c r="Z432" s="203">
        <f>SUM(Z433:Z435)</f>
        <v>0</v>
      </c>
      <c r="AA432" s="203">
        <f>SUM(AA433:AA435)</f>
        <v>0</v>
      </c>
      <c r="AB432" s="203">
        <f>SUM(AB433:AB435)</f>
        <v>0</v>
      </c>
      <c r="AC432" s="203">
        <f t="shared" si="223"/>
        <v>0</v>
      </c>
      <c r="AD432" s="203">
        <f>SUM(AD433:AD435)</f>
        <v>0</v>
      </c>
      <c r="AE432" s="203">
        <f>SUM(AE433:AE435)</f>
        <v>0</v>
      </c>
      <c r="AF432" s="203">
        <f>SUM(AF433:AF435)</f>
        <v>0</v>
      </c>
      <c r="AG432" s="203">
        <f t="shared" si="224"/>
        <v>0</v>
      </c>
      <c r="AH432" s="203">
        <f>SUM(AH433:AH435)</f>
        <v>0</v>
      </c>
      <c r="AI432" s="203">
        <f>SUM(AI433:AI435)</f>
        <v>0</v>
      </c>
      <c r="AJ432" s="203">
        <f>SUM(AJ433:AJ435)</f>
        <v>0</v>
      </c>
      <c r="AK432" s="203">
        <f t="shared" si="225"/>
        <v>0</v>
      </c>
      <c r="AL432" s="203">
        <f t="shared" si="226"/>
        <v>0</v>
      </c>
    </row>
    <row r="433" spans="2:38" x14ac:dyDescent="0.25">
      <c r="B433" s="192" t="s">
        <v>440</v>
      </c>
      <c r="C433" s="193" t="s">
        <v>307</v>
      </c>
      <c r="D43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194">
        <f t="shared" si="214"/>
        <v>0</v>
      </c>
      <c r="G433" s="194"/>
      <c r="H433" s="194">
        <f t="shared" si="220"/>
        <v>0</v>
      </c>
      <c r="I433" s="194"/>
      <c r="J433" s="194">
        <f t="shared" si="221"/>
        <v>0</v>
      </c>
      <c r="K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194">
        <f t="shared" si="222"/>
        <v>0</v>
      </c>
      <c r="Z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194">
        <f t="shared" si="223"/>
        <v>0</v>
      </c>
      <c r="AD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194">
        <f t="shared" si="224"/>
        <v>0</v>
      </c>
      <c r="AH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194">
        <f t="shared" si="225"/>
        <v>0</v>
      </c>
      <c r="AL433" s="194">
        <f t="shared" si="226"/>
        <v>0</v>
      </c>
    </row>
    <row r="434" spans="2:38" x14ac:dyDescent="0.25">
      <c r="B434" s="192" t="s">
        <v>1420</v>
      </c>
      <c r="C434" s="193" t="s">
        <v>1421</v>
      </c>
      <c r="D43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194">
        <f>D434+E434</f>
        <v>0</v>
      </c>
      <c r="G434" s="194"/>
      <c r="H434" s="194">
        <f t="shared" si="220"/>
        <v>0</v>
      </c>
      <c r="I434" s="194"/>
      <c r="J434" s="194">
        <f t="shared" si="221"/>
        <v>0</v>
      </c>
      <c r="K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194">
        <f t="shared" si="222"/>
        <v>0</v>
      </c>
      <c r="Z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194">
        <f t="shared" si="223"/>
        <v>0</v>
      </c>
      <c r="AD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194">
        <f t="shared" si="224"/>
        <v>0</v>
      </c>
      <c r="AH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194">
        <f t="shared" si="225"/>
        <v>0</v>
      </c>
      <c r="AL434" s="194">
        <f t="shared" si="226"/>
        <v>0</v>
      </c>
    </row>
    <row r="435" spans="2:38" x14ac:dyDescent="0.25">
      <c r="B435" s="192" t="s">
        <v>1422</v>
      </c>
      <c r="C435" s="193" t="s">
        <v>1423</v>
      </c>
      <c r="D43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194">
        <f t="shared" si="214"/>
        <v>0</v>
      </c>
      <c r="G435" s="194"/>
      <c r="H435" s="194">
        <f t="shared" ref="H435:H464" si="234">F435-G435</f>
        <v>0</v>
      </c>
      <c r="I435" s="194"/>
      <c r="J435" s="194">
        <f t="shared" ref="J435:J464" si="235">F435-I435</f>
        <v>0</v>
      </c>
      <c r="K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194">
        <f t="shared" ref="Y435:Y464" si="236">V435+W435+X435</f>
        <v>0</v>
      </c>
      <c r="Z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194">
        <f t="shared" ref="AC435:AC464" si="237">Z435+AA435+AB435</f>
        <v>0</v>
      </c>
      <c r="AD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194">
        <f t="shared" ref="AG435:AG464" si="238">AD435+AE435+AF435</f>
        <v>0</v>
      </c>
      <c r="AH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194">
        <f t="shared" ref="AK435:AK464" si="239">AH435+AI435+AJ435</f>
        <v>0</v>
      </c>
      <c r="AL435" s="194">
        <f t="shared" ref="AL435:AL464" si="240">Y435+AC435+AG435+AK435</f>
        <v>0</v>
      </c>
    </row>
    <row r="436" spans="2:38" x14ac:dyDescent="0.25">
      <c r="B436" s="201" t="s">
        <v>441</v>
      </c>
      <c r="C436" s="202" t="s">
        <v>308</v>
      </c>
      <c r="D436" s="203">
        <f>SUM(D437:D445)</f>
        <v>0</v>
      </c>
      <c r="E436" s="203">
        <f>SUM(E437:E445)</f>
        <v>0</v>
      </c>
      <c r="F436" s="203">
        <f t="shared" si="214"/>
        <v>0</v>
      </c>
      <c r="G436" s="203">
        <f>SUM(G437:G445)</f>
        <v>0</v>
      </c>
      <c r="H436" s="203">
        <f t="shared" si="234"/>
        <v>0</v>
      </c>
      <c r="I436" s="203">
        <f>SUM(I437:I445)</f>
        <v>0</v>
      </c>
      <c r="J436" s="203">
        <f t="shared" si="235"/>
        <v>0</v>
      </c>
      <c r="K436" s="203">
        <f t="shared" ref="K436:X436" si="241">SUM(K437:K445)</f>
        <v>0</v>
      </c>
      <c r="L436" s="203">
        <f t="shared" si="241"/>
        <v>0</v>
      </c>
      <c r="M436" s="203">
        <f t="shared" si="241"/>
        <v>0</v>
      </c>
      <c r="N436" s="203">
        <f t="shared" si="241"/>
        <v>0</v>
      </c>
      <c r="O436" s="203">
        <f t="shared" si="241"/>
        <v>0</v>
      </c>
      <c r="P436" s="203">
        <f t="shared" si="241"/>
        <v>0</v>
      </c>
      <c r="Q436" s="203">
        <f t="shared" si="241"/>
        <v>0</v>
      </c>
      <c r="R436" s="203">
        <f t="shared" si="241"/>
        <v>0</v>
      </c>
      <c r="S436" s="203">
        <f t="shared" si="241"/>
        <v>0</v>
      </c>
      <c r="T436" s="203">
        <f t="shared" si="241"/>
        <v>0</v>
      </c>
      <c r="U436" s="203">
        <f t="shared" si="241"/>
        <v>0</v>
      </c>
      <c r="V436" s="203">
        <f t="shared" si="241"/>
        <v>0</v>
      </c>
      <c r="W436" s="203">
        <f t="shared" si="241"/>
        <v>0</v>
      </c>
      <c r="X436" s="203">
        <f t="shared" si="241"/>
        <v>0</v>
      </c>
      <c r="Y436" s="203">
        <f t="shared" si="236"/>
        <v>0</v>
      </c>
      <c r="Z436" s="203">
        <f>SUM(Z437:Z445)</f>
        <v>0</v>
      </c>
      <c r="AA436" s="203">
        <f>SUM(AA437:AA445)</f>
        <v>0</v>
      </c>
      <c r="AB436" s="203">
        <f>SUM(AB437:AB445)</f>
        <v>0</v>
      </c>
      <c r="AC436" s="203">
        <f t="shared" si="237"/>
        <v>0</v>
      </c>
      <c r="AD436" s="203">
        <f>SUM(AD437:AD445)</f>
        <v>0</v>
      </c>
      <c r="AE436" s="203">
        <f>SUM(AE437:AE445)</f>
        <v>0</v>
      </c>
      <c r="AF436" s="203">
        <f>SUM(AF437:AF445)</f>
        <v>0</v>
      </c>
      <c r="AG436" s="203">
        <f t="shared" si="238"/>
        <v>0</v>
      </c>
      <c r="AH436" s="203">
        <f>SUM(AH437:AH445)</f>
        <v>0</v>
      </c>
      <c r="AI436" s="203">
        <f>SUM(AI437:AI445)</f>
        <v>0</v>
      </c>
      <c r="AJ436" s="203">
        <f>SUM(AJ437:AJ445)</f>
        <v>0</v>
      </c>
      <c r="AK436" s="203">
        <f t="shared" si="239"/>
        <v>0</v>
      </c>
      <c r="AL436" s="203">
        <f t="shared" si="240"/>
        <v>0</v>
      </c>
    </row>
    <row r="437" spans="2:38" x14ac:dyDescent="0.25">
      <c r="B437" s="192" t="s">
        <v>442</v>
      </c>
      <c r="C437" s="193" t="s">
        <v>303</v>
      </c>
      <c r="D43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194">
        <f>D437+E437</f>
        <v>0</v>
      </c>
      <c r="G437" s="194"/>
      <c r="H437" s="194">
        <f t="shared" si="234"/>
        <v>0</v>
      </c>
      <c r="I437" s="194"/>
      <c r="J437" s="194">
        <f t="shared" si="235"/>
        <v>0</v>
      </c>
      <c r="K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194">
        <f t="shared" si="236"/>
        <v>0</v>
      </c>
      <c r="Z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194">
        <f t="shared" si="237"/>
        <v>0</v>
      </c>
      <c r="AD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194">
        <f t="shared" si="238"/>
        <v>0</v>
      </c>
      <c r="AH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194">
        <f t="shared" si="239"/>
        <v>0</v>
      </c>
      <c r="AL437" s="194">
        <f t="shared" si="240"/>
        <v>0</v>
      </c>
    </row>
    <row r="438" spans="2:38" x14ac:dyDescent="0.25">
      <c r="B438" s="192" t="s">
        <v>1424</v>
      </c>
      <c r="C438" s="193" t="s">
        <v>1379</v>
      </c>
      <c r="D4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194">
        <f>D438+E438</f>
        <v>0</v>
      </c>
      <c r="G438" s="194"/>
      <c r="H438" s="194">
        <f t="shared" si="234"/>
        <v>0</v>
      </c>
      <c r="I438" s="194"/>
      <c r="J438" s="194">
        <f t="shared" si="235"/>
        <v>0</v>
      </c>
      <c r="K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194">
        <f t="shared" si="236"/>
        <v>0</v>
      </c>
      <c r="Z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194">
        <f t="shared" si="237"/>
        <v>0</v>
      </c>
      <c r="AD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194">
        <f t="shared" si="238"/>
        <v>0</v>
      </c>
      <c r="AH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194">
        <f t="shared" si="239"/>
        <v>0</v>
      </c>
      <c r="AL438" s="194">
        <f t="shared" si="240"/>
        <v>0</v>
      </c>
    </row>
    <row r="439" spans="2:38" x14ac:dyDescent="0.25">
      <c r="B439" s="192" t="s">
        <v>1425</v>
      </c>
      <c r="C439" s="193" t="s">
        <v>1381</v>
      </c>
      <c r="D4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194">
        <f>D439+E439</f>
        <v>0</v>
      </c>
      <c r="G439" s="194"/>
      <c r="H439" s="194">
        <f t="shared" si="234"/>
        <v>0</v>
      </c>
      <c r="I439" s="194"/>
      <c r="J439" s="194">
        <f t="shared" si="235"/>
        <v>0</v>
      </c>
      <c r="K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194">
        <f t="shared" si="236"/>
        <v>0</v>
      </c>
      <c r="Z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194">
        <f t="shared" si="237"/>
        <v>0</v>
      </c>
      <c r="AD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194">
        <f t="shared" si="238"/>
        <v>0</v>
      </c>
      <c r="AH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194">
        <f t="shared" si="239"/>
        <v>0</v>
      </c>
      <c r="AL439" s="194">
        <f t="shared" si="240"/>
        <v>0</v>
      </c>
    </row>
    <row r="440" spans="2:38" x14ac:dyDescent="0.25">
      <c r="B440" s="192" t="s">
        <v>1426</v>
      </c>
      <c r="C440" s="193" t="s">
        <v>1385</v>
      </c>
      <c r="D4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194">
        <f>D440+E440</f>
        <v>0</v>
      </c>
      <c r="G440" s="194"/>
      <c r="H440" s="194">
        <f t="shared" si="234"/>
        <v>0</v>
      </c>
      <c r="I440" s="194"/>
      <c r="J440" s="194">
        <f t="shared" si="235"/>
        <v>0</v>
      </c>
      <c r="K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194">
        <f t="shared" si="236"/>
        <v>0</v>
      </c>
      <c r="Z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194">
        <f t="shared" si="237"/>
        <v>0</v>
      </c>
      <c r="AD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194">
        <f t="shared" si="238"/>
        <v>0</v>
      </c>
      <c r="AH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194">
        <f t="shared" si="239"/>
        <v>0</v>
      </c>
      <c r="AL440" s="194">
        <f t="shared" si="240"/>
        <v>0</v>
      </c>
    </row>
    <row r="441" spans="2:38" x14ac:dyDescent="0.25">
      <c r="B441" s="192" t="s">
        <v>1427</v>
      </c>
      <c r="C441" s="193" t="s">
        <v>1428</v>
      </c>
      <c r="D4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194">
        <f>D441+E441</f>
        <v>0</v>
      </c>
      <c r="G441" s="194"/>
      <c r="H441" s="194">
        <f t="shared" si="234"/>
        <v>0</v>
      </c>
      <c r="I441" s="194"/>
      <c r="J441" s="194">
        <f t="shared" si="235"/>
        <v>0</v>
      </c>
      <c r="K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194">
        <f t="shared" si="236"/>
        <v>0</v>
      </c>
      <c r="Z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194">
        <f t="shared" si="237"/>
        <v>0</v>
      </c>
      <c r="AD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194">
        <f t="shared" si="238"/>
        <v>0</v>
      </c>
      <c r="AH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194">
        <f t="shared" si="239"/>
        <v>0</v>
      </c>
      <c r="AL441" s="194">
        <f t="shared" si="240"/>
        <v>0</v>
      </c>
    </row>
    <row r="442" spans="2:38" x14ac:dyDescent="0.25">
      <c r="B442" s="192" t="s">
        <v>1429</v>
      </c>
      <c r="C442" s="193" t="s">
        <v>1389</v>
      </c>
      <c r="D44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194">
        <f t="shared" si="214"/>
        <v>0</v>
      </c>
      <c r="G442" s="194"/>
      <c r="H442" s="194">
        <f t="shared" si="234"/>
        <v>0</v>
      </c>
      <c r="I442" s="194"/>
      <c r="J442" s="194">
        <f t="shared" si="235"/>
        <v>0</v>
      </c>
      <c r="K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194">
        <f t="shared" si="236"/>
        <v>0</v>
      </c>
      <c r="Z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194">
        <f t="shared" si="237"/>
        <v>0</v>
      </c>
      <c r="AD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194">
        <f t="shared" si="238"/>
        <v>0</v>
      </c>
      <c r="AH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194">
        <f t="shared" si="239"/>
        <v>0</v>
      </c>
      <c r="AL442" s="194">
        <f t="shared" si="240"/>
        <v>0</v>
      </c>
    </row>
    <row r="443" spans="2:38" x14ac:dyDescent="0.25">
      <c r="B443" s="192" t="s">
        <v>1430</v>
      </c>
      <c r="C443" s="193" t="s">
        <v>1431</v>
      </c>
      <c r="D44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194">
        <f>D443+E443</f>
        <v>0</v>
      </c>
      <c r="G443" s="194"/>
      <c r="H443" s="194">
        <f t="shared" si="234"/>
        <v>0</v>
      </c>
      <c r="I443" s="194"/>
      <c r="J443" s="194">
        <f t="shared" si="235"/>
        <v>0</v>
      </c>
      <c r="K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194">
        <f t="shared" si="236"/>
        <v>0</v>
      </c>
      <c r="Z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194">
        <f t="shared" si="237"/>
        <v>0</v>
      </c>
      <c r="AD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194">
        <f t="shared" si="238"/>
        <v>0</v>
      </c>
      <c r="AH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194">
        <f t="shared" si="239"/>
        <v>0</v>
      </c>
      <c r="AL443" s="194">
        <f t="shared" si="240"/>
        <v>0</v>
      </c>
    </row>
    <row r="444" spans="2:38" x14ac:dyDescent="0.25">
      <c r="B444" s="192" t="s">
        <v>1432</v>
      </c>
      <c r="C444" s="193" t="s">
        <v>1391</v>
      </c>
      <c r="D4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194">
        <f>D444+E444</f>
        <v>0</v>
      </c>
      <c r="G444" s="194"/>
      <c r="H444" s="194">
        <f t="shared" si="234"/>
        <v>0</v>
      </c>
      <c r="I444" s="194"/>
      <c r="J444" s="194">
        <f t="shared" si="235"/>
        <v>0</v>
      </c>
      <c r="K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194">
        <f t="shared" si="236"/>
        <v>0</v>
      </c>
      <c r="Z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194">
        <f t="shared" si="237"/>
        <v>0</v>
      </c>
      <c r="AD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194">
        <f t="shared" si="238"/>
        <v>0</v>
      </c>
      <c r="AH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194">
        <f t="shared" si="239"/>
        <v>0</v>
      </c>
      <c r="AL444" s="194">
        <f t="shared" si="240"/>
        <v>0</v>
      </c>
    </row>
    <row r="445" spans="2:38" x14ac:dyDescent="0.25">
      <c r="B445" s="192" t="s">
        <v>1433</v>
      </c>
      <c r="C445" s="193" t="s">
        <v>1434</v>
      </c>
      <c r="D4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194">
        <f t="shared" si="214"/>
        <v>0</v>
      </c>
      <c r="G445" s="194"/>
      <c r="H445" s="194">
        <f t="shared" si="234"/>
        <v>0</v>
      </c>
      <c r="I445" s="194"/>
      <c r="J445" s="194">
        <f t="shared" si="235"/>
        <v>0</v>
      </c>
      <c r="K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194">
        <f t="shared" si="236"/>
        <v>0</v>
      </c>
      <c r="Z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194">
        <f t="shared" si="237"/>
        <v>0</v>
      </c>
      <c r="AD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194">
        <f t="shared" si="238"/>
        <v>0</v>
      </c>
      <c r="AH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194">
        <f t="shared" si="239"/>
        <v>0</v>
      </c>
      <c r="AL445" s="194">
        <f t="shared" si="240"/>
        <v>0</v>
      </c>
    </row>
    <row r="446" spans="2:38" x14ac:dyDescent="0.25">
      <c r="B446" s="189" t="s">
        <v>431</v>
      </c>
      <c r="C446" s="190" t="s">
        <v>298</v>
      </c>
      <c r="D446" s="191">
        <f>D447</f>
        <v>0</v>
      </c>
      <c r="E446" s="191">
        <f>E447</f>
        <v>11421225</v>
      </c>
      <c r="F446" s="191">
        <f t="shared" ref="F446:F464" si="242">D446+E446</f>
        <v>11421225</v>
      </c>
      <c r="G446" s="191">
        <f>G447</f>
        <v>0</v>
      </c>
      <c r="H446" s="191">
        <f t="shared" si="234"/>
        <v>11421225</v>
      </c>
      <c r="I446" s="191">
        <f>I447</f>
        <v>0</v>
      </c>
      <c r="J446" s="191">
        <f t="shared" si="235"/>
        <v>11421225</v>
      </c>
      <c r="K446" s="191">
        <f t="shared" ref="K446:AJ446" si="243">K447</f>
        <v>0</v>
      </c>
      <c r="L446" s="191">
        <f t="shared" si="243"/>
        <v>0</v>
      </c>
      <c r="M446" s="191">
        <f t="shared" si="243"/>
        <v>0</v>
      </c>
      <c r="N446" s="191">
        <f t="shared" si="243"/>
        <v>11421225</v>
      </c>
      <c r="O446" s="191">
        <f t="shared" si="243"/>
        <v>0</v>
      </c>
      <c r="P446" s="191">
        <f t="shared" si="243"/>
        <v>0</v>
      </c>
      <c r="Q446" s="191">
        <f t="shared" si="243"/>
        <v>0</v>
      </c>
      <c r="R446" s="191">
        <f t="shared" si="243"/>
        <v>0</v>
      </c>
      <c r="S446" s="191">
        <f t="shared" si="243"/>
        <v>0</v>
      </c>
      <c r="T446" s="191">
        <f t="shared" si="243"/>
        <v>0</v>
      </c>
      <c r="U446" s="191">
        <f t="shared" si="243"/>
        <v>0</v>
      </c>
      <c r="V446" s="191">
        <f t="shared" si="243"/>
        <v>8110500</v>
      </c>
      <c r="W446" s="191">
        <f t="shared" si="243"/>
        <v>2952000</v>
      </c>
      <c r="X446" s="191">
        <f t="shared" si="243"/>
        <v>358725</v>
      </c>
      <c r="Y446" s="191">
        <f t="shared" si="236"/>
        <v>11421225</v>
      </c>
      <c r="Z446" s="191">
        <f t="shared" si="243"/>
        <v>0</v>
      </c>
      <c r="AA446" s="191">
        <f t="shared" si="243"/>
        <v>0</v>
      </c>
      <c r="AB446" s="191">
        <f t="shared" si="243"/>
        <v>0</v>
      </c>
      <c r="AC446" s="191">
        <f t="shared" si="237"/>
        <v>0</v>
      </c>
      <c r="AD446" s="191">
        <f t="shared" si="243"/>
        <v>0</v>
      </c>
      <c r="AE446" s="191">
        <f t="shared" si="243"/>
        <v>0</v>
      </c>
      <c r="AF446" s="191">
        <f t="shared" si="243"/>
        <v>0</v>
      </c>
      <c r="AG446" s="191">
        <f t="shared" si="238"/>
        <v>0</v>
      </c>
      <c r="AH446" s="191">
        <f t="shared" si="243"/>
        <v>0</v>
      </c>
      <c r="AI446" s="191">
        <f t="shared" si="243"/>
        <v>0</v>
      </c>
      <c r="AJ446" s="191">
        <f t="shared" si="243"/>
        <v>0</v>
      </c>
      <c r="AK446" s="191">
        <f t="shared" si="239"/>
        <v>0</v>
      </c>
      <c r="AL446" s="191">
        <f t="shared" si="240"/>
        <v>11421225</v>
      </c>
    </row>
    <row r="447" spans="2:38" x14ac:dyDescent="0.25">
      <c r="B447" s="201" t="s">
        <v>433</v>
      </c>
      <c r="C447" s="202" t="s">
        <v>300</v>
      </c>
      <c r="D447" s="203">
        <f>SUM(D448:D497)</f>
        <v>0</v>
      </c>
      <c r="E447" s="203">
        <f>SUM(E448:E497)</f>
        <v>11421225</v>
      </c>
      <c r="F447" s="203">
        <f t="shared" si="242"/>
        <v>11421225</v>
      </c>
      <c r="G447" s="203">
        <f>SUM(G448:G497)</f>
        <v>0</v>
      </c>
      <c r="H447" s="203">
        <f t="shared" si="234"/>
        <v>11421225</v>
      </c>
      <c r="I447" s="203">
        <f>SUM(I448:I497)</f>
        <v>0</v>
      </c>
      <c r="J447" s="203">
        <f t="shared" si="235"/>
        <v>11421225</v>
      </c>
      <c r="K447" s="203">
        <f t="shared" ref="K447:X447" si="244">SUM(K448:K497)</f>
        <v>0</v>
      </c>
      <c r="L447" s="203">
        <f t="shared" si="244"/>
        <v>0</v>
      </c>
      <c r="M447" s="203">
        <f t="shared" si="244"/>
        <v>0</v>
      </c>
      <c r="N447" s="203">
        <f t="shared" si="244"/>
        <v>11421225</v>
      </c>
      <c r="O447" s="203">
        <f t="shared" si="244"/>
        <v>0</v>
      </c>
      <c r="P447" s="203">
        <f t="shared" si="244"/>
        <v>0</v>
      </c>
      <c r="Q447" s="203">
        <f t="shared" si="244"/>
        <v>0</v>
      </c>
      <c r="R447" s="203">
        <f t="shared" si="244"/>
        <v>0</v>
      </c>
      <c r="S447" s="203">
        <f t="shared" si="244"/>
        <v>0</v>
      </c>
      <c r="T447" s="203">
        <f t="shared" si="244"/>
        <v>0</v>
      </c>
      <c r="U447" s="203">
        <f t="shared" si="244"/>
        <v>0</v>
      </c>
      <c r="V447" s="203">
        <f t="shared" si="244"/>
        <v>8110500</v>
      </c>
      <c r="W447" s="203">
        <f t="shared" si="244"/>
        <v>2952000</v>
      </c>
      <c r="X447" s="203">
        <f t="shared" si="244"/>
        <v>358725</v>
      </c>
      <c r="Y447" s="203">
        <f t="shared" si="236"/>
        <v>11421225</v>
      </c>
      <c r="Z447" s="203">
        <f>SUM(Z448:Z497)</f>
        <v>0</v>
      </c>
      <c r="AA447" s="203">
        <f>SUM(AA448:AA497)</f>
        <v>0</v>
      </c>
      <c r="AB447" s="203">
        <f>SUM(AB448:AB497)</f>
        <v>0</v>
      </c>
      <c r="AC447" s="203">
        <f t="shared" si="237"/>
        <v>0</v>
      </c>
      <c r="AD447" s="203">
        <f>SUM(AD448:AD497)</f>
        <v>0</v>
      </c>
      <c r="AE447" s="203">
        <f>SUM(AE448:AE497)</f>
        <v>0</v>
      </c>
      <c r="AF447" s="203">
        <f>SUM(AF448:AF497)</f>
        <v>0</v>
      </c>
      <c r="AG447" s="203">
        <f t="shared" si="238"/>
        <v>0</v>
      </c>
      <c r="AH447" s="203">
        <f>SUM(AH448:AH497)</f>
        <v>0</v>
      </c>
      <c r="AI447" s="203">
        <f>SUM(AI448:AI497)</f>
        <v>0</v>
      </c>
      <c r="AJ447" s="203">
        <f>SUM(AJ448:AJ497)</f>
        <v>0</v>
      </c>
      <c r="AK447" s="203">
        <f t="shared" si="239"/>
        <v>0</v>
      </c>
      <c r="AL447" s="203">
        <f t="shared" si="240"/>
        <v>11421225</v>
      </c>
    </row>
    <row r="448" spans="2:38" x14ac:dyDescent="0.25">
      <c r="B448" s="192" t="s">
        <v>443</v>
      </c>
      <c r="C448" s="193" t="s">
        <v>309</v>
      </c>
      <c r="D4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194">
        <f t="shared" si="242"/>
        <v>0</v>
      </c>
      <c r="G448" s="194"/>
      <c r="H448" s="194">
        <f t="shared" si="234"/>
        <v>0</v>
      </c>
      <c r="I448" s="194"/>
      <c r="J448" s="194">
        <f t="shared" si="235"/>
        <v>0</v>
      </c>
      <c r="K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194">
        <f t="shared" si="236"/>
        <v>0</v>
      </c>
      <c r="Z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194">
        <f t="shared" si="237"/>
        <v>0</v>
      </c>
      <c r="AD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194">
        <f t="shared" si="238"/>
        <v>0</v>
      </c>
      <c r="AH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194">
        <f t="shared" si="239"/>
        <v>0</v>
      </c>
      <c r="AL448" s="194">
        <f t="shared" si="240"/>
        <v>0</v>
      </c>
    </row>
    <row r="449" spans="2:38" x14ac:dyDescent="0.25">
      <c r="B449" s="192" t="s">
        <v>1272</v>
      </c>
      <c r="C449" s="193" t="s">
        <v>1273</v>
      </c>
      <c r="D4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4242000</v>
      </c>
      <c r="F449" s="194">
        <f t="shared" si="242"/>
        <v>4242000</v>
      </c>
      <c r="G449" s="194"/>
      <c r="H449" s="194">
        <f t="shared" si="234"/>
        <v>4242000</v>
      </c>
      <c r="I449" s="194"/>
      <c r="J449" s="194">
        <f t="shared" si="235"/>
        <v>4242000</v>
      </c>
      <c r="K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4242000</v>
      </c>
      <c r="O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1890000</v>
      </c>
      <c r="W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2352000</v>
      </c>
      <c r="X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194">
        <f t="shared" si="236"/>
        <v>4242000</v>
      </c>
      <c r="Z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194">
        <f t="shared" si="237"/>
        <v>0</v>
      </c>
      <c r="AD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194">
        <f t="shared" si="238"/>
        <v>0</v>
      </c>
      <c r="AH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194">
        <f t="shared" si="239"/>
        <v>0</v>
      </c>
      <c r="AL449" s="194">
        <f t="shared" si="240"/>
        <v>4242000</v>
      </c>
    </row>
    <row r="450" spans="2:38" x14ac:dyDescent="0.25">
      <c r="B450" s="192" t="s">
        <v>1274</v>
      </c>
      <c r="C450" s="193" t="s">
        <v>1275</v>
      </c>
      <c r="D45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194">
        <f t="shared" si="242"/>
        <v>0</v>
      </c>
      <c r="G450" s="194"/>
      <c r="H450" s="194">
        <f t="shared" si="234"/>
        <v>0</v>
      </c>
      <c r="I450" s="194"/>
      <c r="J450" s="194">
        <f t="shared" si="235"/>
        <v>0</v>
      </c>
      <c r="K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194">
        <f t="shared" si="236"/>
        <v>0</v>
      </c>
      <c r="Z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194">
        <f t="shared" si="237"/>
        <v>0</v>
      </c>
      <c r="AD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194">
        <f t="shared" si="238"/>
        <v>0</v>
      </c>
      <c r="AH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194">
        <f t="shared" si="239"/>
        <v>0</v>
      </c>
      <c r="AL450" s="194">
        <f t="shared" si="240"/>
        <v>0</v>
      </c>
    </row>
    <row r="451" spans="2:38" x14ac:dyDescent="0.25">
      <c r="B451" s="192" t="s">
        <v>1276</v>
      </c>
      <c r="C451" s="193" t="s">
        <v>1277</v>
      </c>
      <c r="D4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194">
        <f t="shared" si="242"/>
        <v>0</v>
      </c>
      <c r="G451" s="194"/>
      <c r="H451" s="194">
        <f t="shared" si="234"/>
        <v>0</v>
      </c>
      <c r="I451" s="194"/>
      <c r="J451" s="194">
        <f t="shared" si="235"/>
        <v>0</v>
      </c>
      <c r="K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194">
        <f t="shared" si="236"/>
        <v>0</v>
      </c>
      <c r="Z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194">
        <f t="shared" si="237"/>
        <v>0</v>
      </c>
      <c r="AD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194">
        <f t="shared" si="238"/>
        <v>0</v>
      </c>
      <c r="AH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194">
        <f t="shared" si="239"/>
        <v>0</v>
      </c>
      <c r="AL451" s="194">
        <f t="shared" si="240"/>
        <v>0</v>
      </c>
    </row>
    <row r="452" spans="2:38" x14ac:dyDescent="0.25">
      <c r="B452" s="192" t="s">
        <v>1278</v>
      </c>
      <c r="C452" s="193" t="s">
        <v>1279</v>
      </c>
      <c r="D4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1528725</v>
      </c>
      <c r="F452" s="194">
        <f t="shared" si="242"/>
        <v>1528725</v>
      </c>
      <c r="G452" s="194"/>
      <c r="H452" s="194">
        <f t="shared" si="234"/>
        <v>1528725</v>
      </c>
      <c r="I452" s="194"/>
      <c r="J452" s="194">
        <f t="shared" si="235"/>
        <v>1528725</v>
      </c>
      <c r="K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1528725</v>
      </c>
      <c r="O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570000</v>
      </c>
      <c r="W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600000</v>
      </c>
      <c r="X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358725</v>
      </c>
      <c r="Y452" s="194">
        <f t="shared" si="236"/>
        <v>1528725</v>
      </c>
      <c r="Z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194">
        <f t="shared" si="237"/>
        <v>0</v>
      </c>
      <c r="AD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194">
        <f t="shared" si="238"/>
        <v>0</v>
      </c>
      <c r="AH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194">
        <f t="shared" si="239"/>
        <v>0</v>
      </c>
      <c r="AL452" s="194">
        <f t="shared" si="240"/>
        <v>1528725</v>
      </c>
    </row>
    <row r="453" spans="2:38" x14ac:dyDescent="0.25">
      <c r="B453" s="192" t="s">
        <v>1280</v>
      </c>
      <c r="C453" s="193" t="s">
        <v>1281</v>
      </c>
      <c r="D4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194">
        <f t="shared" si="242"/>
        <v>0</v>
      </c>
      <c r="G453" s="194"/>
      <c r="H453" s="194">
        <f t="shared" si="234"/>
        <v>0</v>
      </c>
      <c r="I453" s="194"/>
      <c r="J453" s="194">
        <f t="shared" si="235"/>
        <v>0</v>
      </c>
      <c r="K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194">
        <f t="shared" si="236"/>
        <v>0</v>
      </c>
      <c r="Z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194">
        <f t="shared" si="237"/>
        <v>0</v>
      </c>
      <c r="AD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194">
        <f t="shared" si="238"/>
        <v>0</v>
      </c>
      <c r="AH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194">
        <f t="shared" si="239"/>
        <v>0</v>
      </c>
      <c r="AL453" s="194">
        <f t="shared" si="240"/>
        <v>0</v>
      </c>
    </row>
    <row r="454" spans="2:38" x14ac:dyDescent="0.25">
      <c r="B454" s="192" t="s">
        <v>1282</v>
      </c>
      <c r="C454" s="193" t="s">
        <v>1283</v>
      </c>
      <c r="D4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194">
        <f t="shared" si="242"/>
        <v>0</v>
      </c>
      <c r="G454" s="194"/>
      <c r="H454" s="194">
        <f t="shared" si="234"/>
        <v>0</v>
      </c>
      <c r="I454" s="194"/>
      <c r="J454" s="194">
        <f t="shared" si="235"/>
        <v>0</v>
      </c>
      <c r="K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194">
        <f t="shared" si="236"/>
        <v>0</v>
      </c>
      <c r="Z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194">
        <f t="shared" si="237"/>
        <v>0</v>
      </c>
      <c r="AD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194">
        <f t="shared" si="238"/>
        <v>0</v>
      </c>
      <c r="AH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194">
        <f t="shared" si="239"/>
        <v>0</v>
      </c>
      <c r="AL454" s="194">
        <f t="shared" si="240"/>
        <v>0</v>
      </c>
    </row>
    <row r="455" spans="2:38" x14ac:dyDescent="0.25">
      <c r="B455" s="192" t="s">
        <v>1284</v>
      </c>
      <c r="C455" s="193" t="s">
        <v>1285</v>
      </c>
      <c r="D4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194">
        <f t="shared" si="242"/>
        <v>0</v>
      </c>
      <c r="G455" s="194"/>
      <c r="H455" s="194">
        <f t="shared" si="234"/>
        <v>0</v>
      </c>
      <c r="I455" s="194"/>
      <c r="J455" s="194">
        <f t="shared" si="235"/>
        <v>0</v>
      </c>
      <c r="K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194">
        <f t="shared" si="236"/>
        <v>0</v>
      </c>
      <c r="Z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194">
        <f t="shared" si="237"/>
        <v>0</v>
      </c>
      <c r="AD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194">
        <f t="shared" si="238"/>
        <v>0</v>
      </c>
      <c r="AH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194">
        <f t="shared" si="239"/>
        <v>0</v>
      </c>
      <c r="AL455" s="194">
        <f t="shared" si="240"/>
        <v>0</v>
      </c>
    </row>
    <row r="456" spans="2:38" x14ac:dyDescent="0.25">
      <c r="B456" s="192" t="s">
        <v>1286</v>
      </c>
      <c r="C456" s="193" t="s">
        <v>1287</v>
      </c>
      <c r="D4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194">
        <f t="shared" si="242"/>
        <v>0</v>
      </c>
      <c r="G456" s="194"/>
      <c r="H456" s="194">
        <f t="shared" si="234"/>
        <v>0</v>
      </c>
      <c r="I456" s="194"/>
      <c r="J456" s="194">
        <f t="shared" si="235"/>
        <v>0</v>
      </c>
      <c r="K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194">
        <f t="shared" si="236"/>
        <v>0</v>
      </c>
      <c r="Z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194">
        <f t="shared" si="237"/>
        <v>0</v>
      </c>
      <c r="AD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194">
        <f t="shared" si="238"/>
        <v>0</v>
      </c>
      <c r="AH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194">
        <f t="shared" si="239"/>
        <v>0</v>
      </c>
      <c r="AL456" s="194">
        <f t="shared" si="240"/>
        <v>0</v>
      </c>
    </row>
    <row r="457" spans="2:38" x14ac:dyDescent="0.25">
      <c r="B457" s="192" t="s">
        <v>1288</v>
      </c>
      <c r="C457" s="193" t="s">
        <v>1289</v>
      </c>
      <c r="D45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5650500</v>
      </c>
      <c r="F457" s="194">
        <f t="shared" si="242"/>
        <v>5650500</v>
      </c>
      <c r="G457" s="194"/>
      <c r="H457" s="194">
        <f t="shared" si="234"/>
        <v>5650500</v>
      </c>
      <c r="I457" s="194"/>
      <c r="J457" s="194">
        <f t="shared" si="235"/>
        <v>5650500</v>
      </c>
      <c r="K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5650500</v>
      </c>
      <c r="O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5650500</v>
      </c>
      <c r="W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194">
        <f t="shared" si="236"/>
        <v>5650500</v>
      </c>
      <c r="Z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194">
        <f t="shared" si="237"/>
        <v>0</v>
      </c>
      <c r="AD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194">
        <f t="shared" si="238"/>
        <v>0</v>
      </c>
      <c r="AH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194">
        <f t="shared" si="239"/>
        <v>0</v>
      </c>
      <c r="AL457" s="194">
        <f t="shared" si="240"/>
        <v>5650500</v>
      </c>
    </row>
    <row r="458" spans="2:38" x14ac:dyDescent="0.25">
      <c r="B458" s="192" t="s">
        <v>1290</v>
      </c>
      <c r="C458" s="193" t="s">
        <v>1291</v>
      </c>
      <c r="D4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194">
        <f t="shared" si="242"/>
        <v>0</v>
      </c>
      <c r="G458" s="194"/>
      <c r="H458" s="194">
        <f t="shared" si="234"/>
        <v>0</v>
      </c>
      <c r="I458" s="194"/>
      <c r="J458" s="194">
        <f t="shared" si="235"/>
        <v>0</v>
      </c>
      <c r="K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194">
        <f t="shared" si="236"/>
        <v>0</v>
      </c>
      <c r="Z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194">
        <f t="shared" si="237"/>
        <v>0</v>
      </c>
      <c r="AD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194">
        <f t="shared" si="238"/>
        <v>0</v>
      </c>
      <c r="AH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194">
        <f t="shared" si="239"/>
        <v>0</v>
      </c>
      <c r="AL458" s="194">
        <f t="shared" si="240"/>
        <v>0</v>
      </c>
    </row>
    <row r="459" spans="2:38" x14ac:dyDescent="0.25">
      <c r="B459" s="192" t="s">
        <v>1292</v>
      </c>
      <c r="C459" s="193" t="s">
        <v>1293</v>
      </c>
      <c r="D45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194">
        <f t="shared" si="242"/>
        <v>0</v>
      </c>
      <c r="G459" s="194"/>
      <c r="H459" s="194">
        <f t="shared" si="234"/>
        <v>0</v>
      </c>
      <c r="I459" s="194"/>
      <c r="J459" s="194">
        <f t="shared" si="235"/>
        <v>0</v>
      </c>
      <c r="K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194">
        <f t="shared" si="236"/>
        <v>0</v>
      </c>
      <c r="Z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194">
        <f t="shared" si="237"/>
        <v>0</v>
      </c>
      <c r="AD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194">
        <f t="shared" si="238"/>
        <v>0</v>
      </c>
      <c r="AH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194">
        <f t="shared" si="239"/>
        <v>0</v>
      </c>
      <c r="AL459" s="194">
        <f t="shared" si="240"/>
        <v>0</v>
      </c>
    </row>
    <row r="460" spans="2:38" x14ac:dyDescent="0.25">
      <c r="B460" s="192" t="s">
        <v>1294</v>
      </c>
      <c r="C460" s="193" t="s">
        <v>1295</v>
      </c>
      <c r="D46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194">
        <f t="shared" si="242"/>
        <v>0</v>
      </c>
      <c r="G460" s="194"/>
      <c r="H460" s="194">
        <f t="shared" si="234"/>
        <v>0</v>
      </c>
      <c r="I460" s="194"/>
      <c r="J460" s="194">
        <f t="shared" si="235"/>
        <v>0</v>
      </c>
      <c r="K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194">
        <f t="shared" si="236"/>
        <v>0</v>
      </c>
      <c r="Z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194">
        <f t="shared" si="237"/>
        <v>0</v>
      </c>
      <c r="AD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194">
        <f t="shared" si="238"/>
        <v>0</v>
      </c>
      <c r="AH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194">
        <f t="shared" si="239"/>
        <v>0</v>
      </c>
      <c r="AL460" s="194">
        <f t="shared" si="240"/>
        <v>0</v>
      </c>
    </row>
    <row r="461" spans="2:38" x14ac:dyDescent="0.25">
      <c r="B461" s="192" t="s">
        <v>1296</v>
      </c>
      <c r="C461" s="193" t="s">
        <v>1297</v>
      </c>
      <c r="D4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194">
        <f t="shared" si="242"/>
        <v>0</v>
      </c>
      <c r="G461" s="194"/>
      <c r="H461" s="194">
        <f t="shared" si="234"/>
        <v>0</v>
      </c>
      <c r="I461" s="194"/>
      <c r="J461" s="194">
        <f t="shared" si="235"/>
        <v>0</v>
      </c>
      <c r="K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194">
        <f t="shared" si="236"/>
        <v>0</v>
      </c>
      <c r="Z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194">
        <f t="shared" si="237"/>
        <v>0</v>
      </c>
      <c r="AD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194">
        <f t="shared" si="238"/>
        <v>0</v>
      </c>
      <c r="AH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194">
        <f t="shared" si="239"/>
        <v>0</v>
      </c>
      <c r="AL461" s="194">
        <f t="shared" si="240"/>
        <v>0</v>
      </c>
    </row>
    <row r="462" spans="2:38" x14ac:dyDescent="0.25">
      <c r="B462" s="192" t="s">
        <v>1298</v>
      </c>
      <c r="C462" s="193" t="s">
        <v>1299</v>
      </c>
      <c r="D4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194">
        <f t="shared" si="242"/>
        <v>0</v>
      </c>
      <c r="G462" s="194"/>
      <c r="H462" s="194">
        <f t="shared" si="234"/>
        <v>0</v>
      </c>
      <c r="I462" s="194"/>
      <c r="J462" s="194">
        <f t="shared" si="235"/>
        <v>0</v>
      </c>
      <c r="K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194">
        <f t="shared" si="236"/>
        <v>0</v>
      </c>
      <c r="Z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194">
        <f t="shared" si="237"/>
        <v>0</v>
      </c>
      <c r="AD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194">
        <f t="shared" si="238"/>
        <v>0</v>
      </c>
      <c r="AH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194">
        <f t="shared" si="239"/>
        <v>0</v>
      </c>
      <c r="AL462" s="194">
        <f t="shared" si="240"/>
        <v>0</v>
      </c>
    </row>
    <row r="463" spans="2:38" x14ac:dyDescent="0.25">
      <c r="B463" s="192" t="s">
        <v>1300</v>
      </c>
      <c r="C463" s="193" t="s">
        <v>1301</v>
      </c>
      <c r="D4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194">
        <f t="shared" si="242"/>
        <v>0</v>
      </c>
      <c r="G463" s="194"/>
      <c r="H463" s="194">
        <f t="shared" si="234"/>
        <v>0</v>
      </c>
      <c r="I463" s="194"/>
      <c r="J463" s="194">
        <f t="shared" si="235"/>
        <v>0</v>
      </c>
      <c r="K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194">
        <f t="shared" si="236"/>
        <v>0</v>
      </c>
      <c r="Z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194">
        <f t="shared" si="237"/>
        <v>0</v>
      </c>
      <c r="AD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194">
        <f t="shared" si="238"/>
        <v>0</v>
      </c>
      <c r="AH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194">
        <f t="shared" si="239"/>
        <v>0</v>
      </c>
      <c r="AL463" s="194">
        <f t="shared" si="240"/>
        <v>0</v>
      </c>
    </row>
    <row r="464" spans="2:38" x14ac:dyDescent="0.25">
      <c r="B464" s="192" t="s">
        <v>1302</v>
      </c>
      <c r="C464" s="193" t="s">
        <v>1303</v>
      </c>
      <c r="D4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194">
        <f t="shared" si="242"/>
        <v>0</v>
      </c>
      <c r="G464" s="194"/>
      <c r="H464" s="194">
        <f t="shared" si="234"/>
        <v>0</v>
      </c>
      <c r="I464" s="194"/>
      <c r="J464" s="194">
        <f t="shared" si="235"/>
        <v>0</v>
      </c>
      <c r="K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194">
        <f t="shared" si="236"/>
        <v>0</v>
      </c>
      <c r="Z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194">
        <f t="shared" si="237"/>
        <v>0</v>
      </c>
      <c r="AD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194">
        <f t="shared" si="238"/>
        <v>0</v>
      </c>
      <c r="AH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194">
        <f t="shared" si="239"/>
        <v>0</v>
      </c>
      <c r="AL464" s="194">
        <f t="shared" si="240"/>
        <v>0</v>
      </c>
    </row>
    <row r="465" spans="2:38" x14ac:dyDescent="0.25">
      <c r="B465" s="192" t="s">
        <v>1304</v>
      </c>
      <c r="C465" s="193" t="s">
        <v>1305</v>
      </c>
      <c r="D46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194">
        <f t="shared" ref="F465:F473" si="245">D465+E465</f>
        <v>0</v>
      </c>
      <c r="G465" s="194"/>
      <c r="H465" s="194">
        <f t="shared" ref="H465:H473" si="246">F465-G465</f>
        <v>0</v>
      </c>
      <c r="I465" s="194"/>
      <c r="J465" s="194">
        <f t="shared" ref="J465:J473" si="247">F465-I465</f>
        <v>0</v>
      </c>
      <c r="K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194">
        <f t="shared" ref="Y465:Y473" si="248">V465+W465+X465</f>
        <v>0</v>
      </c>
      <c r="Z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194">
        <f t="shared" ref="AC465:AC473" si="249">Z465+AA465+AB465</f>
        <v>0</v>
      </c>
      <c r="AD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194">
        <f t="shared" ref="AG465:AG473" si="250">AD465+AE465+AF465</f>
        <v>0</v>
      </c>
      <c r="AH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194">
        <f t="shared" ref="AK465:AK473" si="251">AH465+AI465+AJ465</f>
        <v>0</v>
      </c>
      <c r="AL465" s="194">
        <f t="shared" ref="AL465:AL473" si="252">Y465+AC465+AG465+AK465</f>
        <v>0</v>
      </c>
    </row>
    <row r="466" spans="2:38" x14ac:dyDescent="0.25">
      <c r="B466" s="192" t="s">
        <v>1306</v>
      </c>
      <c r="C466" s="193" t="s">
        <v>1307</v>
      </c>
      <c r="D46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194">
        <f t="shared" si="245"/>
        <v>0</v>
      </c>
      <c r="G466" s="194"/>
      <c r="H466" s="194">
        <f t="shared" si="246"/>
        <v>0</v>
      </c>
      <c r="I466" s="194"/>
      <c r="J466" s="194">
        <f t="shared" si="247"/>
        <v>0</v>
      </c>
      <c r="K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194">
        <f t="shared" si="248"/>
        <v>0</v>
      </c>
      <c r="Z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194">
        <f t="shared" si="249"/>
        <v>0</v>
      </c>
      <c r="AD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194">
        <f t="shared" si="250"/>
        <v>0</v>
      </c>
      <c r="AH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194">
        <f t="shared" si="251"/>
        <v>0</v>
      </c>
      <c r="AL466" s="194">
        <f t="shared" si="252"/>
        <v>0</v>
      </c>
    </row>
    <row r="467" spans="2:38" x14ac:dyDescent="0.25">
      <c r="B467" s="192" t="s">
        <v>1308</v>
      </c>
      <c r="C467" s="193" t="s">
        <v>1309</v>
      </c>
      <c r="D46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194">
        <f t="shared" si="245"/>
        <v>0</v>
      </c>
      <c r="G467" s="194"/>
      <c r="H467" s="194">
        <f t="shared" si="246"/>
        <v>0</v>
      </c>
      <c r="I467" s="194"/>
      <c r="J467" s="194">
        <f t="shared" si="247"/>
        <v>0</v>
      </c>
      <c r="K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194">
        <f t="shared" si="248"/>
        <v>0</v>
      </c>
      <c r="Z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194">
        <f t="shared" si="249"/>
        <v>0</v>
      </c>
      <c r="AD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194">
        <f t="shared" si="250"/>
        <v>0</v>
      </c>
      <c r="AH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194">
        <f t="shared" si="251"/>
        <v>0</v>
      </c>
      <c r="AL467" s="194">
        <f t="shared" si="252"/>
        <v>0</v>
      </c>
    </row>
    <row r="468" spans="2:38" x14ac:dyDescent="0.25">
      <c r="B468" s="192" t="s">
        <v>1310</v>
      </c>
      <c r="C468" s="193" t="s">
        <v>1311</v>
      </c>
      <c r="D4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194">
        <f t="shared" si="245"/>
        <v>0</v>
      </c>
      <c r="G468" s="194"/>
      <c r="H468" s="194">
        <f t="shared" si="246"/>
        <v>0</v>
      </c>
      <c r="I468" s="194"/>
      <c r="J468" s="194">
        <f t="shared" si="247"/>
        <v>0</v>
      </c>
      <c r="K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194">
        <f t="shared" si="248"/>
        <v>0</v>
      </c>
      <c r="Z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194">
        <f t="shared" si="249"/>
        <v>0</v>
      </c>
      <c r="AD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194">
        <f t="shared" si="250"/>
        <v>0</v>
      </c>
      <c r="AH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194">
        <f t="shared" si="251"/>
        <v>0</v>
      </c>
      <c r="AL468" s="194">
        <f t="shared" si="252"/>
        <v>0</v>
      </c>
    </row>
    <row r="469" spans="2:38" x14ac:dyDescent="0.25">
      <c r="B469" s="192" t="s">
        <v>1312</v>
      </c>
      <c r="C469" s="193" t="s">
        <v>1313</v>
      </c>
      <c r="D4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194">
        <f t="shared" si="245"/>
        <v>0</v>
      </c>
      <c r="G469" s="194"/>
      <c r="H469" s="194">
        <f t="shared" si="246"/>
        <v>0</v>
      </c>
      <c r="I469" s="194"/>
      <c r="J469" s="194">
        <f t="shared" si="247"/>
        <v>0</v>
      </c>
      <c r="K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194">
        <f t="shared" si="248"/>
        <v>0</v>
      </c>
      <c r="Z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194">
        <f t="shared" si="249"/>
        <v>0</v>
      </c>
      <c r="AD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194">
        <f t="shared" si="250"/>
        <v>0</v>
      </c>
      <c r="AH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194">
        <f t="shared" si="251"/>
        <v>0</v>
      </c>
      <c r="AL469" s="194">
        <f t="shared" si="252"/>
        <v>0</v>
      </c>
    </row>
    <row r="470" spans="2:38" x14ac:dyDescent="0.25">
      <c r="B470" s="192" t="s">
        <v>1314</v>
      </c>
      <c r="C470" s="193" t="s">
        <v>1315</v>
      </c>
      <c r="D4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194">
        <f t="shared" si="245"/>
        <v>0</v>
      </c>
      <c r="G470" s="194"/>
      <c r="H470" s="194">
        <f t="shared" si="246"/>
        <v>0</v>
      </c>
      <c r="I470" s="194"/>
      <c r="J470" s="194">
        <f t="shared" si="247"/>
        <v>0</v>
      </c>
      <c r="K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194">
        <f t="shared" si="248"/>
        <v>0</v>
      </c>
      <c r="Z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194">
        <f t="shared" si="249"/>
        <v>0</v>
      </c>
      <c r="AD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194">
        <f t="shared" si="250"/>
        <v>0</v>
      </c>
      <c r="AH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194">
        <f t="shared" si="251"/>
        <v>0</v>
      </c>
      <c r="AL470" s="194">
        <f t="shared" si="252"/>
        <v>0</v>
      </c>
    </row>
    <row r="471" spans="2:38" x14ac:dyDescent="0.25">
      <c r="B471" s="192" t="s">
        <v>444</v>
      </c>
      <c r="C471" s="193" t="s">
        <v>1316</v>
      </c>
      <c r="D4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194">
        <f t="shared" si="245"/>
        <v>0</v>
      </c>
      <c r="G471" s="194"/>
      <c r="H471" s="194">
        <f t="shared" si="246"/>
        <v>0</v>
      </c>
      <c r="I471" s="194"/>
      <c r="J471" s="194">
        <f t="shared" si="247"/>
        <v>0</v>
      </c>
      <c r="K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194">
        <f t="shared" si="248"/>
        <v>0</v>
      </c>
      <c r="Z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194">
        <f t="shared" si="249"/>
        <v>0</v>
      </c>
      <c r="AD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194">
        <f t="shared" si="250"/>
        <v>0</v>
      </c>
      <c r="AH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194">
        <f t="shared" si="251"/>
        <v>0</v>
      </c>
      <c r="AL471" s="194">
        <f t="shared" si="252"/>
        <v>0</v>
      </c>
    </row>
    <row r="472" spans="2:38" x14ac:dyDescent="0.25">
      <c r="B472" s="192" t="s">
        <v>1317</v>
      </c>
      <c r="C472" s="193" t="s">
        <v>1318</v>
      </c>
      <c r="D4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194">
        <f t="shared" si="245"/>
        <v>0</v>
      </c>
      <c r="G472" s="194"/>
      <c r="H472" s="194">
        <f t="shared" si="246"/>
        <v>0</v>
      </c>
      <c r="I472" s="194"/>
      <c r="J472" s="194">
        <f t="shared" si="247"/>
        <v>0</v>
      </c>
      <c r="K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194">
        <f t="shared" si="248"/>
        <v>0</v>
      </c>
      <c r="Z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194">
        <f t="shared" si="249"/>
        <v>0</v>
      </c>
      <c r="AD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194">
        <f t="shared" si="250"/>
        <v>0</v>
      </c>
      <c r="AH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194">
        <f t="shared" si="251"/>
        <v>0</v>
      </c>
      <c r="AL472" s="194">
        <f t="shared" si="252"/>
        <v>0</v>
      </c>
    </row>
    <row r="473" spans="2:38" x14ac:dyDescent="0.25">
      <c r="B473" s="192" t="s">
        <v>1319</v>
      </c>
      <c r="C473" s="193" t="s">
        <v>1309</v>
      </c>
      <c r="D47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194">
        <f t="shared" si="245"/>
        <v>0</v>
      </c>
      <c r="G473" s="194"/>
      <c r="H473" s="194">
        <f t="shared" si="246"/>
        <v>0</v>
      </c>
      <c r="I473" s="194"/>
      <c r="J473" s="194">
        <f t="shared" si="247"/>
        <v>0</v>
      </c>
      <c r="K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194">
        <f t="shared" si="248"/>
        <v>0</v>
      </c>
      <c r="Z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194">
        <f t="shared" si="249"/>
        <v>0</v>
      </c>
      <c r="AD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194">
        <f t="shared" si="250"/>
        <v>0</v>
      </c>
      <c r="AH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194">
        <f t="shared" si="251"/>
        <v>0</v>
      </c>
      <c r="AL473" s="194">
        <f t="shared" si="252"/>
        <v>0</v>
      </c>
    </row>
    <row r="474" spans="2:38" x14ac:dyDescent="0.25">
      <c r="B474" s="192" t="s">
        <v>1320</v>
      </c>
      <c r="C474" s="193" t="s">
        <v>1321</v>
      </c>
      <c r="D4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194">
        <f t="shared" ref="F474:F489" si="253">D474+E474</f>
        <v>0</v>
      </c>
      <c r="G474" s="194"/>
      <c r="H474" s="194">
        <f t="shared" ref="H474:H489" si="254">F474-G474</f>
        <v>0</v>
      </c>
      <c r="I474" s="194"/>
      <c r="J474" s="194">
        <f t="shared" ref="J474:J489" si="255">F474-I474</f>
        <v>0</v>
      </c>
      <c r="K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194">
        <f t="shared" ref="Y474:Y489" si="256">V474+W474+X474</f>
        <v>0</v>
      </c>
      <c r="Z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194">
        <f t="shared" ref="AC474:AC489" si="257">Z474+AA474+AB474</f>
        <v>0</v>
      </c>
      <c r="AD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194">
        <f t="shared" ref="AG474:AG489" si="258">AD474+AE474+AF474</f>
        <v>0</v>
      </c>
      <c r="AH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194">
        <f t="shared" ref="AK474:AK489" si="259">AH474+AI474+AJ474</f>
        <v>0</v>
      </c>
      <c r="AL474" s="194">
        <f t="shared" ref="AL474:AL489" si="260">Y474+AC474+AG474+AK474</f>
        <v>0</v>
      </c>
    </row>
    <row r="475" spans="2:38" x14ac:dyDescent="0.25">
      <c r="B475" s="192" t="s">
        <v>1322</v>
      </c>
      <c r="C475" s="193" t="s">
        <v>1323</v>
      </c>
      <c r="D47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194">
        <f t="shared" si="253"/>
        <v>0</v>
      </c>
      <c r="G475" s="194"/>
      <c r="H475" s="194">
        <f t="shared" si="254"/>
        <v>0</v>
      </c>
      <c r="I475" s="194"/>
      <c r="J475" s="194">
        <f t="shared" si="255"/>
        <v>0</v>
      </c>
      <c r="K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194">
        <f t="shared" si="256"/>
        <v>0</v>
      </c>
      <c r="Z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194">
        <f t="shared" si="257"/>
        <v>0</v>
      </c>
      <c r="AD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194">
        <f t="shared" si="258"/>
        <v>0</v>
      </c>
      <c r="AH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194">
        <f t="shared" si="259"/>
        <v>0</v>
      </c>
      <c r="AL475" s="194">
        <f t="shared" si="260"/>
        <v>0</v>
      </c>
    </row>
    <row r="476" spans="2:38" x14ac:dyDescent="0.25">
      <c r="B476" s="192" t="s">
        <v>1324</v>
      </c>
      <c r="C476" s="193" t="s">
        <v>1325</v>
      </c>
      <c r="D4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194">
        <f t="shared" si="253"/>
        <v>0</v>
      </c>
      <c r="G476" s="194"/>
      <c r="H476" s="194">
        <f t="shared" si="254"/>
        <v>0</v>
      </c>
      <c r="I476" s="194"/>
      <c r="J476" s="194">
        <f t="shared" si="255"/>
        <v>0</v>
      </c>
      <c r="K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194">
        <f t="shared" si="256"/>
        <v>0</v>
      </c>
      <c r="Z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194">
        <f t="shared" si="257"/>
        <v>0</v>
      </c>
      <c r="AD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194">
        <f t="shared" si="258"/>
        <v>0</v>
      </c>
      <c r="AH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194">
        <f t="shared" si="259"/>
        <v>0</v>
      </c>
      <c r="AL476" s="194">
        <f t="shared" si="260"/>
        <v>0</v>
      </c>
    </row>
    <row r="477" spans="2:38" x14ac:dyDescent="0.25">
      <c r="B477" s="192" t="s">
        <v>1326</v>
      </c>
      <c r="C477" s="193" t="s">
        <v>1327</v>
      </c>
      <c r="D4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194">
        <f t="shared" si="253"/>
        <v>0</v>
      </c>
      <c r="G477" s="194"/>
      <c r="H477" s="194">
        <f t="shared" si="254"/>
        <v>0</v>
      </c>
      <c r="I477" s="194"/>
      <c r="J477" s="194">
        <f t="shared" si="255"/>
        <v>0</v>
      </c>
      <c r="K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194">
        <f t="shared" si="256"/>
        <v>0</v>
      </c>
      <c r="Z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194">
        <f t="shared" si="257"/>
        <v>0</v>
      </c>
      <c r="AD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194">
        <f t="shared" si="258"/>
        <v>0</v>
      </c>
      <c r="AH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194">
        <f t="shared" si="259"/>
        <v>0</v>
      </c>
      <c r="AL477" s="194">
        <f t="shared" si="260"/>
        <v>0</v>
      </c>
    </row>
    <row r="478" spans="2:38" x14ac:dyDescent="0.25">
      <c r="B478" s="192" t="s">
        <v>1328</v>
      </c>
      <c r="C478" s="193" t="s">
        <v>1329</v>
      </c>
      <c r="D47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194">
        <f t="shared" si="253"/>
        <v>0</v>
      </c>
      <c r="G478" s="194"/>
      <c r="H478" s="194">
        <f t="shared" si="254"/>
        <v>0</v>
      </c>
      <c r="I478" s="194"/>
      <c r="J478" s="194">
        <f t="shared" si="255"/>
        <v>0</v>
      </c>
      <c r="K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194">
        <f t="shared" si="256"/>
        <v>0</v>
      </c>
      <c r="Z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194">
        <f t="shared" si="257"/>
        <v>0</v>
      </c>
      <c r="AD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194">
        <f t="shared" si="258"/>
        <v>0</v>
      </c>
      <c r="AH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194">
        <f t="shared" si="259"/>
        <v>0</v>
      </c>
      <c r="AL478" s="194">
        <f t="shared" si="260"/>
        <v>0</v>
      </c>
    </row>
    <row r="479" spans="2:38" x14ac:dyDescent="0.25">
      <c r="B479" s="192" t="s">
        <v>1330</v>
      </c>
      <c r="C479" s="193" t="s">
        <v>1331</v>
      </c>
      <c r="D4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194">
        <f t="shared" si="253"/>
        <v>0</v>
      </c>
      <c r="G479" s="194"/>
      <c r="H479" s="194">
        <f t="shared" si="254"/>
        <v>0</v>
      </c>
      <c r="I479" s="194"/>
      <c r="J479" s="194">
        <f t="shared" si="255"/>
        <v>0</v>
      </c>
      <c r="K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194">
        <f t="shared" si="256"/>
        <v>0</v>
      </c>
      <c r="Z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194">
        <f t="shared" si="257"/>
        <v>0</v>
      </c>
      <c r="AD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194">
        <f t="shared" si="258"/>
        <v>0</v>
      </c>
      <c r="AH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194">
        <f t="shared" si="259"/>
        <v>0</v>
      </c>
      <c r="AL479" s="194">
        <f t="shared" si="260"/>
        <v>0</v>
      </c>
    </row>
    <row r="480" spans="2:38" x14ac:dyDescent="0.25">
      <c r="B480" s="192" t="s">
        <v>1332</v>
      </c>
      <c r="C480" s="193" t="s">
        <v>1333</v>
      </c>
      <c r="D4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194">
        <f t="shared" si="253"/>
        <v>0</v>
      </c>
      <c r="G480" s="194"/>
      <c r="H480" s="194">
        <f t="shared" si="254"/>
        <v>0</v>
      </c>
      <c r="I480" s="194"/>
      <c r="J480" s="194">
        <f t="shared" si="255"/>
        <v>0</v>
      </c>
      <c r="K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194">
        <f t="shared" si="256"/>
        <v>0</v>
      </c>
      <c r="Z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194">
        <f t="shared" si="257"/>
        <v>0</v>
      </c>
      <c r="AD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194">
        <f t="shared" si="258"/>
        <v>0</v>
      </c>
      <c r="AH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194">
        <f t="shared" si="259"/>
        <v>0</v>
      </c>
      <c r="AL480" s="194">
        <f t="shared" si="260"/>
        <v>0</v>
      </c>
    </row>
    <row r="481" spans="2:38" x14ac:dyDescent="0.25">
      <c r="B481" s="192" t="s">
        <v>1334</v>
      </c>
      <c r="C481" s="193" t="s">
        <v>1335</v>
      </c>
      <c r="D48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194">
        <f t="shared" si="253"/>
        <v>0</v>
      </c>
      <c r="G481" s="194"/>
      <c r="H481" s="194">
        <f t="shared" si="254"/>
        <v>0</v>
      </c>
      <c r="I481" s="194"/>
      <c r="J481" s="194">
        <f t="shared" si="255"/>
        <v>0</v>
      </c>
      <c r="K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194">
        <f t="shared" si="256"/>
        <v>0</v>
      </c>
      <c r="Z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194">
        <f t="shared" si="257"/>
        <v>0</v>
      </c>
      <c r="AD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194">
        <f t="shared" si="258"/>
        <v>0</v>
      </c>
      <c r="AH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194">
        <f t="shared" si="259"/>
        <v>0</v>
      </c>
      <c r="AL481" s="194">
        <f t="shared" si="260"/>
        <v>0</v>
      </c>
    </row>
    <row r="482" spans="2:38" x14ac:dyDescent="0.25">
      <c r="B482" s="192" t="s">
        <v>1336</v>
      </c>
      <c r="C482" s="193" t="s">
        <v>1337</v>
      </c>
      <c r="D4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194">
        <f t="shared" si="253"/>
        <v>0</v>
      </c>
      <c r="G482" s="194"/>
      <c r="H482" s="194">
        <f t="shared" si="254"/>
        <v>0</v>
      </c>
      <c r="I482" s="194"/>
      <c r="J482" s="194">
        <f t="shared" si="255"/>
        <v>0</v>
      </c>
      <c r="K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194">
        <f t="shared" si="256"/>
        <v>0</v>
      </c>
      <c r="Z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194">
        <f t="shared" si="257"/>
        <v>0</v>
      </c>
      <c r="AD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194">
        <f t="shared" si="258"/>
        <v>0</v>
      </c>
      <c r="AH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194">
        <f t="shared" si="259"/>
        <v>0</v>
      </c>
      <c r="AL482" s="194">
        <f t="shared" si="260"/>
        <v>0</v>
      </c>
    </row>
    <row r="483" spans="2:38" x14ac:dyDescent="0.25">
      <c r="B483" s="192" t="s">
        <v>1338</v>
      </c>
      <c r="C483" s="193" t="s">
        <v>1339</v>
      </c>
      <c r="D48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194">
        <f t="shared" si="253"/>
        <v>0</v>
      </c>
      <c r="G483" s="194"/>
      <c r="H483" s="194">
        <f t="shared" si="254"/>
        <v>0</v>
      </c>
      <c r="I483" s="194"/>
      <c r="J483" s="194">
        <f t="shared" si="255"/>
        <v>0</v>
      </c>
      <c r="K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194">
        <f t="shared" si="256"/>
        <v>0</v>
      </c>
      <c r="Z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194">
        <f t="shared" si="257"/>
        <v>0</v>
      </c>
      <c r="AD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194">
        <f t="shared" si="258"/>
        <v>0</v>
      </c>
      <c r="AH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194">
        <f t="shared" si="259"/>
        <v>0</v>
      </c>
      <c r="AL483" s="194">
        <f t="shared" si="260"/>
        <v>0</v>
      </c>
    </row>
    <row r="484" spans="2:38" x14ac:dyDescent="0.25">
      <c r="B484" s="192" t="s">
        <v>1340</v>
      </c>
      <c r="C484" s="193" t="s">
        <v>1341</v>
      </c>
      <c r="D48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194">
        <f t="shared" si="253"/>
        <v>0</v>
      </c>
      <c r="G484" s="194"/>
      <c r="H484" s="194">
        <f t="shared" si="254"/>
        <v>0</v>
      </c>
      <c r="I484" s="194"/>
      <c r="J484" s="194">
        <f t="shared" si="255"/>
        <v>0</v>
      </c>
      <c r="K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194">
        <f t="shared" si="256"/>
        <v>0</v>
      </c>
      <c r="Z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194">
        <f t="shared" si="257"/>
        <v>0</v>
      </c>
      <c r="AD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194">
        <f t="shared" si="258"/>
        <v>0</v>
      </c>
      <c r="AH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194">
        <f t="shared" si="259"/>
        <v>0</v>
      </c>
      <c r="AL484" s="194">
        <f t="shared" si="260"/>
        <v>0</v>
      </c>
    </row>
    <row r="485" spans="2:38" x14ac:dyDescent="0.25">
      <c r="B485" s="192" t="s">
        <v>1342</v>
      </c>
      <c r="C485" s="193" t="s">
        <v>1343</v>
      </c>
      <c r="D48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194">
        <f t="shared" si="253"/>
        <v>0</v>
      </c>
      <c r="G485" s="194"/>
      <c r="H485" s="194">
        <f t="shared" si="254"/>
        <v>0</v>
      </c>
      <c r="I485" s="194"/>
      <c r="J485" s="194">
        <f t="shared" si="255"/>
        <v>0</v>
      </c>
      <c r="K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194">
        <f t="shared" si="256"/>
        <v>0</v>
      </c>
      <c r="Z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194">
        <f t="shared" si="257"/>
        <v>0</v>
      </c>
      <c r="AD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194">
        <f t="shared" si="258"/>
        <v>0</v>
      </c>
      <c r="AH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194">
        <f t="shared" si="259"/>
        <v>0</v>
      </c>
      <c r="AL485" s="194">
        <f t="shared" si="260"/>
        <v>0</v>
      </c>
    </row>
    <row r="486" spans="2:38" x14ac:dyDescent="0.25">
      <c r="B486" s="192" t="s">
        <v>1344</v>
      </c>
      <c r="C486" s="193" t="s">
        <v>1345</v>
      </c>
      <c r="D48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194">
        <f t="shared" si="253"/>
        <v>0</v>
      </c>
      <c r="G486" s="194"/>
      <c r="H486" s="194">
        <f t="shared" si="254"/>
        <v>0</v>
      </c>
      <c r="I486" s="194"/>
      <c r="J486" s="194">
        <f t="shared" si="255"/>
        <v>0</v>
      </c>
      <c r="K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194">
        <f t="shared" si="256"/>
        <v>0</v>
      </c>
      <c r="Z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194">
        <f t="shared" si="257"/>
        <v>0</v>
      </c>
      <c r="AD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194">
        <f t="shared" si="258"/>
        <v>0</v>
      </c>
      <c r="AH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194">
        <f t="shared" si="259"/>
        <v>0</v>
      </c>
      <c r="AL486" s="194">
        <f t="shared" si="260"/>
        <v>0</v>
      </c>
    </row>
    <row r="487" spans="2:38" x14ac:dyDescent="0.25">
      <c r="B487" s="192" t="s">
        <v>1346</v>
      </c>
      <c r="C487" s="193" t="s">
        <v>1347</v>
      </c>
      <c r="D48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194">
        <f t="shared" si="253"/>
        <v>0</v>
      </c>
      <c r="G487" s="194"/>
      <c r="H487" s="194">
        <f t="shared" si="254"/>
        <v>0</v>
      </c>
      <c r="I487" s="194"/>
      <c r="J487" s="194">
        <f t="shared" si="255"/>
        <v>0</v>
      </c>
      <c r="K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194">
        <f t="shared" si="256"/>
        <v>0</v>
      </c>
      <c r="Z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194">
        <f t="shared" si="257"/>
        <v>0</v>
      </c>
      <c r="AD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194">
        <f t="shared" si="258"/>
        <v>0</v>
      </c>
      <c r="AH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194">
        <f t="shared" si="259"/>
        <v>0</v>
      </c>
      <c r="AL487" s="194">
        <f t="shared" si="260"/>
        <v>0</v>
      </c>
    </row>
    <row r="488" spans="2:38" x14ac:dyDescent="0.25">
      <c r="B488" s="192" t="s">
        <v>1348</v>
      </c>
      <c r="C488" s="193" t="s">
        <v>1349</v>
      </c>
      <c r="D48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194">
        <f t="shared" si="253"/>
        <v>0</v>
      </c>
      <c r="G488" s="194"/>
      <c r="H488" s="194">
        <f t="shared" si="254"/>
        <v>0</v>
      </c>
      <c r="I488" s="194"/>
      <c r="J488" s="194">
        <f t="shared" si="255"/>
        <v>0</v>
      </c>
      <c r="K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194">
        <f t="shared" si="256"/>
        <v>0</v>
      </c>
      <c r="Z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194">
        <f t="shared" si="257"/>
        <v>0</v>
      </c>
      <c r="AD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194">
        <f t="shared" si="258"/>
        <v>0</v>
      </c>
      <c r="AH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194">
        <f t="shared" si="259"/>
        <v>0</v>
      </c>
      <c r="AL488" s="194">
        <f t="shared" si="260"/>
        <v>0</v>
      </c>
    </row>
    <row r="489" spans="2:38" x14ac:dyDescent="0.25">
      <c r="B489" s="192" t="s">
        <v>1350</v>
      </c>
      <c r="C489" s="193" t="s">
        <v>1351</v>
      </c>
      <c r="D48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194">
        <f t="shared" si="253"/>
        <v>0</v>
      </c>
      <c r="G489" s="194"/>
      <c r="H489" s="194">
        <f t="shared" si="254"/>
        <v>0</v>
      </c>
      <c r="I489" s="194"/>
      <c r="J489" s="194">
        <f t="shared" si="255"/>
        <v>0</v>
      </c>
      <c r="K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194">
        <f t="shared" si="256"/>
        <v>0</v>
      </c>
      <c r="Z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194">
        <f t="shared" si="257"/>
        <v>0</v>
      </c>
      <c r="AD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194">
        <f t="shared" si="258"/>
        <v>0</v>
      </c>
      <c r="AH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194">
        <f t="shared" si="259"/>
        <v>0</v>
      </c>
      <c r="AL489" s="194">
        <f t="shared" si="260"/>
        <v>0</v>
      </c>
    </row>
    <row r="490" spans="2:38" x14ac:dyDescent="0.25">
      <c r="B490" s="192" t="s">
        <v>1352</v>
      </c>
      <c r="C490" s="193" t="s">
        <v>1353</v>
      </c>
      <c r="D49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194">
        <f t="shared" ref="F490:F526" si="261">D490+E490</f>
        <v>0</v>
      </c>
      <c r="G490" s="194"/>
      <c r="H490" s="194">
        <f t="shared" ref="H490:H526" si="262">F490-G490</f>
        <v>0</v>
      </c>
      <c r="I490" s="194"/>
      <c r="J490" s="194">
        <f t="shared" ref="J490:J526" si="263">F490-I490</f>
        <v>0</v>
      </c>
      <c r="K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194">
        <f t="shared" ref="Y490:Y526" si="264">V490+W490+X490</f>
        <v>0</v>
      </c>
      <c r="Z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194">
        <f t="shared" ref="AC490:AC526" si="265">Z490+AA490+AB490</f>
        <v>0</v>
      </c>
      <c r="AD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194">
        <f t="shared" ref="AG490:AG526" si="266">AD490+AE490+AF490</f>
        <v>0</v>
      </c>
      <c r="AH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194">
        <f t="shared" ref="AK490:AK526" si="267">AH490+AI490+AJ490</f>
        <v>0</v>
      </c>
      <c r="AL490" s="194">
        <f t="shared" ref="AL490:AL526" si="268">Y490+AC490+AG490+AK490</f>
        <v>0</v>
      </c>
    </row>
    <row r="491" spans="2:38" x14ac:dyDescent="0.25">
      <c r="B491" s="192" t="s">
        <v>1354</v>
      </c>
      <c r="C491" s="193" t="s">
        <v>1355</v>
      </c>
      <c r="D49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194">
        <f t="shared" si="261"/>
        <v>0</v>
      </c>
      <c r="G491" s="194"/>
      <c r="H491" s="194">
        <f t="shared" si="262"/>
        <v>0</v>
      </c>
      <c r="I491" s="194"/>
      <c r="J491" s="194">
        <f t="shared" si="263"/>
        <v>0</v>
      </c>
      <c r="K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194">
        <f t="shared" si="264"/>
        <v>0</v>
      </c>
      <c r="Z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194">
        <f t="shared" si="265"/>
        <v>0</v>
      </c>
      <c r="AD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194">
        <f t="shared" si="266"/>
        <v>0</v>
      </c>
      <c r="AH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194">
        <f t="shared" si="267"/>
        <v>0</v>
      </c>
      <c r="AL491" s="194">
        <f t="shared" si="268"/>
        <v>0</v>
      </c>
    </row>
    <row r="492" spans="2:38" x14ac:dyDescent="0.25">
      <c r="B492" s="192" t="s">
        <v>1356</v>
      </c>
      <c r="C492" s="193" t="s">
        <v>1357</v>
      </c>
      <c r="D49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194">
        <f t="shared" si="261"/>
        <v>0</v>
      </c>
      <c r="G492" s="194"/>
      <c r="H492" s="194">
        <f t="shared" si="262"/>
        <v>0</v>
      </c>
      <c r="I492" s="194"/>
      <c r="J492" s="194">
        <f t="shared" si="263"/>
        <v>0</v>
      </c>
      <c r="K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194">
        <f t="shared" si="264"/>
        <v>0</v>
      </c>
      <c r="Z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194">
        <f t="shared" si="265"/>
        <v>0</v>
      </c>
      <c r="AD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194">
        <f t="shared" si="266"/>
        <v>0</v>
      </c>
      <c r="AH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194">
        <f t="shared" si="267"/>
        <v>0</v>
      </c>
      <c r="AL492" s="194">
        <f t="shared" si="268"/>
        <v>0</v>
      </c>
    </row>
    <row r="493" spans="2:38" x14ac:dyDescent="0.25">
      <c r="B493" s="192" t="s">
        <v>1358</v>
      </c>
      <c r="C493" s="193" t="s">
        <v>1359</v>
      </c>
      <c r="D49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194">
        <f t="shared" si="261"/>
        <v>0</v>
      </c>
      <c r="G493" s="194"/>
      <c r="H493" s="194">
        <f t="shared" si="262"/>
        <v>0</v>
      </c>
      <c r="I493" s="194"/>
      <c r="J493" s="194">
        <f t="shared" si="263"/>
        <v>0</v>
      </c>
      <c r="K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194">
        <f t="shared" si="264"/>
        <v>0</v>
      </c>
      <c r="Z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194">
        <f t="shared" si="265"/>
        <v>0</v>
      </c>
      <c r="AD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194">
        <f t="shared" si="266"/>
        <v>0</v>
      </c>
      <c r="AH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194">
        <f t="shared" si="267"/>
        <v>0</v>
      </c>
      <c r="AL493" s="194">
        <f t="shared" si="268"/>
        <v>0</v>
      </c>
    </row>
    <row r="494" spans="2:38" x14ac:dyDescent="0.25">
      <c r="B494" s="192" t="s">
        <v>1360</v>
      </c>
      <c r="C494" s="193" t="s">
        <v>1361</v>
      </c>
      <c r="D49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194">
        <f t="shared" si="261"/>
        <v>0</v>
      </c>
      <c r="G494" s="194"/>
      <c r="H494" s="194">
        <f t="shared" si="262"/>
        <v>0</v>
      </c>
      <c r="I494" s="194"/>
      <c r="J494" s="194">
        <f t="shared" si="263"/>
        <v>0</v>
      </c>
      <c r="K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194">
        <f t="shared" si="264"/>
        <v>0</v>
      </c>
      <c r="Z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194">
        <f t="shared" si="265"/>
        <v>0</v>
      </c>
      <c r="AD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194">
        <f t="shared" si="266"/>
        <v>0</v>
      </c>
      <c r="AH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194">
        <f t="shared" si="267"/>
        <v>0</v>
      </c>
      <c r="AL494" s="194">
        <f t="shared" si="268"/>
        <v>0</v>
      </c>
    </row>
    <row r="495" spans="2:38" x14ac:dyDescent="0.25">
      <c r="B495" s="192" t="s">
        <v>1362</v>
      </c>
      <c r="C495" s="193" t="s">
        <v>1363</v>
      </c>
      <c r="D49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194">
        <f t="shared" si="261"/>
        <v>0</v>
      </c>
      <c r="G495" s="194"/>
      <c r="H495" s="194">
        <f t="shared" si="262"/>
        <v>0</v>
      </c>
      <c r="I495" s="194"/>
      <c r="J495" s="194">
        <f t="shared" si="263"/>
        <v>0</v>
      </c>
      <c r="K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194">
        <f t="shared" si="264"/>
        <v>0</v>
      </c>
      <c r="Z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194">
        <f t="shared" si="265"/>
        <v>0</v>
      </c>
      <c r="AD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194">
        <f t="shared" si="266"/>
        <v>0</v>
      </c>
      <c r="AH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194">
        <f t="shared" si="267"/>
        <v>0</v>
      </c>
      <c r="AL495" s="194">
        <f t="shared" si="268"/>
        <v>0</v>
      </c>
    </row>
    <row r="496" spans="2:38" x14ac:dyDescent="0.25">
      <c r="B496" s="192" t="s">
        <v>1364</v>
      </c>
      <c r="C496" s="193" t="s">
        <v>1365</v>
      </c>
      <c r="D49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194">
        <f t="shared" si="261"/>
        <v>0</v>
      </c>
      <c r="G496" s="194"/>
      <c r="H496" s="194">
        <f t="shared" si="262"/>
        <v>0</v>
      </c>
      <c r="I496" s="194"/>
      <c r="J496" s="194">
        <f t="shared" si="263"/>
        <v>0</v>
      </c>
      <c r="K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194">
        <f t="shared" si="264"/>
        <v>0</v>
      </c>
      <c r="Z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194">
        <f t="shared" si="265"/>
        <v>0</v>
      </c>
      <c r="AD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194">
        <f t="shared" si="266"/>
        <v>0</v>
      </c>
      <c r="AH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194">
        <f t="shared" si="267"/>
        <v>0</v>
      </c>
      <c r="AL496" s="194">
        <f t="shared" si="268"/>
        <v>0</v>
      </c>
    </row>
    <row r="497" spans="2:38" x14ac:dyDescent="0.25">
      <c r="B497" s="192" t="s">
        <v>1366</v>
      </c>
      <c r="C497" s="193" t="s">
        <v>1367</v>
      </c>
      <c r="D49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194">
        <f t="shared" si="261"/>
        <v>0</v>
      </c>
      <c r="G497" s="194"/>
      <c r="H497" s="194">
        <f t="shared" si="262"/>
        <v>0</v>
      </c>
      <c r="I497" s="194"/>
      <c r="J497" s="194">
        <f t="shared" si="263"/>
        <v>0</v>
      </c>
      <c r="K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194">
        <f t="shared" si="264"/>
        <v>0</v>
      </c>
      <c r="Z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194">
        <f t="shared" si="265"/>
        <v>0</v>
      </c>
      <c r="AD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194">
        <f t="shared" si="266"/>
        <v>0</v>
      </c>
      <c r="AH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194">
        <f t="shared" si="267"/>
        <v>0</v>
      </c>
      <c r="AL497" s="194">
        <f t="shared" si="268"/>
        <v>0</v>
      </c>
    </row>
    <row r="498" spans="2:38" x14ac:dyDescent="0.25">
      <c r="B498" s="189" t="s">
        <v>437</v>
      </c>
      <c r="C498" s="190" t="s">
        <v>304</v>
      </c>
      <c r="D498" s="191">
        <f>D499</f>
        <v>0</v>
      </c>
      <c r="E498" s="191">
        <f>E499</f>
        <v>0</v>
      </c>
      <c r="F498" s="191">
        <f t="shared" si="261"/>
        <v>0</v>
      </c>
      <c r="G498" s="191">
        <f>G499</f>
        <v>0</v>
      </c>
      <c r="H498" s="191">
        <f t="shared" si="262"/>
        <v>0</v>
      </c>
      <c r="I498" s="191">
        <f>I499</f>
        <v>0</v>
      </c>
      <c r="J498" s="191">
        <f t="shared" si="263"/>
        <v>0</v>
      </c>
      <c r="K498" s="191">
        <f t="shared" ref="K498:AJ498" si="269">K499</f>
        <v>0</v>
      </c>
      <c r="L498" s="191">
        <f t="shared" si="269"/>
        <v>0</v>
      </c>
      <c r="M498" s="191">
        <f t="shared" si="269"/>
        <v>0</v>
      </c>
      <c r="N498" s="191">
        <f t="shared" si="269"/>
        <v>0</v>
      </c>
      <c r="O498" s="191">
        <f t="shared" si="269"/>
        <v>0</v>
      </c>
      <c r="P498" s="191">
        <f t="shared" si="269"/>
        <v>0</v>
      </c>
      <c r="Q498" s="191">
        <f t="shared" si="269"/>
        <v>0</v>
      </c>
      <c r="R498" s="191">
        <f t="shared" si="269"/>
        <v>0</v>
      </c>
      <c r="S498" s="191">
        <f t="shared" si="269"/>
        <v>0</v>
      </c>
      <c r="T498" s="191">
        <f t="shared" si="269"/>
        <v>0</v>
      </c>
      <c r="U498" s="191">
        <f t="shared" si="269"/>
        <v>0</v>
      </c>
      <c r="V498" s="191">
        <f t="shared" si="269"/>
        <v>0</v>
      </c>
      <c r="W498" s="191">
        <f t="shared" si="269"/>
        <v>0</v>
      </c>
      <c r="X498" s="191">
        <f t="shared" si="269"/>
        <v>0</v>
      </c>
      <c r="Y498" s="191">
        <f t="shared" si="264"/>
        <v>0</v>
      </c>
      <c r="Z498" s="191">
        <f t="shared" si="269"/>
        <v>0</v>
      </c>
      <c r="AA498" s="191">
        <f t="shared" si="269"/>
        <v>0</v>
      </c>
      <c r="AB498" s="191">
        <f t="shared" si="269"/>
        <v>0</v>
      </c>
      <c r="AC498" s="191">
        <f t="shared" si="265"/>
        <v>0</v>
      </c>
      <c r="AD498" s="191">
        <f t="shared" si="269"/>
        <v>0</v>
      </c>
      <c r="AE498" s="191">
        <f t="shared" si="269"/>
        <v>0</v>
      </c>
      <c r="AF498" s="191">
        <f t="shared" si="269"/>
        <v>0</v>
      </c>
      <c r="AG498" s="191">
        <f t="shared" si="266"/>
        <v>0</v>
      </c>
      <c r="AH498" s="191">
        <f t="shared" si="269"/>
        <v>0</v>
      </c>
      <c r="AI498" s="191">
        <f t="shared" si="269"/>
        <v>0</v>
      </c>
      <c r="AJ498" s="191">
        <f t="shared" si="269"/>
        <v>0</v>
      </c>
      <c r="AK498" s="191">
        <f t="shared" si="267"/>
        <v>0</v>
      </c>
      <c r="AL498" s="191">
        <f t="shared" si="268"/>
        <v>0</v>
      </c>
    </row>
    <row r="499" spans="2:38" x14ac:dyDescent="0.25">
      <c r="B499" s="201" t="s">
        <v>438</v>
      </c>
      <c r="C499" s="202" t="s">
        <v>305</v>
      </c>
      <c r="D499" s="203">
        <f>SUM(D500:D514)</f>
        <v>0</v>
      </c>
      <c r="E499" s="203">
        <f>SUM(E500:E514)</f>
        <v>0</v>
      </c>
      <c r="F499" s="203">
        <f t="shared" si="261"/>
        <v>0</v>
      </c>
      <c r="G499" s="203">
        <f>SUM(G500:G514)</f>
        <v>0</v>
      </c>
      <c r="H499" s="203">
        <f t="shared" si="262"/>
        <v>0</v>
      </c>
      <c r="I499" s="203">
        <f>SUM(I500:I514)</f>
        <v>0</v>
      </c>
      <c r="J499" s="203">
        <f t="shared" si="263"/>
        <v>0</v>
      </c>
      <c r="K499" s="203">
        <f t="shared" ref="K499:X499" si="270">SUM(K500:K514)</f>
        <v>0</v>
      </c>
      <c r="L499" s="203">
        <f t="shared" si="270"/>
        <v>0</v>
      </c>
      <c r="M499" s="203">
        <f t="shared" si="270"/>
        <v>0</v>
      </c>
      <c r="N499" s="203">
        <f t="shared" si="270"/>
        <v>0</v>
      </c>
      <c r="O499" s="203">
        <f t="shared" si="270"/>
        <v>0</v>
      </c>
      <c r="P499" s="203">
        <f t="shared" si="270"/>
        <v>0</v>
      </c>
      <c r="Q499" s="203">
        <f t="shared" si="270"/>
        <v>0</v>
      </c>
      <c r="R499" s="203">
        <f t="shared" si="270"/>
        <v>0</v>
      </c>
      <c r="S499" s="203">
        <f t="shared" si="270"/>
        <v>0</v>
      </c>
      <c r="T499" s="203">
        <f t="shared" si="270"/>
        <v>0</v>
      </c>
      <c r="U499" s="203">
        <f t="shared" si="270"/>
        <v>0</v>
      </c>
      <c r="V499" s="203">
        <f t="shared" si="270"/>
        <v>0</v>
      </c>
      <c r="W499" s="203">
        <f t="shared" si="270"/>
        <v>0</v>
      </c>
      <c r="X499" s="203">
        <f t="shared" si="270"/>
        <v>0</v>
      </c>
      <c r="Y499" s="203">
        <f t="shared" si="264"/>
        <v>0</v>
      </c>
      <c r="Z499" s="203">
        <f>SUM(Z500:Z514)</f>
        <v>0</v>
      </c>
      <c r="AA499" s="203">
        <f>SUM(AA500:AA514)</f>
        <v>0</v>
      </c>
      <c r="AB499" s="203">
        <f>SUM(AB500:AB514)</f>
        <v>0</v>
      </c>
      <c r="AC499" s="203">
        <f t="shared" si="265"/>
        <v>0</v>
      </c>
      <c r="AD499" s="203">
        <f>SUM(AD500:AD514)</f>
        <v>0</v>
      </c>
      <c r="AE499" s="203">
        <f>SUM(AE500:AE514)</f>
        <v>0</v>
      </c>
      <c r="AF499" s="203">
        <f>SUM(AF500:AF514)</f>
        <v>0</v>
      </c>
      <c r="AG499" s="203">
        <f t="shared" si="266"/>
        <v>0</v>
      </c>
      <c r="AH499" s="203">
        <f>SUM(AH500:AH514)</f>
        <v>0</v>
      </c>
      <c r="AI499" s="203">
        <f>SUM(AI500:AI514)</f>
        <v>0</v>
      </c>
      <c r="AJ499" s="203">
        <f>SUM(AJ500:AJ514)</f>
        <v>0</v>
      </c>
      <c r="AK499" s="203">
        <f t="shared" si="267"/>
        <v>0</v>
      </c>
      <c r="AL499" s="203">
        <f t="shared" si="268"/>
        <v>0</v>
      </c>
    </row>
    <row r="500" spans="2:38" x14ac:dyDescent="0.25">
      <c r="B500" s="192" t="s">
        <v>445</v>
      </c>
      <c r="C500" s="193" t="s">
        <v>310</v>
      </c>
      <c r="D50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194">
        <f t="shared" si="261"/>
        <v>0</v>
      </c>
      <c r="G500" s="194"/>
      <c r="H500" s="194">
        <f t="shared" si="262"/>
        <v>0</v>
      </c>
      <c r="I500" s="194"/>
      <c r="J500" s="194">
        <f t="shared" si="263"/>
        <v>0</v>
      </c>
      <c r="K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194">
        <f t="shared" si="264"/>
        <v>0</v>
      </c>
      <c r="Z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194">
        <f t="shared" si="265"/>
        <v>0</v>
      </c>
      <c r="AD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194">
        <f t="shared" si="266"/>
        <v>0</v>
      </c>
      <c r="AH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194">
        <f t="shared" si="267"/>
        <v>0</v>
      </c>
      <c r="AL500" s="194">
        <f t="shared" si="268"/>
        <v>0</v>
      </c>
    </row>
    <row r="501" spans="2:38" x14ac:dyDescent="0.25">
      <c r="B501" s="192" t="s">
        <v>1392</v>
      </c>
      <c r="C501" s="193" t="s">
        <v>1393</v>
      </c>
      <c r="D50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194">
        <f t="shared" si="261"/>
        <v>0</v>
      </c>
      <c r="G501" s="194"/>
      <c r="H501" s="194">
        <f t="shared" si="262"/>
        <v>0</v>
      </c>
      <c r="I501" s="194"/>
      <c r="J501" s="194">
        <f t="shared" si="263"/>
        <v>0</v>
      </c>
      <c r="K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194">
        <f t="shared" si="264"/>
        <v>0</v>
      </c>
      <c r="Z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194">
        <f t="shared" si="265"/>
        <v>0</v>
      </c>
      <c r="AD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194">
        <f t="shared" si="266"/>
        <v>0</v>
      </c>
      <c r="AH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194">
        <f t="shared" si="267"/>
        <v>0</v>
      </c>
      <c r="AL501" s="194">
        <f t="shared" si="268"/>
        <v>0</v>
      </c>
    </row>
    <row r="502" spans="2:38" x14ac:dyDescent="0.25">
      <c r="B502" s="192" t="s">
        <v>1394</v>
      </c>
      <c r="C502" s="193" t="s">
        <v>1395</v>
      </c>
      <c r="D50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194">
        <f t="shared" si="261"/>
        <v>0</v>
      </c>
      <c r="G502" s="194"/>
      <c r="H502" s="194">
        <f t="shared" si="262"/>
        <v>0</v>
      </c>
      <c r="I502" s="194"/>
      <c r="J502" s="194">
        <f t="shared" si="263"/>
        <v>0</v>
      </c>
      <c r="K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194">
        <f t="shared" si="264"/>
        <v>0</v>
      </c>
      <c r="Z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194">
        <f t="shared" si="265"/>
        <v>0</v>
      </c>
      <c r="AD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194">
        <f t="shared" si="266"/>
        <v>0</v>
      </c>
      <c r="AH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194">
        <f t="shared" si="267"/>
        <v>0</v>
      </c>
      <c r="AL502" s="194">
        <f t="shared" si="268"/>
        <v>0</v>
      </c>
    </row>
    <row r="503" spans="2:38" x14ac:dyDescent="0.25">
      <c r="B503" s="192" t="s">
        <v>1396</v>
      </c>
      <c r="C503" s="193" t="s">
        <v>1397</v>
      </c>
      <c r="D50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194">
        <f t="shared" si="261"/>
        <v>0</v>
      </c>
      <c r="G503" s="194"/>
      <c r="H503" s="194">
        <f t="shared" si="262"/>
        <v>0</v>
      </c>
      <c r="I503" s="194"/>
      <c r="J503" s="194">
        <f t="shared" si="263"/>
        <v>0</v>
      </c>
      <c r="K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194">
        <f t="shared" si="264"/>
        <v>0</v>
      </c>
      <c r="Z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194">
        <f t="shared" si="265"/>
        <v>0</v>
      </c>
      <c r="AD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194">
        <f t="shared" si="266"/>
        <v>0</v>
      </c>
      <c r="AH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194">
        <f t="shared" si="267"/>
        <v>0</v>
      </c>
      <c r="AL503" s="194">
        <f t="shared" si="268"/>
        <v>0</v>
      </c>
    </row>
    <row r="504" spans="2:38" x14ac:dyDescent="0.25">
      <c r="B504" s="192" t="s">
        <v>1398</v>
      </c>
      <c r="C504" s="193" t="s">
        <v>1399</v>
      </c>
      <c r="D50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194">
        <f t="shared" si="261"/>
        <v>0</v>
      </c>
      <c r="G504" s="194"/>
      <c r="H504" s="194">
        <f t="shared" si="262"/>
        <v>0</v>
      </c>
      <c r="I504" s="194"/>
      <c r="J504" s="194">
        <f t="shared" si="263"/>
        <v>0</v>
      </c>
      <c r="K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194">
        <f t="shared" si="264"/>
        <v>0</v>
      </c>
      <c r="Z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194">
        <f t="shared" si="265"/>
        <v>0</v>
      </c>
      <c r="AD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194">
        <f t="shared" si="266"/>
        <v>0</v>
      </c>
      <c r="AH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194">
        <f t="shared" si="267"/>
        <v>0</v>
      </c>
      <c r="AL504" s="194">
        <f t="shared" si="268"/>
        <v>0</v>
      </c>
    </row>
    <row r="505" spans="2:38" x14ac:dyDescent="0.25">
      <c r="B505" s="192" t="s">
        <v>1400</v>
      </c>
      <c r="C505" s="193" t="s">
        <v>1401</v>
      </c>
      <c r="D50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194">
        <f t="shared" si="261"/>
        <v>0</v>
      </c>
      <c r="G505" s="194"/>
      <c r="H505" s="194">
        <f t="shared" si="262"/>
        <v>0</v>
      </c>
      <c r="I505" s="194"/>
      <c r="J505" s="194">
        <f t="shared" si="263"/>
        <v>0</v>
      </c>
      <c r="K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194">
        <f t="shared" si="264"/>
        <v>0</v>
      </c>
      <c r="Z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194">
        <f t="shared" si="265"/>
        <v>0</v>
      </c>
      <c r="AD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194">
        <f t="shared" si="266"/>
        <v>0</v>
      </c>
      <c r="AH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194">
        <f t="shared" si="267"/>
        <v>0</v>
      </c>
      <c r="AL505" s="194">
        <f t="shared" si="268"/>
        <v>0</v>
      </c>
    </row>
    <row r="506" spans="2:38" x14ac:dyDescent="0.25">
      <c r="B506" s="192" t="s">
        <v>1402</v>
      </c>
      <c r="C506" s="193" t="s">
        <v>1403</v>
      </c>
      <c r="D50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194">
        <f t="shared" si="261"/>
        <v>0</v>
      </c>
      <c r="G506" s="194"/>
      <c r="H506" s="194">
        <f t="shared" si="262"/>
        <v>0</v>
      </c>
      <c r="I506" s="194"/>
      <c r="J506" s="194">
        <f t="shared" si="263"/>
        <v>0</v>
      </c>
      <c r="K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194">
        <f t="shared" si="264"/>
        <v>0</v>
      </c>
      <c r="Z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194">
        <f t="shared" si="265"/>
        <v>0</v>
      </c>
      <c r="AD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194">
        <f t="shared" si="266"/>
        <v>0</v>
      </c>
      <c r="AH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194">
        <f t="shared" si="267"/>
        <v>0</v>
      </c>
      <c r="AL506" s="194">
        <f t="shared" si="268"/>
        <v>0</v>
      </c>
    </row>
    <row r="507" spans="2:38" x14ac:dyDescent="0.25">
      <c r="B507" s="192" t="s">
        <v>1404</v>
      </c>
      <c r="C507" s="193" t="s">
        <v>1405</v>
      </c>
      <c r="D50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194">
        <f t="shared" si="261"/>
        <v>0</v>
      </c>
      <c r="G507" s="194"/>
      <c r="H507" s="194">
        <f t="shared" si="262"/>
        <v>0</v>
      </c>
      <c r="I507" s="194"/>
      <c r="J507" s="194">
        <f t="shared" si="263"/>
        <v>0</v>
      </c>
      <c r="K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194">
        <f t="shared" si="264"/>
        <v>0</v>
      </c>
      <c r="Z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194">
        <f t="shared" si="265"/>
        <v>0</v>
      </c>
      <c r="AD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194">
        <f t="shared" si="266"/>
        <v>0</v>
      </c>
      <c r="AH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194">
        <f t="shared" si="267"/>
        <v>0</v>
      </c>
      <c r="AL507" s="194">
        <f t="shared" si="268"/>
        <v>0</v>
      </c>
    </row>
    <row r="508" spans="2:38" x14ac:dyDescent="0.25">
      <c r="B508" s="192" t="s">
        <v>1406</v>
      </c>
      <c r="C508" s="193" t="s">
        <v>1407</v>
      </c>
      <c r="D50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194">
        <f t="shared" si="261"/>
        <v>0</v>
      </c>
      <c r="G508" s="194"/>
      <c r="H508" s="194">
        <f t="shared" si="262"/>
        <v>0</v>
      </c>
      <c r="I508" s="194"/>
      <c r="J508" s="194">
        <f t="shared" si="263"/>
        <v>0</v>
      </c>
      <c r="K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194">
        <f t="shared" si="264"/>
        <v>0</v>
      </c>
      <c r="Z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194">
        <f t="shared" si="265"/>
        <v>0</v>
      </c>
      <c r="AD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194">
        <f t="shared" si="266"/>
        <v>0</v>
      </c>
      <c r="AH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194">
        <f t="shared" si="267"/>
        <v>0</v>
      </c>
      <c r="AL508" s="194">
        <f t="shared" si="268"/>
        <v>0</v>
      </c>
    </row>
    <row r="509" spans="2:38" x14ac:dyDescent="0.25">
      <c r="B509" s="192" t="s">
        <v>1408</v>
      </c>
      <c r="C509" s="193" t="s">
        <v>1409</v>
      </c>
      <c r="D50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194">
        <f t="shared" si="261"/>
        <v>0</v>
      </c>
      <c r="G509" s="194"/>
      <c r="H509" s="194">
        <f t="shared" si="262"/>
        <v>0</v>
      </c>
      <c r="I509" s="194"/>
      <c r="J509" s="194">
        <f t="shared" si="263"/>
        <v>0</v>
      </c>
      <c r="K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194">
        <f t="shared" si="264"/>
        <v>0</v>
      </c>
      <c r="Z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194">
        <f t="shared" si="265"/>
        <v>0</v>
      </c>
      <c r="AD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194">
        <f t="shared" si="266"/>
        <v>0</v>
      </c>
      <c r="AH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194">
        <f t="shared" si="267"/>
        <v>0</v>
      </c>
      <c r="AL509" s="194">
        <f t="shared" si="268"/>
        <v>0</v>
      </c>
    </row>
    <row r="510" spans="2:38" x14ac:dyDescent="0.25">
      <c r="B510" s="192" t="s">
        <v>1410</v>
      </c>
      <c r="C510" s="193" t="s">
        <v>1411</v>
      </c>
      <c r="D51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194">
        <f t="shared" si="261"/>
        <v>0</v>
      </c>
      <c r="G510" s="194"/>
      <c r="H510" s="194">
        <f t="shared" si="262"/>
        <v>0</v>
      </c>
      <c r="I510" s="194"/>
      <c r="J510" s="194">
        <f t="shared" si="263"/>
        <v>0</v>
      </c>
      <c r="K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194">
        <f t="shared" si="264"/>
        <v>0</v>
      </c>
      <c r="Z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194">
        <f t="shared" si="265"/>
        <v>0</v>
      </c>
      <c r="AD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194">
        <f t="shared" si="266"/>
        <v>0</v>
      </c>
      <c r="AH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194">
        <f t="shared" si="267"/>
        <v>0</v>
      </c>
      <c r="AL510" s="194">
        <f t="shared" si="268"/>
        <v>0</v>
      </c>
    </row>
    <row r="511" spans="2:38" x14ac:dyDescent="0.25">
      <c r="B511" s="192" t="s">
        <v>1412</v>
      </c>
      <c r="C511" s="193" t="s">
        <v>1413</v>
      </c>
      <c r="D5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194">
        <f t="shared" si="261"/>
        <v>0</v>
      </c>
      <c r="G511" s="194"/>
      <c r="H511" s="194">
        <f t="shared" si="262"/>
        <v>0</v>
      </c>
      <c r="I511" s="194"/>
      <c r="J511" s="194">
        <f t="shared" si="263"/>
        <v>0</v>
      </c>
      <c r="K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194">
        <f t="shared" si="264"/>
        <v>0</v>
      </c>
      <c r="Z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194">
        <f t="shared" si="265"/>
        <v>0</v>
      </c>
      <c r="AD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194">
        <f t="shared" si="266"/>
        <v>0</v>
      </c>
      <c r="AH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194">
        <f t="shared" si="267"/>
        <v>0</v>
      </c>
      <c r="AL511" s="194">
        <f t="shared" si="268"/>
        <v>0</v>
      </c>
    </row>
    <row r="512" spans="2:38" x14ac:dyDescent="0.25">
      <c r="B512" s="192" t="s">
        <v>1414</v>
      </c>
      <c r="C512" s="193" t="s">
        <v>1415</v>
      </c>
      <c r="D51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194">
        <f t="shared" si="261"/>
        <v>0</v>
      </c>
      <c r="G512" s="194"/>
      <c r="H512" s="194">
        <f t="shared" si="262"/>
        <v>0</v>
      </c>
      <c r="I512" s="194"/>
      <c r="J512" s="194">
        <f t="shared" si="263"/>
        <v>0</v>
      </c>
      <c r="K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194">
        <f t="shared" si="264"/>
        <v>0</v>
      </c>
      <c r="Z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194">
        <f t="shared" si="265"/>
        <v>0</v>
      </c>
      <c r="AD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194">
        <f t="shared" si="266"/>
        <v>0</v>
      </c>
      <c r="AH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194">
        <f t="shared" si="267"/>
        <v>0</v>
      </c>
      <c r="AL512" s="194">
        <f t="shared" si="268"/>
        <v>0</v>
      </c>
    </row>
    <row r="513" spans="2:38" x14ac:dyDescent="0.25">
      <c r="B513" s="192" t="s">
        <v>1416</v>
      </c>
      <c r="C513" s="193" t="s">
        <v>1417</v>
      </c>
      <c r="D5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194">
        <f t="shared" si="261"/>
        <v>0</v>
      </c>
      <c r="G513" s="194"/>
      <c r="H513" s="194">
        <f t="shared" si="262"/>
        <v>0</v>
      </c>
      <c r="I513" s="194"/>
      <c r="J513" s="194">
        <f t="shared" si="263"/>
        <v>0</v>
      </c>
      <c r="K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194">
        <f t="shared" si="264"/>
        <v>0</v>
      </c>
      <c r="Z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194">
        <f t="shared" si="265"/>
        <v>0</v>
      </c>
      <c r="AD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194">
        <f t="shared" si="266"/>
        <v>0</v>
      </c>
      <c r="AH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194">
        <f t="shared" si="267"/>
        <v>0</v>
      </c>
      <c r="AL513" s="194">
        <f t="shared" si="268"/>
        <v>0</v>
      </c>
    </row>
    <row r="514" spans="2:38" x14ac:dyDescent="0.25">
      <c r="B514" s="192" t="s">
        <v>1418</v>
      </c>
      <c r="C514" s="193" t="s">
        <v>1419</v>
      </c>
      <c r="D5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194">
        <f t="shared" si="261"/>
        <v>0</v>
      </c>
      <c r="G514" s="194"/>
      <c r="H514" s="194">
        <f t="shared" si="262"/>
        <v>0</v>
      </c>
      <c r="I514" s="194"/>
      <c r="J514" s="194">
        <f t="shared" si="263"/>
        <v>0</v>
      </c>
      <c r="K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194">
        <f t="shared" si="264"/>
        <v>0</v>
      </c>
      <c r="Z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194">
        <f t="shared" si="265"/>
        <v>0</v>
      </c>
      <c r="AD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194">
        <f t="shared" si="266"/>
        <v>0</v>
      </c>
      <c r="AH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194">
        <f t="shared" si="267"/>
        <v>0</v>
      </c>
      <c r="AL514" s="194">
        <f t="shared" si="268"/>
        <v>0</v>
      </c>
    </row>
    <row r="515" spans="2:38" x14ac:dyDescent="0.25">
      <c r="B515" s="189" t="s">
        <v>446</v>
      </c>
      <c r="C515" s="190" t="s">
        <v>311</v>
      </c>
      <c r="D515" s="191">
        <f>D516+D525</f>
        <v>0</v>
      </c>
      <c r="E515" s="191">
        <f>E516+E525</f>
        <v>615000000</v>
      </c>
      <c r="F515" s="191">
        <f t="shared" si="261"/>
        <v>615000000</v>
      </c>
      <c r="G515" s="191">
        <f>G516+G525</f>
        <v>0</v>
      </c>
      <c r="H515" s="191">
        <f t="shared" si="262"/>
        <v>615000000</v>
      </c>
      <c r="I515" s="191">
        <f>I516+I525</f>
        <v>0</v>
      </c>
      <c r="J515" s="191">
        <f t="shared" si="263"/>
        <v>615000000</v>
      </c>
      <c r="K515" s="191">
        <f t="shared" ref="K515:AJ515" si="271">K516+K525</f>
        <v>0</v>
      </c>
      <c r="L515" s="191">
        <f t="shared" si="271"/>
        <v>0</v>
      </c>
      <c r="M515" s="191">
        <f t="shared" si="271"/>
        <v>0</v>
      </c>
      <c r="N515" s="191">
        <f t="shared" si="271"/>
        <v>0</v>
      </c>
      <c r="O515" s="191">
        <f t="shared" si="271"/>
        <v>0</v>
      </c>
      <c r="P515" s="191">
        <f t="shared" si="271"/>
        <v>615000000</v>
      </c>
      <c r="Q515" s="191">
        <f t="shared" si="271"/>
        <v>0</v>
      </c>
      <c r="R515" s="191">
        <f t="shared" si="271"/>
        <v>0</v>
      </c>
      <c r="S515" s="191">
        <f t="shared" si="271"/>
        <v>0</v>
      </c>
      <c r="T515" s="191">
        <f t="shared" si="271"/>
        <v>0</v>
      </c>
      <c r="U515" s="191">
        <f t="shared" si="271"/>
        <v>0</v>
      </c>
      <c r="V515" s="191">
        <f t="shared" si="271"/>
        <v>0</v>
      </c>
      <c r="W515" s="191">
        <f t="shared" si="271"/>
        <v>615000000</v>
      </c>
      <c r="X515" s="191">
        <f t="shared" si="271"/>
        <v>0</v>
      </c>
      <c r="Y515" s="191">
        <f t="shared" si="264"/>
        <v>615000000</v>
      </c>
      <c r="Z515" s="191">
        <f t="shared" si="271"/>
        <v>0</v>
      </c>
      <c r="AA515" s="191">
        <f t="shared" si="271"/>
        <v>0</v>
      </c>
      <c r="AB515" s="191">
        <f t="shared" si="271"/>
        <v>0</v>
      </c>
      <c r="AC515" s="191">
        <f t="shared" si="265"/>
        <v>0</v>
      </c>
      <c r="AD515" s="191">
        <f t="shared" si="271"/>
        <v>0</v>
      </c>
      <c r="AE515" s="191">
        <f t="shared" si="271"/>
        <v>0</v>
      </c>
      <c r="AF515" s="191">
        <f t="shared" si="271"/>
        <v>0</v>
      </c>
      <c r="AG515" s="191">
        <f t="shared" si="266"/>
        <v>0</v>
      </c>
      <c r="AH515" s="191">
        <f t="shared" si="271"/>
        <v>0</v>
      </c>
      <c r="AI515" s="191">
        <f t="shared" si="271"/>
        <v>0</v>
      </c>
      <c r="AJ515" s="191">
        <f t="shared" si="271"/>
        <v>0</v>
      </c>
      <c r="AK515" s="191">
        <f t="shared" si="267"/>
        <v>0</v>
      </c>
      <c r="AL515" s="191">
        <f t="shared" si="268"/>
        <v>615000000</v>
      </c>
    </row>
    <row r="516" spans="2:38" x14ac:dyDescent="0.25">
      <c r="B516" s="201" t="s">
        <v>447</v>
      </c>
      <c r="C516" s="202" t="s">
        <v>312</v>
      </c>
      <c r="D516" s="203">
        <f>SUM(D517:D524)</f>
        <v>0</v>
      </c>
      <c r="E516" s="203">
        <f>SUM(E517:E524)</f>
        <v>0</v>
      </c>
      <c r="F516" s="203">
        <f t="shared" si="261"/>
        <v>0</v>
      </c>
      <c r="G516" s="203">
        <f>SUM(G517:G524)</f>
        <v>0</v>
      </c>
      <c r="H516" s="203">
        <f t="shared" si="262"/>
        <v>0</v>
      </c>
      <c r="I516" s="203">
        <f>SUM(I517:I524)</f>
        <v>0</v>
      </c>
      <c r="J516" s="203">
        <f t="shared" si="263"/>
        <v>0</v>
      </c>
      <c r="K516" s="203">
        <f t="shared" ref="K516:AJ516" si="272">SUM(K517:K524)</f>
        <v>0</v>
      </c>
      <c r="L516" s="203">
        <f t="shared" si="272"/>
        <v>0</v>
      </c>
      <c r="M516" s="203">
        <f t="shared" si="272"/>
        <v>0</v>
      </c>
      <c r="N516" s="203">
        <f t="shared" si="272"/>
        <v>0</v>
      </c>
      <c r="O516" s="203">
        <f t="shared" si="272"/>
        <v>0</v>
      </c>
      <c r="P516" s="203">
        <f t="shared" si="272"/>
        <v>0</v>
      </c>
      <c r="Q516" s="203">
        <f t="shared" si="272"/>
        <v>0</v>
      </c>
      <c r="R516" s="203">
        <f t="shared" si="272"/>
        <v>0</v>
      </c>
      <c r="S516" s="203">
        <f t="shared" si="272"/>
        <v>0</v>
      </c>
      <c r="T516" s="203">
        <f t="shared" si="272"/>
        <v>0</v>
      </c>
      <c r="U516" s="203">
        <f t="shared" si="272"/>
        <v>0</v>
      </c>
      <c r="V516" s="203">
        <f t="shared" si="272"/>
        <v>0</v>
      </c>
      <c r="W516" s="203">
        <f t="shared" si="272"/>
        <v>0</v>
      </c>
      <c r="X516" s="203">
        <f t="shared" si="272"/>
        <v>0</v>
      </c>
      <c r="Y516" s="203">
        <f t="shared" si="264"/>
        <v>0</v>
      </c>
      <c r="Z516" s="203">
        <f t="shared" si="272"/>
        <v>0</v>
      </c>
      <c r="AA516" s="203">
        <f t="shared" si="272"/>
        <v>0</v>
      </c>
      <c r="AB516" s="203">
        <f t="shared" si="272"/>
        <v>0</v>
      </c>
      <c r="AC516" s="203">
        <f t="shared" si="265"/>
        <v>0</v>
      </c>
      <c r="AD516" s="203">
        <f t="shared" si="272"/>
        <v>0</v>
      </c>
      <c r="AE516" s="203">
        <f t="shared" si="272"/>
        <v>0</v>
      </c>
      <c r="AF516" s="203">
        <f t="shared" si="272"/>
        <v>0</v>
      </c>
      <c r="AG516" s="203">
        <f t="shared" si="266"/>
        <v>0</v>
      </c>
      <c r="AH516" s="203">
        <f t="shared" si="272"/>
        <v>0</v>
      </c>
      <c r="AI516" s="203">
        <f t="shared" si="272"/>
        <v>0</v>
      </c>
      <c r="AJ516" s="203">
        <f t="shared" si="272"/>
        <v>0</v>
      </c>
      <c r="AK516" s="203">
        <f t="shared" si="267"/>
        <v>0</v>
      </c>
      <c r="AL516" s="203">
        <f t="shared" si="268"/>
        <v>0</v>
      </c>
    </row>
    <row r="517" spans="2:38" x14ac:dyDescent="0.25">
      <c r="B517" s="192" t="s">
        <v>448</v>
      </c>
      <c r="C517" s="193" t="s">
        <v>313</v>
      </c>
      <c r="D5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194">
        <f t="shared" si="261"/>
        <v>0</v>
      </c>
      <c r="G517" s="194"/>
      <c r="H517" s="194">
        <f t="shared" si="262"/>
        <v>0</v>
      </c>
      <c r="I517" s="194"/>
      <c r="J517" s="194">
        <f t="shared" si="263"/>
        <v>0</v>
      </c>
      <c r="K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194">
        <f t="shared" si="264"/>
        <v>0</v>
      </c>
      <c r="Z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194">
        <f t="shared" si="265"/>
        <v>0</v>
      </c>
      <c r="AD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194">
        <f t="shared" si="266"/>
        <v>0</v>
      </c>
      <c r="AH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194">
        <f t="shared" si="267"/>
        <v>0</v>
      </c>
      <c r="AL517" s="194">
        <f t="shared" si="268"/>
        <v>0</v>
      </c>
    </row>
    <row r="518" spans="2:38" x14ac:dyDescent="0.25">
      <c r="B518" s="192" t="s">
        <v>1435</v>
      </c>
      <c r="C518" s="193" t="s">
        <v>1436</v>
      </c>
      <c r="D51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194">
        <f t="shared" si="261"/>
        <v>0</v>
      </c>
      <c r="G518" s="194"/>
      <c r="H518" s="194">
        <f t="shared" si="262"/>
        <v>0</v>
      </c>
      <c r="I518" s="194"/>
      <c r="J518" s="194">
        <f t="shared" si="263"/>
        <v>0</v>
      </c>
      <c r="K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194">
        <f t="shared" si="264"/>
        <v>0</v>
      </c>
      <c r="Z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194">
        <f t="shared" si="265"/>
        <v>0</v>
      </c>
      <c r="AD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194">
        <f t="shared" si="266"/>
        <v>0</v>
      </c>
      <c r="AH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194">
        <f t="shared" si="267"/>
        <v>0</v>
      </c>
      <c r="AL518" s="194">
        <f t="shared" si="268"/>
        <v>0</v>
      </c>
    </row>
    <row r="519" spans="2:38" x14ac:dyDescent="0.25">
      <c r="B519" s="192" t="s">
        <v>1437</v>
      </c>
      <c r="C519" s="193" t="s">
        <v>1438</v>
      </c>
      <c r="D51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194">
        <f t="shared" si="261"/>
        <v>0</v>
      </c>
      <c r="G519" s="194"/>
      <c r="H519" s="194">
        <f t="shared" si="262"/>
        <v>0</v>
      </c>
      <c r="I519" s="194"/>
      <c r="J519" s="194">
        <f t="shared" si="263"/>
        <v>0</v>
      </c>
      <c r="K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194">
        <f t="shared" si="264"/>
        <v>0</v>
      </c>
      <c r="Z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194">
        <f t="shared" si="265"/>
        <v>0</v>
      </c>
      <c r="AD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194">
        <f t="shared" si="266"/>
        <v>0</v>
      </c>
      <c r="AH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194">
        <f t="shared" si="267"/>
        <v>0</v>
      </c>
      <c r="AL519" s="194">
        <f t="shared" si="268"/>
        <v>0</v>
      </c>
    </row>
    <row r="520" spans="2:38" x14ac:dyDescent="0.25">
      <c r="B520" s="192" t="s">
        <v>449</v>
      </c>
      <c r="C520" s="193" t="s">
        <v>314</v>
      </c>
      <c r="D5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194">
        <f t="shared" si="261"/>
        <v>0</v>
      </c>
      <c r="G520" s="194"/>
      <c r="H520" s="194">
        <f t="shared" si="262"/>
        <v>0</v>
      </c>
      <c r="I520" s="194"/>
      <c r="J520" s="194">
        <f t="shared" si="263"/>
        <v>0</v>
      </c>
      <c r="K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194">
        <f t="shared" si="264"/>
        <v>0</v>
      </c>
      <c r="Z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194">
        <f t="shared" si="265"/>
        <v>0</v>
      </c>
      <c r="AD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194">
        <f t="shared" si="266"/>
        <v>0</v>
      </c>
      <c r="AH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194">
        <f t="shared" si="267"/>
        <v>0</v>
      </c>
      <c r="AL520" s="194">
        <f t="shared" si="268"/>
        <v>0</v>
      </c>
    </row>
    <row r="521" spans="2:38" x14ac:dyDescent="0.25">
      <c r="B521" s="192" t="s">
        <v>1439</v>
      </c>
      <c r="C521" s="193" t="s">
        <v>1440</v>
      </c>
      <c r="D52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194">
        <f t="shared" si="261"/>
        <v>0</v>
      </c>
      <c r="G521" s="194"/>
      <c r="H521" s="194">
        <f t="shared" si="262"/>
        <v>0</v>
      </c>
      <c r="I521" s="194"/>
      <c r="J521" s="194">
        <f t="shared" si="263"/>
        <v>0</v>
      </c>
      <c r="K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194">
        <f t="shared" si="264"/>
        <v>0</v>
      </c>
      <c r="Z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194">
        <f t="shared" si="265"/>
        <v>0</v>
      </c>
      <c r="AD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194">
        <f t="shared" si="266"/>
        <v>0</v>
      </c>
      <c r="AH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194">
        <f t="shared" si="267"/>
        <v>0</v>
      </c>
      <c r="AL521" s="194">
        <f t="shared" si="268"/>
        <v>0</v>
      </c>
    </row>
    <row r="522" spans="2:38" x14ac:dyDescent="0.25">
      <c r="B522" s="192" t="s">
        <v>1441</v>
      </c>
      <c r="C522" s="193" t="s">
        <v>1442</v>
      </c>
      <c r="D5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194">
        <f t="shared" si="261"/>
        <v>0</v>
      </c>
      <c r="G522" s="194"/>
      <c r="H522" s="194">
        <f t="shared" si="262"/>
        <v>0</v>
      </c>
      <c r="I522" s="194"/>
      <c r="J522" s="194">
        <f t="shared" si="263"/>
        <v>0</v>
      </c>
      <c r="K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194">
        <f t="shared" si="264"/>
        <v>0</v>
      </c>
      <c r="Z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194">
        <f t="shared" si="265"/>
        <v>0</v>
      </c>
      <c r="AD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194">
        <f t="shared" si="266"/>
        <v>0</v>
      </c>
      <c r="AH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194">
        <f t="shared" si="267"/>
        <v>0</v>
      </c>
      <c r="AL522" s="194">
        <f t="shared" si="268"/>
        <v>0</v>
      </c>
    </row>
    <row r="523" spans="2:38" x14ac:dyDescent="0.25">
      <c r="B523" s="192" t="s">
        <v>1443</v>
      </c>
      <c r="C523" s="193" t="s">
        <v>1444</v>
      </c>
      <c r="D5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194">
        <f t="shared" si="261"/>
        <v>0</v>
      </c>
      <c r="G523" s="194"/>
      <c r="H523" s="194">
        <f t="shared" si="262"/>
        <v>0</v>
      </c>
      <c r="I523" s="194"/>
      <c r="J523" s="194">
        <f t="shared" si="263"/>
        <v>0</v>
      </c>
      <c r="K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194">
        <f t="shared" si="264"/>
        <v>0</v>
      </c>
      <c r="Z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194">
        <f t="shared" si="265"/>
        <v>0</v>
      </c>
      <c r="AD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194">
        <f t="shared" si="266"/>
        <v>0</v>
      </c>
      <c r="AH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194">
        <f t="shared" si="267"/>
        <v>0</v>
      </c>
      <c r="AL523" s="194">
        <f t="shared" si="268"/>
        <v>0</v>
      </c>
    </row>
    <row r="524" spans="2:38" x14ac:dyDescent="0.25">
      <c r="B524" s="192" t="s">
        <v>1445</v>
      </c>
      <c r="C524" s="193" t="s">
        <v>1446</v>
      </c>
      <c r="D5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194">
        <f t="shared" si="261"/>
        <v>0</v>
      </c>
      <c r="G524" s="194"/>
      <c r="H524" s="194">
        <f t="shared" si="262"/>
        <v>0</v>
      </c>
      <c r="I524" s="194"/>
      <c r="J524" s="194">
        <f t="shared" si="263"/>
        <v>0</v>
      </c>
      <c r="K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194">
        <f t="shared" si="264"/>
        <v>0</v>
      </c>
      <c r="Z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194">
        <f t="shared" si="265"/>
        <v>0</v>
      </c>
      <c r="AD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194">
        <f t="shared" si="266"/>
        <v>0</v>
      </c>
      <c r="AH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194">
        <f t="shared" si="267"/>
        <v>0</v>
      </c>
      <c r="AL524" s="194">
        <f t="shared" si="268"/>
        <v>0</v>
      </c>
    </row>
    <row r="525" spans="2:38" x14ac:dyDescent="0.25">
      <c r="B525" s="201" t="s">
        <v>450</v>
      </c>
      <c r="C525" s="202" t="s">
        <v>315</v>
      </c>
      <c r="D525" s="203">
        <f>SUM(D526:D541)</f>
        <v>0</v>
      </c>
      <c r="E525" s="203">
        <f>SUM(E526:E541)</f>
        <v>615000000</v>
      </c>
      <c r="F525" s="203">
        <f t="shared" si="261"/>
        <v>615000000</v>
      </c>
      <c r="G525" s="203">
        <f>SUM(G526:G541)</f>
        <v>0</v>
      </c>
      <c r="H525" s="203">
        <f t="shared" si="262"/>
        <v>615000000</v>
      </c>
      <c r="I525" s="203">
        <f>SUM(I526:I541)</f>
        <v>0</v>
      </c>
      <c r="J525" s="203">
        <f t="shared" si="263"/>
        <v>615000000</v>
      </c>
      <c r="K525" s="203">
        <f t="shared" ref="K525:X525" si="273">SUM(K526:K541)</f>
        <v>0</v>
      </c>
      <c r="L525" s="203">
        <f t="shared" si="273"/>
        <v>0</v>
      </c>
      <c r="M525" s="203">
        <f t="shared" si="273"/>
        <v>0</v>
      </c>
      <c r="N525" s="203">
        <f t="shared" si="273"/>
        <v>0</v>
      </c>
      <c r="O525" s="203">
        <f t="shared" si="273"/>
        <v>0</v>
      </c>
      <c r="P525" s="203">
        <f t="shared" si="273"/>
        <v>615000000</v>
      </c>
      <c r="Q525" s="203">
        <f t="shared" si="273"/>
        <v>0</v>
      </c>
      <c r="R525" s="203">
        <f t="shared" si="273"/>
        <v>0</v>
      </c>
      <c r="S525" s="203">
        <f t="shared" si="273"/>
        <v>0</v>
      </c>
      <c r="T525" s="203">
        <f t="shared" si="273"/>
        <v>0</v>
      </c>
      <c r="U525" s="203">
        <f t="shared" si="273"/>
        <v>0</v>
      </c>
      <c r="V525" s="203">
        <f t="shared" si="273"/>
        <v>0</v>
      </c>
      <c r="W525" s="203">
        <f t="shared" si="273"/>
        <v>615000000</v>
      </c>
      <c r="X525" s="203">
        <f t="shared" si="273"/>
        <v>0</v>
      </c>
      <c r="Y525" s="203">
        <f t="shared" si="264"/>
        <v>615000000</v>
      </c>
      <c r="Z525" s="203">
        <f>SUM(Z526:Z541)</f>
        <v>0</v>
      </c>
      <c r="AA525" s="203">
        <f>SUM(AA526:AA541)</f>
        <v>0</v>
      </c>
      <c r="AB525" s="203">
        <f>SUM(AB526:AB541)</f>
        <v>0</v>
      </c>
      <c r="AC525" s="203">
        <f t="shared" si="265"/>
        <v>0</v>
      </c>
      <c r="AD525" s="203">
        <f>SUM(AD526:AD541)</f>
        <v>0</v>
      </c>
      <c r="AE525" s="203">
        <f>SUM(AE526:AE541)</f>
        <v>0</v>
      </c>
      <c r="AF525" s="203">
        <f>SUM(AF526:AF541)</f>
        <v>0</v>
      </c>
      <c r="AG525" s="203">
        <f t="shared" si="266"/>
        <v>0</v>
      </c>
      <c r="AH525" s="203">
        <f>SUM(AH526:AH541)</f>
        <v>0</v>
      </c>
      <c r="AI525" s="203">
        <f>SUM(AI526:AI541)</f>
        <v>0</v>
      </c>
      <c r="AJ525" s="203">
        <f>SUM(AJ526:AJ541)</f>
        <v>0</v>
      </c>
      <c r="AK525" s="203">
        <f t="shared" si="267"/>
        <v>0</v>
      </c>
      <c r="AL525" s="203">
        <f t="shared" si="268"/>
        <v>615000000</v>
      </c>
    </row>
    <row r="526" spans="2:38" x14ac:dyDescent="0.25">
      <c r="B526" s="192" t="s">
        <v>451</v>
      </c>
      <c r="C526" s="193" t="s">
        <v>316</v>
      </c>
      <c r="D52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194">
        <f t="shared" si="261"/>
        <v>0</v>
      </c>
      <c r="G526" s="194"/>
      <c r="H526" s="194">
        <f t="shared" si="262"/>
        <v>0</v>
      </c>
      <c r="I526" s="194"/>
      <c r="J526" s="194">
        <f t="shared" si="263"/>
        <v>0</v>
      </c>
      <c r="K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194">
        <f t="shared" si="264"/>
        <v>0</v>
      </c>
      <c r="Z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194">
        <f t="shared" si="265"/>
        <v>0</v>
      </c>
      <c r="AD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194">
        <f t="shared" si="266"/>
        <v>0</v>
      </c>
      <c r="AH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194">
        <f t="shared" si="267"/>
        <v>0</v>
      </c>
      <c r="AL526" s="194">
        <f t="shared" si="268"/>
        <v>0</v>
      </c>
    </row>
    <row r="527" spans="2:38" x14ac:dyDescent="0.25">
      <c r="B527" s="192" t="s">
        <v>1447</v>
      </c>
      <c r="C527" s="193" t="s">
        <v>1448</v>
      </c>
      <c r="D52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194">
        <f t="shared" ref="F527:F534" si="274">D527+E527</f>
        <v>0</v>
      </c>
      <c r="G527" s="194"/>
      <c r="H527" s="194">
        <f t="shared" ref="H527:H534" si="275">F527-G527</f>
        <v>0</v>
      </c>
      <c r="I527" s="194"/>
      <c r="J527" s="194">
        <f t="shared" ref="J527:J534" si="276">F527-I527</f>
        <v>0</v>
      </c>
      <c r="K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194">
        <f t="shared" ref="Y527:Y534" si="277">V527+W527+X527</f>
        <v>0</v>
      </c>
      <c r="Z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194">
        <f t="shared" ref="AC527:AC534" si="278">Z527+AA527+AB527</f>
        <v>0</v>
      </c>
      <c r="AD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194">
        <f t="shared" ref="AG527:AG534" si="279">AD527+AE527+AF527</f>
        <v>0</v>
      </c>
      <c r="AH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194">
        <f t="shared" ref="AK527:AK534" si="280">AH527+AI527+AJ527</f>
        <v>0</v>
      </c>
      <c r="AL527" s="194">
        <f t="shared" ref="AL527:AL534" si="281">Y527+AC527+AG527+AK527</f>
        <v>0</v>
      </c>
    </row>
    <row r="528" spans="2:38" x14ac:dyDescent="0.25">
      <c r="B528" s="192" t="s">
        <v>1449</v>
      </c>
      <c r="C528" s="193" t="s">
        <v>1450</v>
      </c>
      <c r="D52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194">
        <f t="shared" si="274"/>
        <v>0</v>
      </c>
      <c r="G528" s="194"/>
      <c r="H528" s="194">
        <f t="shared" si="275"/>
        <v>0</v>
      </c>
      <c r="I528" s="194"/>
      <c r="J528" s="194">
        <f t="shared" si="276"/>
        <v>0</v>
      </c>
      <c r="K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194">
        <f t="shared" si="277"/>
        <v>0</v>
      </c>
      <c r="Z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194">
        <f t="shared" si="278"/>
        <v>0</v>
      </c>
      <c r="AD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194">
        <f t="shared" si="279"/>
        <v>0</v>
      </c>
      <c r="AH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194">
        <f t="shared" si="280"/>
        <v>0</v>
      </c>
      <c r="AL528" s="194">
        <f t="shared" si="281"/>
        <v>0</v>
      </c>
    </row>
    <row r="529" spans="2:38" x14ac:dyDescent="0.25">
      <c r="B529" s="192" t="s">
        <v>1451</v>
      </c>
      <c r="C529" s="193" t="s">
        <v>1452</v>
      </c>
      <c r="D52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194">
        <f t="shared" si="274"/>
        <v>0</v>
      </c>
      <c r="G529" s="194"/>
      <c r="H529" s="194">
        <f t="shared" si="275"/>
        <v>0</v>
      </c>
      <c r="I529" s="194"/>
      <c r="J529" s="194">
        <f t="shared" si="276"/>
        <v>0</v>
      </c>
      <c r="K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194">
        <f t="shared" si="277"/>
        <v>0</v>
      </c>
      <c r="Z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194">
        <f t="shared" si="278"/>
        <v>0</v>
      </c>
      <c r="AD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194">
        <f t="shared" si="279"/>
        <v>0</v>
      </c>
      <c r="AH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194">
        <f t="shared" si="280"/>
        <v>0</v>
      </c>
      <c r="AL529" s="194">
        <f t="shared" si="281"/>
        <v>0</v>
      </c>
    </row>
    <row r="530" spans="2:38" x14ac:dyDescent="0.25">
      <c r="B530" s="192" t="s">
        <v>1453</v>
      </c>
      <c r="C530" s="193" t="s">
        <v>1454</v>
      </c>
      <c r="D5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194">
        <f t="shared" si="274"/>
        <v>0</v>
      </c>
      <c r="G530" s="194"/>
      <c r="H530" s="194">
        <f t="shared" si="275"/>
        <v>0</v>
      </c>
      <c r="I530" s="194"/>
      <c r="J530" s="194">
        <f t="shared" si="276"/>
        <v>0</v>
      </c>
      <c r="K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194">
        <f t="shared" si="277"/>
        <v>0</v>
      </c>
      <c r="Z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194">
        <f t="shared" si="278"/>
        <v>0</v>
      </c>
      <c r="AD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194">
        <f t="shared" si="279"/>
        <v>0</v>
      </c>
      <c r="AH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194">
        <f t="shared" si="280"/>
        <v>0</v>
      </c>
      <c r="AL530" s="194">
        <f t="shared" si="281"/>
        <v>0</v>
      </c>
    </row>
    <row r="531" spans="2:38" x14ac:dyDescent="0.25">
      <c r="B531" s="192" t="s">
        <v>1455</v>
      </c>
      <c r="C531" s="193" t="s">
        <v>1456</v>
      </c>
      <c r="D5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194">
        <f t="shared" si="274"/>
        <v>0</v>
      </c>
      <c r="G531" s="194"/>
      <c r="H531" s="194">
        <f t="shared" si="275"/>
        <v>0</v>
      </c>
      <c r="I531" s="194"/>
      <c r="J531" s="194">
        <f t="shared" si="276"/>
        <v>0</v>
      </c>
      <c r="K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194">
        <f t="shared" si="277"/>
        <v>0</v>
      </c>
      <c r="Z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194">
        <f t="shared" si="278"/>
        <v>0</v>
      </c>
      <c r="AD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194">
        <f t="shared" si="279"/>
        <v>0</v>
      </c>
      <c r="AH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194">
        <f t="shared" si="280"/>
        <v>0</v>
      </c>
      <c r="AL531" s="194">
        <f t="shared" si="281"/>
        <v>0</v>
      </c>
    </row>
    <row r="532" spans="2:38" x14ac:dyDescent="0.25">
      <c r="B532" s="192" t="s">
        <v>1457</v>
      </c>
      <c r="C532" s="193" t="s">
        <v>1458</v>
      </c>
      <c r="D53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194">
        <f t="shared" si="274"/>
        <v>0</v>
      </c>
      <c r="G532" s="194"/>
      <c r="H532" s="194">
        <f t="shared" si="275"/>
        <v>0</v>
      </c>
      <c r="I532" s="194"/>
      <c r="J532" s="194">
        <f t="shared" si="276"/>
        <v>0</v>
      </c>
      <c r="K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194">
        <f t="shared" si="277"/>
        <v>0</v>
      </c>
      <c r="Z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194">
        <f t="shared" si="278"/>
        <v>0</v>
      </c>
      <c r="AD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194">
        <f t="shared" si="279"/>
        <v>0</v>
      </c>
      <c r="AH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194">
        <f t="shared" si="280"/>
        <v>0</v>
      </c>
      <c r="AL532" s="194">
        <f t="shared" si="281"/>
        <v>0</v>
      </c>
    </row>
    <row r="533" spans="2:38" x14ac:dyDescent="0.25">
      <c r="B533" s="192" t="s">
        <v>1459</v>
      </c>
      <c r="C533" s="193" t="s">
        <v>1460</v>
      </c>
      <c r="D53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194">
        <f t="shared" si="274"/>
        <v>0</v>
      </c>
      <c r="G533" s="194"/>
      <c r="H533" s="194">
        <f t="shared" si="275"/>
        <v>0</v>
      </c>
      <c r="I533" s="194"/>
      <c r="J533" s="194">
        <f t="shared" si="276"/>
        <v>0</v>
      </c>
      <c r="K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194">
        <f t="shared" si="277"/>
        <v>0</v>
      </c>
      <c r="Z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194">
        <f t="shared" si="278"/>
        <v>0</v>
      </c>
      <c r="AD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194">
        <f t="shared" si="279"/>
        <v>0</v>
      </c>
      <c r="AH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194">
        <f t="shared" si="280"/>
        <v>0</v>
      </c>
      <c r="AL533" s="194">
        <f t="shared" si="281"/>
        <v>0</v>
      </c>
    </row>
    <row r="534" spans="2:38" x14ac:dyDescent="0.25">
      <c r="B534" s="192" t="s">
        <v>1461</v>
      </c>
      <c r="C534" s="193" t="s">
        <v>1462</v>
      </c>
      <c r="D53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615000000</v>
      </c>
      <c r="F534" s="194">
        <f t="shared" si="274"/>
        <v>615000000</v>
      </c>
      <c r="G534" s="194"/>
      <c r="H534" s="194">
        <f t="shared" si="275"/>
        <v>615000000</v>
      </c>
      <c r="I534" s="194"/>
      <c r="J534" s="194">
        <f t="shared" si="276"/>
        <v>615000000</v>
      </c>
      <c r="K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615000000</v>
      </c>
      <c r="Q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615000000</v>
      </c>
      <c r="X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194">
        <f t="shared" si="277"/>
        <v>615000000</v>
      </c>
      <c r="Z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194">
        <f t="shared" si="278"/>
        <v>0</v>
      </c>
      <c r="AD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194">
        <f t="shared" si="279"/>
        <v>0</v>
      </c>
      <c r="AH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194">
        <f t="shared" si="280"/>
        <v>0</v>
      </c>
      <c r="AL534" s="194">
        <f t="shared" si="281"/>
        <v>615000000</v>
      </c>
    </row>
    <row r="535" spans="2:38" x14ac:dyDescent="0.25">
      <c r="B535" s="192" t="s">
        <v>1463</v>
      </c>
      <c r="C535" s="193" t="s">
        <v>1464</v>
      </c>
      <c r="D53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194">
        <f t="shared" ref="F535:F560" si="282">D535+E535</f>
        <v>0</v>
      </c>
      <c r="G535" s="194"/>
      <c r="H535" s="194">
        <f t="shared" ref="H535:H560" si="283">F535-G535</f>
        <v>0</v>
      </c>
      <c r="I535" s="194"/>
      <c r="J535" s="194">
        <f t="shared" ref="J535:J560" si="284">F535-I535</f>
        <v>0</v>
      </c>
      <c r="K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194">
        <f t="shared" ref="Y535:Y560" si="285">V535+W535+X535</f>
        <v>0</v>
      </c>
      <c r="Z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194">
        <f t="shared" ref="AC535:AC560" si="286">Z535+AA535+AB535</f>
        <v>0</v>
      </c>
      <c r="AD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194">
        <f t="shared" ref="AG535:AG560" si="287">AD535+AE535+AF535</f>
        <v>0</v>
      </c>
      <c r="AH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194">
        <f t="shared" ref="AK535:AK560" si="288">AH535+AI535+AJ535</f>
        <v>0</v>
      </c>
      <c r="AL535" s="194">
        <f t="shared" ref="AL535:AL560" si="289">Y535+AC535+AG535+AK535</f>
        <v>0</v>
      </c>
    </row>
    <row r="536" spans="2:38" x14ac:dyDescent="0.25">
      <c r="B536" s="192" t="s">
        <v>1465</v>
      </c>
      <c r="C536" s="193" t="s">
        <v>1466</v>
      </c>
      <c r="D53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194">
        <f t="shared" si="282"/>
        <v>0</v>
      </c>
      <c r="G536" s="194"/>
      <c r="H536" s="194">
        <f t="shared" si="283"/>
        <v>0</v>
      </c>
      <c r="I536" s="194"/>
      <c r="J536" s="194">
        <f t="shared" si="284"/>
        <v>0</v>
      </c>
      <c r="K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194">
        <f t="shared" si="285"/>
        <v>0</v>
      </c>
      <c r="Z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194">
        <f t="shared" si="286"/>
        <v>0</v>
      </c>
      <c r="AD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194">
        <f t="shared" si="287"/>
        <v>0</v>
      </c>
      <c r="AH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194">
        <f t="shared" si="288"/>
        <v>0</v>
      </c>
      <c r="AL536" s="194">
        <f t="shared" si="289"/>
        <v>0</v>
      </c>
    </row>
    <row r="537" spans="2:38" x14ac:dyDescent="0.25">
      <c r="B537" s="192" t="s">
        <v>1467</v>
      </c>
      <c r="C537" s="193" t="s">
        <v>1468</v>
      </c>
      <c r="D53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194">
        <f t="shared" si="282"/>
        <v>0</v>
      </c>
      <c r="G537" s="194"/>
      <c r="H537" s="194">
        <f t="shared" si="283"/>
        <v>0</v>
      </c>
      <c r="I537" s="194"/>
      <c r="J537" s="194">
        <f t="shared" si="284"/>
        <v>0</v>
      </c>
      <c r="K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194">
        <f t="shared" si="285"/>
        <v>0</v>
      </c>
      <c r="Z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194">
        <f t="shared" si="286"/>
        <v>0</v>
      </c>
      <c r="AD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194">
        <f t="shared" si="287"/>
        <v>0</v>
      </c>
      <c r="AH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194">
        <f t="shared" si="288"/>
        <v>0</v>
      </c>
      <c r="AL537" s="194">
        <f t="shared" si="289"/>
        <v>0</v>
      </c>
    </row>
    <row r="538" spans="2:38" x14ac:dyDescent="0.25">
      <c r="B538" s="192" t="s">
        <v>1469</v>
      </c>
      <c r="C538" s="193" t="s">
        <v>1470</v>
      </c>
      <c r="D5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194">
        <f t="shared" si="282"/>
        <v>0</v>
      </c>
      <c r="G538" s="194"/>
      <c r="H538" s="194">
        <f t="shared" si="283"/>
        <v>0</v>
      </c>
      <c r="I538" s="194"/>
      <c r="J538" s="194">
        <f t="shared" si="284"/>
        <v>0</v>
      </c>
      <c r="K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194">
        <f t="shared" si="285"/>
        <v>0</v>
      </c>
      <c r="Z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194">
        <f t="shared" si="286"/>
        <v>0</v>
      </c>
      <c r="AD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194">
        <f t="shared" si="287"/>
        <v>0</v>
      </c>
      <c r="AH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194">
        <f t="shared" si="288"/>
        <v>0</v>
      </c>
      <c r="AL538" s="194">
        <f t="shared" si="289"/>
        <v>0</v>
      </c>
    </row>
    <row r="539" spans="2:38" x14ac:dyDescent="0.25">
      <c r="B539" s="192" t="s">
        <v>1471</v>
      </c>
      <c r="C539" s="193" t="s">
        <v>1472</v>
      </c>
      <c r="D5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194">
        <f t="shared" si="282"/>
        <v>0</v>
      </c>
      <c r="G539" s="194"/>
      <c r="H539" s="194">
        <f t="shared" si="283"/>
        <v>0</v>
      </c>
      <c r="I539" s="194"/>
      <c r="J539" s="194">
        <f t="shared" si="284"/>
        <v>0</v>
      </c>
      <c r="K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194">
        <f t="shared" si="285"/>
        <v>0</v>
      </c>
      <c r="Z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194">
        <f t="shared" si="286"/>
        <v>0</v>
      </c>
      <c r="AD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194">
        <f t="shared" si="287"/>
        <v>0</v>
      </c>
      <c r="AH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194">
        <f t="shared" si="288"/>
        <v>0</v>
      </c>
      <c r="AL539" s="194">
        <f t="shared" si="289"/>
        <v>0</v>
      </c>
    </row>
    <row r="540" spans="2:38" x14ac:dyDescent="0.25">
      <c r="B540" s="192" t="s">
        <v>1473</v>
      </c>
      <c r="C540" s="193" t="s">
        <v>1474</v>
      </c>
      <c r="D5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194">
        <f t="shared" si="282"/>
        <v>0</v>
      </c>
      <c r="G540" s="194"/>
      <c r="H540" s="194">
        <f t="shared" si="283"/>
        <v>0</v>
      </c>
      <c r="I540" s="194"/>
      <c r="J540" s="194">
        <f t="shared" si="284"/>
        <v>0</v>
      </c>
      <c r="K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194">
        <f t="shared" si="285"/>
        <v>0</v>
      </c>
      <c r="Z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194">
        <f t="shared" si="286"/>
        <v>0</v>
      </c>
      <c r="AD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194">
        <f t="shared" si="287"/>
        <v>0</v>
      </c>
      <c r="AH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194">
        <f t="shared" si="288"/>
        <v>0</v>
      </c>
      <c r="AL540" s="194">
        <f t="shared" si="289"/>
        <v>0</v>
      </c>
    </row>
    <row r="541" spans="2:38" x14ac:dyDescent="0.25">
      <c r="B541" s="192" t="s">
        <v>1475</v>
      </c>
      <c r="C541" s="193" t="s">
        <v>1476</v>
      </c>
      <c r="D5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194">
        <f t="shared" si="282"/>
        <v>0</v>
      </c>
      <c r="G541" s="194"/>
      <c r="H541" s="194">
        <f t="shared" si="283"/>
        <v>0</v>
      </c>
      <c r="I541" s="194"/>
      <c r="J541" s="194">
        <f t="shared" si="284"/>
        <v>0</v>
      </c>
      <c r="K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194">
        <f t="shared" si="285"/>
        <v>0</v>
      </c>
      <c r="Z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194">
        <f t="shared" si="286"/>
        <v>0</v>
      </c>
      <c r="AD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194">
        <f t="shared" si="287"/>
        <v>0</v>
      </c>
      <c r="AH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194">
        <f t="shared" si="288"/>
        <v>0</v>
      </c>
      <c r="AL541" s="194">
        <f t="shared" si="289"/>
        <v>0</v>
      </c>
    </row>
    <row r="542" spans="2:38" x14ac:dyDescent="0.25">
      <c r="B542" s="189" t="s">
        <v>452</v>
      </c>
      <c r="C542" s="190" t="s">
        <v>317</v>
      </c>
      <c r="D542" s="191">
        <f>D543+D557</f>
        <v>0</v>
      </c>
      <c r="E542" s="191">
        <f>E543+E557</f>
        <v>0</v>
      </c>
      <c r="F542" s="191">
        <f t="shared" si="282"/>
        <v>0</v>
      </c>
      <c r="G542" s="191">
        <f>G543+G557</f>
        <v>0</v>
      </c>
      <c r="H542" s="191">
        <f t="shared" si="283"/>
        <v>0</v>
      </c>
      <c r="I542" s="191">
        <f>I543+I557</f>
        <v>0</v>
      </c>
      <c r="J542" s="191">
        <f t="shared" si="284"/>
        <v>0</v>
      </c>
      <c r="K542" s="191">
        <f t="shared" ref="K542:AJ542" si="290">K543+K557</f>
        <v>0</v>
      </c>
      <c r="L542" s="191">
        <f t="shared" si="290"/>
        <v>0</v>
      </c>
      <c r="M542" s="191">
        <f t="shared" si="290"/>
        <v>0</v>
      </c>
      <c r="N542" s="191">
        <f t="shared" si="290"/>
        <v>0</v>
      </c>
      <c r="O542" s="191">
        <f t="shared" si="290"/>
        <v>0</v>
      </c>
      <c r="P542" s="191">
        <f t="shared" si="290"/>
        <v>0</v>
      </c>
      <c r="Q542" s="191">
        <f t="shared" si="290"/>
        <v>0</v>
      </c>
      <c r="R542" s="191">
        <f t="shared" si="290"/>
        <v>0</v>
      </c>
      <c r="S542" s="191">
        <f t="shared" si="290"/>
        <v>0</v>
      </c>
      <c r="T542" s="191">
        <f t="shared" si="290"/>
        <v>0</v>
      </c>
      <c r="U542" s="191">
        <f t="shared" si="290"/>
        <v>0</v>
      </c>
      <c r="V542" s="191">
        <f t="shared" si="290"/>
        <v>0</v>
      </c>
      <c r="W542" s="191">
        <f t="shared" si="290"/>
        <v>0</v>
      </c>
      <c r="X542" s="191">
        <f t="shared" si="290"/>
        <v>0</v>
      </c>
      <c r="Y542" s="191">
        <f t="shared" si="285"/>
        <v>0</v>
      </c>
      <c r="Z542" s="191">
        <f t="shared" si="290"/>
        <v>0</v>
      </c>
      <c r="AA542" s="191">
        <f t="shared" si="290"/>
        <v>0</v>
      </c>
      <c r="AB542" s="191">
        <f t="shared" si="290"/>
        <v>0</v>
      </c>
      <c r="AC542" s="191">
        <f t="shared" si="286"/>
        <v>0</v>
      </c>
      <c r="AD542" s="191">
        <f t="shared" si="290"/>
        <v>0</v>
      </c>
      <c r="AE542" s="191">
        <f t="shared" si="290"/>
        <v>0</v>
      </c>
      <c r="AF542" s="191">
        <f t="shared" si="290"/>
        <v>0</v>
      </c>
      <c r="AG542" s="191">
        <f t="shared" si="287"/>
        <v>0</v>
      </c>
      <c r="AH542" s="191">
        <f t="shared" si="290"/>
        <v>0</v>
      </c>
      <c r="AI542" s="191">
        <f t="shared" si="290"/>
        <v>0</v>
      </c>
      <c r="AJ542" s="191">
        <f t="shared" si="290"/>
        <v>0</v>
      </c>
      <c r="AK542" s="191">
        <f t="shared" si="288"/>
        <v>0</v>
      </c>
      <c r="AL542" s="191">
        <f t="shared" si="289"/>
        <v>0</v>
      </c>
    </row>
    <row r="543" spans="2:38" x14ac:dyDescent="0.25">
      <c r="B543" s="201" t="s">
        <v>453</v>
      </c>
      <c r="C543" s="202" t="s">
        <v>318</v>
      </c>
      <c r="D543" s="203">
        <f>SUM(D544:D556)</f>
        <v>0</v>
      </c>
      <c r="E543" s="203">
        <f>SUM(E544:E556)</f>
        <v>0</v>
      </c>
      <c r="F543" s="203">
        <f t="shared" si="282"/>
        <v>0</v>
      </c>
      <c r="G543" s="203">
        <f>SUM(G544:G556)</f>
        <v>0</v>
      </c>
      <c r="H543" s="203">
        <f t="shared" si="283"/>
        <v>0</v>
      </c>
      <c r="I543" s="203">
        <f>SUM(I544:I556)</f>
        <v>0</v>
      </c>
      <c r="J543" s="203">
        <f t="shared" si="284"/>
        <v>0</v>
      </c>
      <c r="K543" s="203">
        <f t="shared" ref="K543:AJ543" si="291">SUM(K544:K556)</f>
        <v>0</v>
      </c>
      <c r="L543" s="203">
        <f t="shared" si="291"/>
        <v>0</v>
      </c>
      <c r="M543" s="203">
        <f t="shared" si="291"/>
        <v>0</v>
      </c>
      <c r="N543" s="203">
        <f t="shared" si="291"/>
        <v>0</v>
      </c>
      <c r="O543" s="203">
        <f t="shared" si="291"/>
        <v>0</v>
      </c>
      <c r="P543" s="203">
        <f t="shared" si="291"/>
        <v>0</v>
      </c>
      <c r="Q543" s="203">
        <f t="shared" si="291"/>
        <v>0</v>
      </c>
      <c r="R543" s="203">
        <f t="shared" si="291"/>
        <v>0</v>
      </c>
      <c r="S543" s="203">
        <f t="shared" si="291"/>
        <v>0</v>
      </c>
      <c r="T543" s="203">
        <f t="shared" si="291"/>
        <v>0</v>
      </c>
      <c r="U543" s="203">
        <f t="shared" si="291"/>
        <v>0</v>
      </c>
      <c r="V543" s="203">
        <f t="shared" si="291"/>
        <v>0</v>
      </c>
      <c r="W543" s="203">
        <f t="shared" si="291"/>
        <v>0</v>
      </c>
      <c r="X543" s="203">
        <f t="shared" si="291"/>
        <v>0</v>
      </c>
      <c r="Y543" s="203">
        <f t="shared" si="285"/>
        <v>0</v>
      </c>
      <c r="Z543" s="203">
        <f t="shared" si="291"/>
        <v>0</v>
      </c>
      <c r="AA543" s="203">
        <f t="shared" si="291"/>
        <v>0</v>
      </c>
      <c r="AB543" s="203">
        <f t="shared" si="291"/>
        <v>0</v>
      </c>
      <c r="AC543" s="203">
        <f t="shared" si="286"/>
        <v>0</v>
      </c>
      <c r="AD543" s="203">
        <f t="shared" si="291"/>
        <v>0</v>
      </c>
      <c r="AE543" s="203">
        <f t="shared" si="291"/>
        <v>0</v>
      </c>
      <c r="AF543" s="203">
        <f t="shared" si="291"/>
        <v>0</v>
      </c>
      <c r="AG543" s="203">
        <f t="shared" si="287"/>
        <v>0</v>
      </c>
      <c r="AH543" s="203">
        <f t="shared" si="291"/>
        <v>0</v>
      </c>
      <c r="AI543" s="203">
        <f t="shared" si="291"/>
        <v>0</v>
      </c>
      <c r="AJ543" s="203">
        <f t="shared" si="291"/>
        <v>0</v>
      </c>
      <c r="AK543" s="203">
        <f t="shared" si="288"/>
        <v>0</v>
      </c>
      <c r="AL543" s="203">
        <f t="shared" si="289"/>
        <v>0</v>
      </c>
    </row>
    <row r="544" spans="2:38" x14ac:dyDescent="0.25">
      <c r="B544" s="192" t="s">
        <v>454</v>
      </c>
      <c r="C544" s="193" t="s">
        <v>319</v>
      </c>
      <c r="D5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194">
        <f t="shared" si="282"/>
        <v>0</v>
      </c>
      <c r="G544" s="194"/>
      <c r="H544" s="194">
        <f t="shared" si="283"/>
        <v>0</v>
      </c>
      <c r="I544" s="194"/>
      <c r="J544" s="194">
        <f t="shared" si="284"/>
        <v>0</v>
      </c>
      <c r="K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194">
        <f t="shared" si="285"/>
        <v>0</v>
      </c>
      <c r="Z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194">
        <f t="shared" si="286"/>
        <v>0</v>
      </c>
      <c r="AD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194">
        <f t="shared" si="287"/>
        <v>0</v>
      </c>
      <c r="AH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194">
        <f t="shared" si="288"/>
        <v>0</v>
      </c>
      <c r="AL544" s="194">
        <f t="shared" si="289"/>
        <v>0</v>
      </c>
    </row>
    <row r="545" spans="2:38" x14ac:dyDescent="0.25">
      <c r="B545" s="192" t="s">
        <v>1477</v>
      </c>
      <c r="C545" s="193" t="s">
        <v>1478</v>
      </c>
      <c r="D5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194">
        <f t="shared" si="282"/>
        <v>0</v>
      </c>
      <c r="G545" s="194"/>
      <c r="H545" s="194">
        <f t="shared" si="283"/>
        <v>0</v>
      </c>
      <c r="I545" s="194"/>
      <c r="J545" s="194">
        <f t="shared" si="284"/>
        <v>0</v>
      </c>
      <c r="K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194">
        <f t="shared" si="285"/>
        <v>0</v>
      </c>
      <c r="Z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194">
        <f t="shared" si="286"/>
        <v>0</v>
      </c>
      <c r="AD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194">
        <f t="shared" si="287"/>
        <v>0</v>
      </c>
      <c r="AH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194">
        <f t="shared" si="288"/>
        <v>0</v>
      </c>
      <c r="AL545" s="194">
        <f t="shared" si="289"/>
        <v>0</v>
      </c>
    </row>
    <row r="546" spans="2:38" x14ac:dyDescent="0.25">
      <c r="B546" s="192" t="s">
        <v>1479</v>
      </c>
      <c r="C546" s="193" t="s">
        <v>1480</v>
      </c>
      <c r="D54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194">
        <f t="shared" si="282"/>
        <v>0</v>
      </c>
      <c r="G546" s="194"/>
      <c r="H546" s="194">
        <f t="shared" si="283"/>
        <v>0</v>
      </c>
      <c r="I546" s="194"/>
      <c r="J546" s="194">
        <f t="shared" si="284"/>
        <v>0</v>
      </c>
      <c r="K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194">
        <f t="shared" si="285"/>
        <v>0</v>
      </c>
      <c r="Z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194">
        <f t="shared" si="286"/>
        <v>0</v>
      </c>
      <c r="AD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194">
        <f t="shared" si="287"/>
        <v>0</v>
      </c>
      <c r="AH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194">
        <f t="shared" si="288"/>
        <v>0</v>
      </c>
      <c r="AL546" s="194">
        <f t="shared" si="289"/>
        <v>0</v>
      </c>
    </row>
    <row r="547" spans="2:38" x14ac:dyDescent="0.25">
      <c r="B547" s="192" t="s">
        <v>1481</v>
      </c>
      <c r="C547" s="193" t="s">
        <v>1482</v>
      </c>
      <c r="D54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194">
        <f t="shared" si="282"/>
        <v>0</v>
      </c>
      <c r="G547" s="194"/>
      <c r="H547" s="194">
        <f t="shared" si="283"/>
        <v>0</v>
      </c>
      <c r="I547" s="194"/>
      <c r="J547" s="194">
        <f t="shared" si="284"/>
        <v>0</v>
      </c>
      <c r="K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194">
        <f t="shared" si="285"/>
        <v>0</v>
      </c>
      <c r="Z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194">
        <f t="shared" si="286"/>
        <v>0</v>
      </c>
      <c r="AD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194">
        <f t="shared" si="287"/>
        <v>0</v>
      </c>
      <c r="AH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194">
        <f t="shared" si="288"/>
        <v>0</v>
      </c>
      <c r="AL547" s="194">
        <f t="shared" si="289"/>
        <v>0</v>
      </c>
    </row>
    <row r="548" spans="2:38" x14ac:dyDescent="0.25">
      <c r="B548" s="192" t="s">
        <v>1483</v>
      </c>
      <c r="C548" s="193" t="s">
        <v>1484</v>
      </c>
      <c r="D5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194">
        <f t="shared" si="282"/>
        <v>0</v>
      </c>
      <c r="G548" s="194"/>
      <c r="H548" s="194">
        <f t="shared" si="283"/>
        <v>0</v>
      </c>
      <c r="I548" s="194"/>
      <c r="J548" s="194">
        <f t="shared" si="284"/>
        <v>0</v>
      </c>
      <c r="K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194">
        <f t="shared" si="285"/>
        <v>0</v>
      </c>
      <c r="Z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194">
        <f t="shared" si="286"/>
        <v>0</v>
      </c>
      <c r="AD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194">
        <f t="shared" si="287"/>
        <v>0</v>
      </c>
      <c r="AH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194">
        <f t="shared" si="288"/>
        <v>0</v>
      </c>
      <c r="AL548" s="194">
        <f t="shared" si="289"/>
        <v>0</v>
      </c>
    </row>
    <row r="549" spans="2:38" x14ac:dyDescent="0.25">
      <c r="B549" s="192" t="s">
        <v>1485</v>
      </c>
      <c r="C549" s="193" t="s">
        <v>1486</v>
      </c>
      <c r="D5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194">
        <f t="shared" si="282"/>
        <v>0</v>
      </c>
      <c r="G549" s="194"/>
      <c r="H549" s="194">
        <f t="shared" si="283"/>
        <v>0</v>
      </c>
      <c r="I549" s="194"/>
      <c r="J549" s="194">
        <f t="shared" si="284"/>
        <v>0</v>
      </c>
      <c r="K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194">
        <f t="shared" si="285"/>
        <v>0</v>
      </c>
      <c r="Z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194">
        <f t="shared" si="286"/>
        <v>0</v>
      </c>
      <c r="AD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194">
        <f t="shared" si="287"/>
        <v>0</v>
      </c>
      <c r="AH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194">
        <f t="shared" si="288"/>
        <v>0</v>
      </c>
      <c r="AL549" s="194">
        <f t="shared" si="289"/>
        <v>0</v>
      </c>
    </row>
    <row r="550" spans="2:38" x14ac:dyDescent="0.25">
      <c r="B550" s="192" t="s">
        <v>455</v>
      </c>
      <c r="C550" s="193" t="s">
        <v>320</v>
      </c>
      <c r="D55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194">
        <f t="shared" si="282"/>
        <v>0</v>
      </c>
      <c r="G550" s="194"/>
      <c r="H550" s="194">
        <f t="shared" si="283"/>
        <v>0</v>
      </c>
      <c r="I550" s="194"/>
      <c r="J550" s="194">
        <f t="shared" si="284"/>
        <v>0</v>
      </c>
      <c r="K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194">
        <f t="shared" si="285"/>
        <v>0</v>
      </c>
      <c r="Z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194">
        <f t="shared" si="286"/>
        <v>0</v>
      </c>
      <c r="AD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194">
        <f t="shared" si="287"/>
        <v>0</v>
      </c>
      <c r="AH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194">
        <f t="shared" si="288"/>
        <v>0</v>
      </c>
      <c r="AL550" s="194">
        <f t="shared" si="289"/>
        <v>0</v>
      </c>
    </row>
    <row r="551" spans="2:38" x14ac:dyDescent="0.25">
      <c r="B551" s="192" t="s">
        <v>1487</v>
      </c>
      <c r="C551" s="193" t="s">
        <v>1488</v>
      </c>
      <c r="D5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194">
        <f t="shared" si="282"/>
        <v>0</v>
      </c>
      <c r="G551" s="194"/>
      <c r="H551" s="194">
        <f t="shared" si="283"/>
        <v>0</v>
      </c>
      <c r="I551" s="194"/>
      <c r="J551" s="194">
        <f t="shared" si="284"/>
        <v>0</v>
      </c>
      <c r="K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194">
        <f t="shared" si="285"/>
        <v>0</v>
      </c>
      <c r="Z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194">
        <f t="shared" si="286"/>
        <v>0</v>
      </c>
      <c r="AD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194">
        <f t="shared" si="287"/>
        <v>0</v>
      </c>
      <c r="AH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194">
        <f t="shared" si="288"/>
        <v>0</v>
      </c>
      <c r="AL551" s="194">
        <f t="shared" si="289"/>
        <v>0</v>
      </c>
    </row>
    <row r="552" spans="2:38" x14ac:dyDescent="0.25">
      <c r="B552" s="192" t="s">
        <v>1489</v>
      </c>
      <c r="C552" s="193" t="s">
        <v>1490</v>
      </c>
      <c r="D5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194">
        <f t="shared" si="282"/>
        <v>0</v>
      </c>
      <c r="G552" s="194"/>
      <c r="H552" s="194">
        <f t="shared" si="283"/>
        <v>0</v>
      </c>
      <c r="I552" s="194"/>
      <c r="J552" s="194">
        <f t="shared" si="284"/>
        <v>0</v>
      </c>
      <c r="K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194">
        <f t="shared" si="285"/>
        <v>0</v>
      </c>
      <c r="Z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194">
        <f t="shared" si="286"/>
        <v>0</v>
      </c>
      <c r="AD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194">
        <f t="shared" si="287"/>
        <v>0</v>
      </c>
      <c r="AH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194">
        <f t="shared" si="288"/>
        <v>0</v>
      </c>
      <c r="AL552" s="194">
        <f t="shared" si="289"/>
        <v>0</v>
      </c>
    </row>
    <row r="553" spans="2:38" x14ac:dyDescent="0.25">
      <c r="B553" s="192" t="s">
        <v>1491</v>
      </c>
      <c r="C553" s="193" t="s">
        <v>1492</v>
      </c>
      <c r="D5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194">
        <f t="shared" si="282"/>
        <v>0</v>
      </c>
      <c r="G553" s="194"/>
      <c r="H553" s="194">
        <f t="shared" si="283"/>
        <v>0</v>
      </c>
      <c r="I553" s="194"/>
      <c r="J553" s="194">
        <f t="shared" si="284"/>
        <v>0</v>
      </c>
      <c r="K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194">
        <f t="shared" si="285"/>
        <v>0</v>
      </c>
      <c r="Z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194">
        <f t="shared" si="286"/>
        <v>0</v>
      </c>
      <c r="AD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194">
        <f t="shared" si="287"/>
        <v>0</v>
      </c>
      <c r="AH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194">
        <f t="shared" si="288"/>
        <v>0</v>
      </c>
      <c r="AL553" s="194">
        <f t="shared" si="289"/>
        <v>0</v>
      </c>
    </row>
    <row r="554" spans="2:38" x14ac:dyDescent="0.25">
      <c r="B554" s="192" t="s">
        <v>1493</v>
      </c>
      <c r="C554" s="193" t="s">
        <v>1494</v>
      </c>
      <c r="D5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194">
        <f t="shared" si="282"/>
        <v>0</v>
      </c>
      <c r="G554" s="194"/>
      <c r="H554" s="194">
        <f t="shared" si="283"/>
        <v>0</v>
      </c>
      <c r="I554" s="194"/>
      <c r="J554" s="194">
        <f t="shared" si="284"/>
        <v>0</v>
      </c>
      <c r="K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194">
        <f t="shared" si="285"/>
        <v>0</v>
      </c>
      <c r="Z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194">
        <f t="shared" si="286"/>
        <v>0</v>
      </c>
      <c r="AD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194">
        <f t="shared" si="287"/>
        <v>0</v>
      </c>
      <c r="AH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194">
        <f t="shared" si="288"/>
        <v>0</v>
      </c>
      <c r="AL554" s="194">
        <f t="shared" si="289"/>
        <v>0</v>
      </c>
    </row>
    <row r="555" spans="2:38" x14ac:dyDescent="0.25">
      <c r="B555" s="192" t="s">
        <v>1495</v>
      </c>
      <c r="C555" s="193" t="s">
        <v>1496</v>
      </c>
      <c r="D5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194">
        <f t="shared" si="282"/>
        <v>0</v>
      </c>
      <c r="G555" s="194"/>
      <c r="H555" s="194">
        <f t="shared" si="283"/>
        <v>0</v>
      </c>
      <c r="I555" s="194"/>
      <c r="J555" s="194">
        <f t="shared" si="284"/>
        <v>0</v>
      </c>
      <c r="K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194">
        <f t="shared" si="285"/>
        <v>0</v>
      </c>
      <c r="Z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194">
        <f t="shared" si="286"/>
        <v>0</v>
      </c>
      <c r="AD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194">
        <f t="shared" si="287"/>
        <v>0</v>
      </c>
      <c r="AH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194">
        <f t="shared" si="288"/>
        <v>0</v>
      </c>
      <c r="AL555" s="194">
        <f t="shared" si="289"/>
        <v>0</v>
      </c>
    </row>
    <row r="556" spans="2:38" x14ac:dyDescent="0.25">
      <c r="B556" s="192" t="s">
        <v>1497</v>
      </c>
      <c r="C556" s="193" t="s">
        <v>1498</v>
      </c>
      <c r="D5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194">
        <f t="shared" si="282"/>
        <v>0</v>
      </c>
      <c r="G556" s="194"/>
      <c r="H556" s="194">
        <f t="shared" si="283"/>
        <v>0</v>
      </c>
      <c r="I556" s="194"/>
      <c r="J556" s="194">
        <f t="shared" si="284"/>
        <v>0</v>
      </c>
      <c r="K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194">
        <f t="shared" si="285"/>
        <v>0</v>
      </c>
      <c r="Z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194">
        <f t="shared" si="286"/>
        <v>0</v>
      </c>
      <c r="AD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194">
        <f t="shared" si="287"/>
        <v>0</v>
      </c>
      <c r="AH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194">
        <f t="shared" si="288"/>
        <v>0</v>
      </c>
      <c r="AL556" s="194">
        <f t="shared" si="289"/>
        <v>0</v>
      </c>
    </row>
    <row r="557" spans="2:38" x14ac:dyDescent="0.25">
      <c r="B557" s="201" t="s">
        <v>456</v>
      </c>
      <c r="C557" s="202" t="s">
        <v>321</v>
      </c>
      <c r="D557" s="203">
        <f>D558</f>
        <v>0</v>
      </c>
      <c r="E557" s="203">
        <f>E558</f>
        <v>0</v>
      </c>
      <c r="F557" s="203">
        <f t="shared" si="282"/>
        <v>0</v>
      </c>
      <c r="G557" s="203">
        <f>G558</f>
        <v>0</v>
      </c>
      <c r="H557" s="203">
        <f t="shared" si="283"/>
        <v>0</v>
      </c>
      <c r="I557" s="203">
        <f>I558</f>
        <v>0</v>
      </c>
      <c r="J557" s="203">
        <f t="shared" si="284"/>
        <v>0</v>
      </c>
      <c r="K557" s="203">
        <f t="shared" ref="K557:AJ557" si="292">K558</f>
        <v>0</v>
      </c>
      <c r="L557" s="203">
        <f t="shared" si="292"/>
        <v>0</v>
      </c>
      <c r="M557" s="203">
        <f t="shared" si="292"/>
        <v>0</v>
      </c>
      <c r="N557" s="203">
        <f t="shared" si="292"/>
        <v>0</v>
      </c>
      <c r="O557" s="203">
        <f t="shared" si="292"/>
        <v>0</v>
      </c>
      <c r="P557" s="203">
        <f t="shared" si="292"/>
        <v>0</v>
      </c>
      <c r="Q557" s="203">
        <f t="shared" si="292"/>
        <v>0</v>
      </c>
      <c r="R557" s="203">
        <f t="shared" si="292"/>
        <v>0</v>
      </c>
      <c r="S557" s="203">
        <f t="shared" si="292"/>
        <v>0</v>
      </c>
      <c r="T557" s="203">
        <f t="shared" si="292"/>
        <v>0</v>
      </c>
      <c r="U557" s="203">
        <f t="shared" si="292"/>
        <v>0</v>
      </c>
      <c r="V557" s="203">
        <f t="shared" si="292"/>
        <v>0</v>
      </c>
      <c r="W557" s="203">
        <f t="shared" si="292"/>
        <v>0</v>
      </c>
      <c r="X557" s="203">
        <f t="shared" si="292"/>
        <v>0</v>
      </c>
      <c r="Y557" s="203">
        <f t="shared" si="285"/>
        <v>0</v>
      </c>
      <c r="Z557" s="203">
        <f t="shared" si="292"/>
        <v>0</v>
      </c>
      <c r="AA557" s="203">
        <f t="shared" si="292"/>
        <v>0</v>
      </c>
      <c r="AB557" s="203">
        <f t="shared" si="292"/>
        <v>0</v>
      </c>
      <c r="AC557" s="203">
        <f t="shared" si="286"/>
        <v>0</v>
      </c>
      <c r="AD557" s="203">
        <f t="shared" si="292"/>
        <v>0</v>
      </c>
      <c r="AE557" s="203">
        <f t="shared" si="292"/>
        <v>0</v>
      </c>
      <c r="AF557" s="203">
        <f t="shared" si="292"/>
        <v>0</v>
      </c>
      <c r="AG557" s="203">
        <f t="shared" si="287"/>
        <v>0</v>
      </c>
      <c r="AH557" s="203">
        <f t="shared" si="292"/>
        <v>0</v>
      </c>
      <c r="AI557" s="203">
        <f t="shared" si="292"/>
        <v>0</v>
      </c>
      <c r="AJ557" s="203">
        <f t="shared" si="292"/>
        <v>0</v>
      </c>
      <c r="AK557" s="203">
        <f t="shared" si="288"/>
        <v>0</v>
      </c>
      <c r="AL557" s="203">
        <f t="shared" si="289"/>
        <v>0</v>
      </c>
    </row>
    <row r="558" spans="2:38" x14ac:dyDescent="0.25">
      <c r="B558" s="192" t="s">
        <v>457</v>
      </c>
      <c r="C558" s="193" t="s">
        <v>322</v>
      </c>
      <c r="D5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194">
        <f t="shared" si="282"/>
        <v>0</v>
      </c>
      <c r="G558" s="194"/>
      <c r="H558" s="194">
        <f t="shared" si="283"/>
        <v>0</v>
      </c>
      <c r="I558" s="194"/>
      <c r="J558" s="194">
        <f t="shared" si="284"/>
        <v>0</v>
      </c>
      <c r="K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194">
        <f t="shared" si="285"/>
        <v>0</v>
      </c>
      <c r="Z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194">
        <f t="shared" si="286"/>
        <v>0</v>
      </c>
      <c r="AD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194">
        <f t="shared" si="287"/>
        <v>0</v>
      </c>
      <c r="AH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194">
        <f t="shared" si="288"/>
        <v>0</v>
      </c>
      <c r="AL558" s="194">
        <f t="shared" si="289"/>
        <v>0</v>
      </c>
    </row>
    <row r="559" spans="2:38" x14ac:dyDescent="0.25">
      <c r="B559" s="189" t="s">
        <v>456</v>
      </c>
      <c r="C559" s="190" t="s">
        <v>321</v>
      </c>
      <c r="D559" s="191">
        <f>D560</f>
        <v>0</v>
      </c>
      <c r="E559" s="191">
        <f>E560</f>
        <v>2500</v>
      </c>
      <c r="F559" s="191">
        <f t="shared" si="282"/>
        <v>2500</v>
      </c>
      <c r="G559" s="191">
        <f>G560</f>
        <v>0</v>
      </c>
      <c r="H559" s="191">
        <f t="shared" si="283"/>
        <v>2500</v>
      </c>
      <c r="I559" s="191">
        <f>I560</f>
        <v>0</v>
      </c>
      <c r="J559" s="191">
        <f t="shared" si="284"/>
        <v>2500</v>
      </c>
      <c r="K559" s="191">
        <f t="shared" ref="K559:AJ559" si="293">K560</f>
        <v>0</v>
      </c>
      <c r="L559" s="191">
        <f t="shared" si="293"/>
        <v>2500</v>
      </c>
      <c r="M559" s="191">
        <f t="shared" si="293"/>
        <v>0</v>
      </c>
      <c r="N559" s="191">
        <f t="shared" si="293"/>
        <v>0</v>
      </c>
      <c r="O559" s="191">
        <f t="shared" si="293"/>
        <v>0</v>
      </c>
      <c r="P559" s="191">
        <f t="shared" si="293"/>
        <v>0</v>
      </c>
      <c r="Q559" s="191">
        <f t="shared" si="293"/>
        <v>0</v>
      </c>
      <c r="R559" s="191">
        <f t="shared" si="293"/>
        <v>0</v>
      </c>
      <c r="S559" s="191">
        <f t="shared" si="293"/>
        <v>0</v>
      </c>
      <c r="T559" s="191">
        <f t="shared" si="293"/>
        <v>0</v>
      </c>
      <c r="U559" s="191">
        <f t="shared" si="293"/>
        <v>0</v>
      </c>
      <c r="V559" s="191">
        <f t="shared" si="293"/>
        <v>0</v>
      </c>
      <c r="W559" s="191">
        <f t="shared" si="293"/>
        <v>0</v>
      </c>
      <c r="X559" s="191">
        <f t="shared" si="293"/>
        <v>2500</v>
      </c>
      <c r="Y559" s="191">
        <f t="shared" si="285"/>
        <v>2500</v>
      </c>
      <c r="Z559" s="191">
        <f t="shared" si="293"/>
        <v>0</v>
      </c>
      <c r="AA559" s="191">
        <f t="shared" si="293"/>
        <v>0</v>
      </c>
      <c r="AB559" s="191">
        <f t="shared" si="293"/>
        <v>0</v>
      </c>
      <c r="AC559" s="191">
        <f t="shared" si="286"/>
        <v>0</v>
      </c>
      <c r="AD559" s="191">
        <f t="shared" si="293"/>
        <v>0</v>
      </c>
      <c r="AE559" s="191">
        <f t="shared" si="293"/>
        <v>0</v>
      </c>
      <c r="AF559" s="191">
        <f t="shared" si="293"/>
        <v>0</v>
      </c>
      <c r="AG559" s="191">
        <f t="shared" si="287"/>
        <v>0</v>
      </c>
      <c r="AH559" s="191">
        <f t="shared" si="293"/>
        <v>0</v>
      </c>
      <c r="AI559" s="191">
        <f t="shared" si="293"/>
        <v>0</v>
      </c>
      <c r="AJ559" s="191">
        <f t="shared" si="293"/>
        <v>0</v>
      </c>
      <c r="AK559" s="191">
        <f t="shared" si="288"/>
        <v>0</v>
      </c>
      <c r="AL559" s="191">
        <f t="shared" si="289"/>
        <v>2500</v>
      </c>
    </row>
    <row r="560" spans="2:38" x14ac:dyDescent="0.25">
      <c r="B560" s="201" t="s">
        <v>457</v>
      </c>
      <c r="C560" s="202" t="s">
        <v>322</v>
      </c>
      <c r="D560" s="203">
        <f>SUM(D561:D577)</f>
        <v>0</v>
      </c>
      <c r="E560" s="203">
        <f>SUM(E561:E577)</f>
        <v>2500</v>
      </c>
      <c r="F560" s="203">
        <f t="shared" si="282"/>
        <v>2500</v>
      </c>
      <c r="G560" s="203">
        <f>SUM(G561:G577)</f>
        <v>0</v>
      </c>
      <c r="H560" s="203">
        <f t="shared" si="283"/>
        <v>2500</v>
      </c>
      <c r="I560" s="203">
        <f>SUM(I561:I577)</f>
        <v>0</v>
      </c>
      <c r="J560" s="203">
        <f t="shared" si="284"/>
        <v>2500</v>
      </c>
      <c r="K560" s="203">
        <f t="shared" ref="K560:X560" si="294">SUM(K561:K577)</f>
        <v>0</v>
      </c>
      <c r="L560" s="203">
        <f t="shared" si="294"/>
        <v>2500</v>
      </c>
      <c r="M560" s="203">
        <f t="shared" si="294"/>
        <v>0</v>
      </c>
      <c r="N560" s="203">
        <f t="shared" si="294"/>
        <v>0</v>
      </c>
      <c r="O560" s="203">
        <f t="shared" si="294"/>
        <v>0</v>
      </c>
      <c r="P560" s="203">
        <f t="shared" si="294"/>
        <v>0</v>
      </c>
      <c r="Q560" s="203">
        <f t="shared" si="294"/>
        <v>0</v>
      </c>
      <c r="R560" s="203">
        <f t="shared" si="294"/>
        <v>0</v>
      </c>
      <c r="S560" s="203">
        <f t="shared" si="294"/>
        <v>0</v>
      </c>
      <c r="T560" s="203">
        <f t="shared" si="294"/>
        <v>0</v>
      </c>
      <c r="U560" s="203">
        <f t="shared" si="294"/>
        <v>0</v>
      </c>
      <c r="V560" s="203">
        <f t="shared" si="294"/>
        <v>0</v>
      </c>
      <c r="W560" s="203">
        <f t="shared" si="294"/>
        <v>0</v>
      </c>
      <c r="X560" s="203">
        <f t="shared" si="294"/>
        <v>2500</v>
      </c>
      <c r="Y560" s="203">
        <f t="shared" si="285"/>
        <v>2500</v>
      </c>
      <c r="Z560" s="203">
        <f>SUM(Z561:Z577)</f>
        <v>0</v>
      </c>
      <c r="AA560" s="203">
        <f>SUM(AA561:AA577)</f>
        <v>0</v>
      </c>
      <c r="AB560" s="203">
        <f>SUM(AB561:AB577)</f>
        <v>0</v>
      </c>
      <c r="AC560" s="203">
        <f t="shared" si="286"/>
        <v>0</v>
      </c>
      <c r="AD560" s="203">
        <f>SUM(AD561:AD577)</f>
        <v>0</v>
      </c>
      <c r="AE560" s="203">
        <f>SUM(AE561:AE577)</f>
        <v>0</v>
      </c>
      <c r="AF560" s="203">
        <f>SUM(AF561:AF577)</f>
        <v>0</v>
      </c>
      <c r="AG560" s="203">
        <f t="shared" si="287"/>
        <v>0</v>
      </c>
      <c r="AH560" s="203">
        <f>SUM(AH561:AH577)</f>
        <v>0</v>
      </c>
      <c r="AI560" s="203">
        <f>SUM(AI561:AI577)</f>
        <v>0</v>
      </c>
      <c r="AJ560" s="203">
        <f>SUM(AJ561:AJ577)</f>
        <v>0</v>
      </c>
      <c r="AK560" s="203">
        <f t="shared" si="288"/>
        <v>0</v>
      </c>
      <c r="AL560" s="203">
        <f t="shared" si="289"/>
        <v>2500</v>
      </c>
    </row>
    <row r="561" spans="2:38" x14ac:dyDescent="0.25">
      <c r="B561" s="192" t="s">
        <v>458</v>
      </c>
      <c r="C561" s="193" t="s">
        <v>323</v>
      </c>
      <c r="D5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194">
        <f t="shared" ref="F561:F583" si="295">D561+E561</f>
        <v>0</v>
      </c>
      <c r="G561" s="194"/>
      <c r="H561" s="194">
        <f t="shared" ref="H561:H583" si="296">F561-G561</f>
        <v>0</v>
      </c>
      <c r="I561" s="194"/>
      <c r="J561" s="194">
        <f t="shared" ref="J561:J583" si="297">F561-I561</f>
        <v>0</v>
      </c>
      <c r="K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194">
        <f t="shared" ref="Y561:Y583" si="298">V561+W561+X561</f>
        <v>0</v>
      </c>
      <c r="Z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194">
        <f t="shared" ref="AC561:AC583" si="299">Z561+AA561+AB561</f>
        <v>0</v>
      </c>
      <c r="AD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194">
        <f t="shared" ref="AG561:AG583" si="300">AD561+AE561+AF561</f>
        <v>0</v>
      </c>
      <c r="AH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194">
        <f t="shared" ref="AK561:AK583" si="301">AH561+AI561+AJ561</f>
        <v>0</v>
      </c>
      <c r="AL561" s="194">
        <f t="shared" ref="AL561:AL583" si="302">Y561+AC561+AG561+AK561</f>
        <v>0</v>
      </c>
    </row>
    <row r="562" spans="2:38" x14ac:dyDescent="0.25">
      <c r="B562" s="192" t="s">
        <v>1499</v>
      </c>
      <c r="C562" s="193" t="s">
        <v>1500</v>
      </c>
      <c r="D5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194">
        <f t="shared" si="295"/>
        <v>0</v>
      </c>
      <c r="G562" s="194"/>
      <c r="H562" s="194">
        <f t="shared" si="296"/>
        <v>0</v>
      </c>
      <c r="I562" s="194"/>
      <c r="J562" s="194">
        <f t="shared" si="297"/>
        <v>0</v>
      </c>
      <c r="K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194">
        <f t="shared" si="298"/>
        <v>0</v>
      </c>
      <c r="Z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194">
        <f t="shared" si="299"/>
        <v>0</v>
      </c>
      <c r="AD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194">
        <f t="shared" si="300"/>
        <v>0</v>
      </c>
      <c r="AH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194">
        <f t="shared" si="301"/>
        <v>0</v>
      </c>
      <c r="AL562" s="194">
        <f t="shared" si="302"/>
        <v>0</v>
      </c>
    </row>
    <row r="563" spans="2:38" x14ac:dyDescent="0.25">
      <c r="B563" s="192" t="s">
        <v>1501</v>
      </c>
      <c r="C563" s="193" t="s">
        <v>717</v>
      </c>
      <c r="D5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194">
        <f t="shared" si="295"/>
        <v>0</v>
      </c>
      <c r="G563" s="194"/>
      <c r="H563" s="194">
        <f t="shared" si="296"/>
        <v>0</v>
      </c>
      <c r="I563" s="194"/>
      <c r="J563" s="194">
        <f t="shared" si="297"/>
        <v>0</v>
      </c>
      <c r="K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194">
        <f t="shared" si="298"/>
        <v>0</v>
      </c>
      <c r="Z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194">
        <f t="shared" si="299"/>
        <v>0</v>
      </c>
      <c r="AD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194">
        <f t="shared" si="300"/>
        <v>0</v>
      </c>
      <c r="AH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194">
        <f t="shared" si="301"/>
        <v>0</v>
      </c>
      <c r="AL563" s="194">
        <f t="shared" si="302"/>
        <v>0</v>
      </c>
    </row>
    <row r="564" spans="2:38" x14ac:dyDescent="0.25">
      <c r="B564" s="192" t="s">
        <v>1502</v>
      </c>
      <c r="C564" s="193" t="s">
        <v>1503</v>
      </c>
      <c r="D5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194">
        <f t="shared" si="295"/>
        <v>0</v>
      </c>
      <c r="G564" s="194"/>
      <c r="H564" s="194">
        <f t="shared" si="296"/>
        <v>0</v>
      </c>
      <c r="I564" s="194"/>
      <c r="J564" s="194">
        <f t="shared" si="297"/>
        <v>0</v>
      </c>
      <c r="K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194">
        <f t="shared" si="298"/>
        <v>0</v>
      </c>
      <c r="Z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194">
        <f t="shared" si="299"/>
        <v>0</v>
      </c>
      <c r="AD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194">
        <f t="shared" si="300"/>
        <v>0</v>
      </c>
      <c r="AH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194">
        <f t="shared" si="301"/>
        <v>0</v>
      </c>
      <c r="AL564" s="194">
        <f t="shared" si="302"/>
        <v>0</v>
      </c>
    </row>
    <row r="565" spans="2:38" x14ac:dyDescent="0.25">
      <c r="B565" s="192" t="s">
        <v>1504</v>
      </c>
      <c r="C565" s="193" t="s">
        <v>1505</v>
      </c>
      <c r="D56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194">
        <f t="shared" si="295"/>
        <v>0</v>
      </c>
      <c r="G565" s="194"/>
      <c r="H565" s="194">
        <f t="shared" si="296"/>
        <v>0</v>
      </c>
      <c r="I565" s="194"/>
      <c r="J565" s="194">
        <f t="shared" si="297"/>
        <v>0</v>
      </c>
      <c r="K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194">
        <f t="shared" si="298"/>
        <v>0</v>
      </c>
      <c r="Z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194">
        <f t="shared" si="299"/>
        <v>0</v>
      </c>
      <c r="AD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194">
        <f t="shared" si="300"/>
        <v>0</v>
      </c>
      <c r="AH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194">
        <f t="shared" si="301"/>
        <v>0</v>
      </c>
      <c r="AL565" s="194">
        <f t="shared" si="302"/>
        <v>0</v>
      </c>
    </row>
    <row r="566" spans="2:38" x14ac:dyDescent="0.25">
      <c r="B566" s="192" t="s">
        <v>1506</v>
      </c>
      <c r="C566" s="193" t="s">
        <v>1507</v>
      </c>
      <c r="D56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194">
        <f t="shared" si="295"/>
        <v>0</v>
      </c>
      <c r="G566" s="194"/>
      <c r="H566" s="194">
        <f t="shared" si="296"/>
        <v>0</v>
      </c>
      <c r="I566" s="194"/>
      <c r="J566" s="194">
        <f t="shared" si="297"/>
        <v>0</v>
      </c>
      <c r="K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194">
        <f t="shared" si="298"/>
        <v>0</v>
      </c>
      <c r="Z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194">
        <f t="shared" si="299"/>
        <v>0</v>
      </c>
      <c r="AD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194">
        <f t="shared" si="300"/>
        <v>0</v>
      </c>
      <c r="AH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194">
        <f t="shared" si="301"/>
        <v>0</v>
      </c>
      <c r="AL566" s="194">
        <f t="shared" si="302"/>
        <v>0</v>
      </c>
    </row>
    <row r="567" spans="2:38" x14ac:dyDescent="0.25">
      <c r="B567" s="192" t="s">
        <v>1508</v>
      </c>
      <c r="C567" s="193" t="s">
        <v>1509</v>
      </c>
      <c r="D56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194">
        <f t="shared" si="295"/>
        <v>0</v>
      </c>
      <c r="G567" s="194"/>
      <c r="H567" s="194">
        <f t="shared" si="296"/>
        <v>0</v>
      </c>
      <c r="I567" s="194"/>
      <c r="J567" s="194">
        <f t="shared" si="297"/>
        <v>0</v>
      </c>
      <c r="K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194">
        <f t="shared" si="298"/>
        <v>0</v>
      </c>
      <c r="Z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194">
        <f t="shared" si="299"/>
        <v>0</v>
      </c>
      <c r="AD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194">
        <f t="shared" si="300"/>
        <v>0</v>
      </c>
      <c r="AH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194">
        <f t="shared" si="301"/>
        <v>0</v>
      </c>
      <c r="AL567" s="194">
        <f t="shared" si="302"/>
        <v>0</v>
      </c>
    </row>
    <row r="568" spans="2:38" x14ac:dyDescent="0.25">
      <c r="B568" s="192" t="s">
        <v>1510</v>
      </c>
      <c r="C568" s="193" t="s">
        <v>1511</v>
      </c>
      <c r="D5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194">
        <f t="shared" si="295"/>
        <v>0</v>
      </c>
      <c r="G568" s="194"/>
      <c r="H568" s="194">
        <f t="shared" si="296"/>
        <v>0</v>
      </c>
      <c r="I568" s="194"/>
      <c r="J568" s="194">
        <f t="shared" si="297"/>
        <v>0</v>
      </c>
      <c r="K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194">
        <f t="shared" si="298"/>
        <v>0</v>
      </c>
      <c r="Z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194">
        <f t="shared" si="299"/>
        <v>0</v>
      </c>
      <c r="AD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194">
        <f t="shared" si="300"/>
        <v>0</v>
      </c>
      <c r="AH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194">
        <f t="shared" si="301"/>
        <v>0</v>
      </c>
      <c r="AL568" s="194">
        <f t="shared" si="302"/>
        <v>0</v>
      </c>
    </row>
    <row r="569" spans="2:38" x14ac:dyDescent="0.25">
      <c r="B569" s="192" t="s">
        <v>1512</v>
      </c>
      <c r="C569" s="193" t="s">
        <v>1513</v>
      </c>
      <c r="D5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194">
        <f t="shared" si="295"/>
        <v>0</v>
      </c>
      <c r="G569" s="194"/>
      <c r="H569" s="194">
        <f t="shared" si="296"/>
        <v>0</v>
      </c>
      <c r="I569" s="194"/>
      <c r="J569" s="194">
        <f t="shared" si="297"/>
        <v>0</v>
      </c>
      <c r="K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194">
        <f t="shared" si="298"/>
        <v>0</v>
      </c>
      <c r="Z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194">
        <f t="shared" si="299"/>
        <v>0</v>
      </c>
      <c r="AD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194">
        <f t="shared" si="300"/>
        <v>0</v>
      </c>
      <c r="AH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194">
        <f t="shared" si="301"/>
        <v>0</v>
      </c>
      <c r="AL569" s="194">
        <f t="shared" si="302"/>
        <v>0</v>
      </c>
    </row>
    <row r="570" spans="2:38" x14ac:dyDescent="0.25">
      <c r="B570" s="192" t="s">
        <v>1514</v>
      </c>
      <c r="C570" s="193" t="s">
        <v>1515</v>
      </c>
      <c r="D5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194">
        <f t="shared" si="295"/>
        <v>0</v>
      </c>
      <c r="G570" s="194"/>
      <c r="H570" s="194">
        <f t="shared" si="296"/>
        <v>0</v>
      </c>
      <c r="I570" s="194"/>
      <c r="J570" s="194">
        <f t="shared" si="297"/>
        <v>0</v>
      </c>
      <c r="K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194">
        <f t="shared" si="298"/>
        <v>0</v>
      </c>
      <c r="Z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194">
        <f t="shared" si="299"/>
        <v>0</v>
      </c>
      <c r="AD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194">
        <f t="shared" si="300"/>
        <v>0</v>
      </c>
      <c r="AH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194">
        <f t="shared" si="301"/>
        <v>0</v>
      </c>
      <c r="AL570" s="194">
        <f t="shared" si="302"/>
        <v>0</v>
      </c>
    </row>
    <row r="571" spans="2:38" x14ac:dyDescent="0.25">
      <c r="B571" s="192" t="s">
        <v>1516</v>
      </c>
      <c r="C571" s="193" t="s">
        <v>1517</v>
      </c>
      <c r="D5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194">
        <f t="shared" si="295"/>
        <v>0</v>
      </c>
      <c r="G571" s="194"/>
      <c r="H571" s="194">
        <f t="shared" si="296"/>
        <v>0</v>
      </c>
      <c r="I571" s="194"/>
      <c r="J571" s="194">
        <f t="shared" si="297"/>
        <v>0</v>
      </c>
      <c r="K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194">
        <f t="shared" si="298"/>
        <v>0</v>
      </c>
      <c r="Z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194">
        <f t="shared" si="299"/>
        <v>0</v>
      </c>
      <c r="AD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194">
        <f t="shared" si="300"/>
        <v>0</v>
      </c>
      <c r="AH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194">
        <f t="shared" si="301"/>
        <v>0</v>
      </c>
      <c r="AL571" s="194">
        <f t="shared" si="302"/>
        <v>0</v>
      </c>
    </row>
    <row r="572" spans="2:38" x14ac:dyDescent="0.25">
      <c r="B572" s="192" t="s">
        <v>1518</v>
      </c>
      <c r="C572" s="193" t="s">
        <v>1519</v>
      </c>
      <c r="D5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194">
        <f t="shared" si="295"/>
        <v>0</v>
      </c>
      <c r="G572" s="194"/>
      <c r="H572" s="194">
        <f t="shared" si="296"/>
        <v>0</v>
      </c>
      <c r="I572" s="194"/>
      <c r="J572" s="194">
        <f t="shared" si="297"/>
        <v>0</v>
      </c>
      <c r="K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194">
        <f t="shared" si="298"/>
        <v>0</v>
      </c>
      <c r="Z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194">
        <f t="shared" si="299"/>
        <v>0</v>
      </c>
      <c r="AD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194">
        <f t="shared" si="300"/>
        <v>0</v>
      </c>
      <c r="AH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194">
        <f t="shared" si="301"/>
        <v>0</v>
      </c>
      <c r="AL572" s="194">
        <f t="shared" si="302"/>
        <v>0</v>
      </c>
    </row>
    <row r="573" spans="2:38" x14ac:dyDescent="0.25">
      <c r="B573" s="192" t="s">
        <v>1520</v>
      </c>
      <c r="C573" s="193" t="s">
        <v>1521</v>
      </c>
      <c r="D57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194">
        <f t="shared" si="295"/>
        <v>0</v>
      </c>
      <c r="G573" s="194"/>
      <c r="H573" s="194">
        <f t="shared" si="296"/>
        <v>0</v>
      </c>
      <c r="I573" s="194"/>
      <c r="J573" s="194">
        <f t="shared" si="297"/>
        <v>0</v>
      </c>
      <c r="K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194">
        <f t="shared" si="298"/>
        <v>0</v>
      </c>
      <c r="Z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194">
        <f t="shared" si="299"/>
        <v>0</v>
      </c>
      <c r="AD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194">
        <f t="shared" si="300"/>
        <v>0</v>
      </c>
      <c r="AH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194">
        <f t="shared" si="301"/>
        <v>0</v>
      </c>
      <c r="AL573" s="194">
        <f t="shared" si="302"/>
        <v>0</v>
      </c>
    </row>
    <row r="574" spans="2:38" x14ac:dyDescent="0.25">
      <c r="B574" s="192" t="s">
        <v>1522</v>
      </c>
      <c r="C574" s="193" t="s">
        <v>1523</v>
      </c>
      <c r="D5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194">
        <f t="shared" si="295"/>
        <v>0</v>
      </c>
      <c r="G574" s="194"/>
      <c r="H574" s="194">
        <f t="shared" si="296"/>
        <v>0</v>
      </c>
      <c r="I574" s="194"/>
      <c r="J574" s="194">
        <f t="shared" si="297"/>
        <v>0</v>
      </c>
      <c r="K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194">
        <f t="shared" si="298"/>
        <v>0</v>
      </c>
      <c r="Z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194">
        <f t="shared" si="299"/>
        <v>0</v>
      </c>
      <c r="AD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194">
        <f t="shared" si="300"/>
        <v>0</v>
      </c>
      <c r="AH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194">
        <f t="shared" si="301"/>
        <v>0</v>
      </c>
      <c r="AL574" s="194">
        <f t="shared" si="302"/>
        <v>0</v>
      </c>
    </row>
    <row r="575" spans="2:38" x14ac:dyDescent="0.25">
      <c r="B575" s="192" t="s">
        <v>1524</v>
      </c>
      <c r="C575" s="193" t="s">
        <v>1525</v>
      </c>
      <c r="D57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194">
        <f t="shared" si="295"/>
        <v>0</v>
      </c>
      <c r="G575" s="194"/>
      <c r="H575" s="194">
        <f t="shared" si="296"/>
        <v>0</v>
      </c>
      <c r="I575" s="194"/>
      <c r="J575" s="194">
        <f t="shared" si="297"/>
        <v>0</v>
      </c>
      <c r="K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194">
        <f t="shared" si="298"/>
        <v>0</v>
      </c>
      <c r="Z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194">
        <f t="shared" si="299"/>
        <v>0</v>
      </c>
      <c r="AD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194">
        <f t="shared" si="300"/>
        <v>0</v>
      </c>
      <c r="AH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194">
        <f t="shared" si="301"/>
        <v>0</v>
      </c>
      <c r="AL575" s="194">
        <f t="shared" si="302"/>
        <v>0</v>
      </c>
    </row>
    <row r="576" spans="2:38" x14ac:dyDescent="0.25">
      <c r="B576" s="192" t="s">
        <v>1526</v>
      </c>
      <c r="C576" s="193" t="s">
        <v>1527</v>
      </c>
      <c r="D5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194">
        <f t="shared" si="295"/>
        <v>0</v>
      </c>
      <c r="G576" s="194"/>
      <c r="H576" s="194">
        <f t="shared" si="296"/>
        <v>0</v>
      </c>
      <c r="I576" s="194"/>
      <c r="J576" s="194">
        <f t="shared" si="297"/>
        <v>0</v>
      </c>
      <c r="K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194">
        <f t="shared" si="298"/>
        <v>0</v>
      </c>
      <c r="Z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194">
        <f t="shared" si="299"/>
        <v>0</v>
      </c>
      <c r="AD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194">
        <f t="shared" si="300"/>
        <v>0</v>
      </c>
      <c r="AH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194">
        <f t="shared" si="301"/>
        <v>0</v>
      </c>
      <c r="AL576" s="194">
        <f t="shared" si="302"/>
        <v>0</v>
      </c>
    </row>
    <row r="577" spans="2:38" x14ac:dyDescent="0.25">
      <c r="B577" s="192" t="s">
        <v>1528</v>
      </c>
      <c r="C577" s="193" t="s">
        <v>1529</v>
      </c>
      <c r="D5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2500</v>
      </c>
      <c r="F577" s="194">
        <f t="shared" si="295"/>
        <v>2500</v>
      </c>
      <c r="G577" s="194"/>
      <c r="H577" s="194">
        <f t="shared" si="296"/>
        <v>2500</v>
      </c>
      <c r="I577" s="194"/>
      <c r="J577" s="194">
        <f t="shared" si="297"/>
        <v>2500</v>
      </c>
      <c r="K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2500</v>
      </c>
      <c r="M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2500</v>
      </c>
      <c r="Y577" s="194">
        <f t="shared" si="298"/>
        <v>2500</v>
      </c>
      <c r="Z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194">
        <f t="shared" si="299"/>
        <v>0</v>
      </c>
      <c r="AD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194">
        <f t="shared" si="300"/>
        <v>0</v>
      </c>
      <c r="AH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194">
        <f t="shared" si="301"/>
        <v>0</v>
      </c>
      <c r="AL577" s="194">
        <f t="shared" si="302"/>
        <v>2500</v>
      </c>
    </row>
    <row r="578" spans="2:38" x14ac:dyDescent="0.25">
      <c r="B578" s="189" t="s">
        <v>1530</v>
      </c>
      <c r="C578" s="190" t="s">
        <v>1531</v>
      </c>
      <c r="D578" s="191">
        <f>SUM(D579:D583)</f>
        <v>900</v>
      </c>
      <c r="E578" s="191">
        <f>SUM(E579:E583)</f>
        <v>0</v>
      </c>
      <c r="F578" s="191">
        <f t="shared" si="295"/>
        <v>900</v>
      </c>
      <c r="G578" s="191">
        <f>SUM(G579:G583)</f>
        <v>0</v>
      </c>
      <c r="H578" s="191">
        <f t="shared" si="296"/>
        <v>900</v>
      </c>
      <c r="I578" s="191">
        <f>SUM(I579:I583)</f>
        <v>0</v>
      </c>
      <c r="J578" s="191">
        <f t="shared" si="297"/>
        <v>900</v>
      </c>
      <c r="K578" s="191">
        <f t="shared" ref="K578:X578" si="303">SUM(K579:K583)</f>
        <v>150</v>
      </c>
      <c r="L578" s="191">
        <f t="shared" si="303"/>
        <v>0</v>
      </c>
      <c r="M578" s="191">
        <f t="shared" si="303"/>
        <v>150</v>
      </c>
      <c r="N578" s="191">
        <f t="shared" si="303"/>
        <v>0</v>
      </c>
      <c r="O578" s="191">
        <f t="shared" si="303"/>
        <v>600</v>
      </c>
      <c r="P578" s="191">
        <f t="shared" si="303"/>
        <v>0</v>
      </c>
      <c r="Q578" s="191">
        <f t="shared" si="303"/>
        <v>0</v>
      </c>
      <c r="R578" s="191">
        <f t="shared" si="303"/>
        <v>0</v>
      </c>
      <c r="S578" s="191">
        <f t="shared" si="303"/>
        <v>0</v>
      </c>
      <c r="T578" s="191">
        <f t="shared" si="303"/>
        <v>0</v>
      </c>
      <c r="U578" s="191">
        <f t="shared" si="303"/>
        <v>0</v>
      </c>
      <c r="V578" s="191">
        <f t="shared" si="303"/>
        <v>0</v>
      </c>
      <c r="W578" s="191">
        <f t="shared" si="303"/>
        <v>0</v>
      </c>
      <c r="X578" s="191">
        <f t="shared" si="303"/>
        <v>0</v>
      </c>
      <c r="Y578" s="191">
        <f t="shared" si="298"/>
        <v>0</v>
      </c>
      <c r="Z578" s="191">
        <f>SUM(Z579:Z583)</f>
        <v>0</v>
      </c>
      <c r="AA578" s="191">
        <f>SUM(AA579:AA583)</f>
        <v>0</v>
      </c>
      <c r="AB578" s="191">
        <f>SUM(AB579:AB583)</f>
        <v>0</v>
      </c>
      <c r="AC578" s="191">
        <f t="shared" si="299"/>
        <v>0</v>
      </c>
      <c r="AD578" s="191">
        <f>SUM(AD579:AD583)</f>
        <v>0</v>
      </c>
      <c r="AE578" s="191">
        <f>SUM(AE579:AE583)</f>
        <v>0</v>
      </c>
      <c r="AF578" s="191">
        <f>SUM(AF579:AF583)</f>
        <v>0</v>
      </c>
      <c r="AG578" s="191">
        <f t="shared" si="300"/>
        <v>0</v>
      </c>
      <c r="AH578" s="191">
        <f>SUM(AH579:AH583)</f>
        <v>0</v>
      </c>
      <c r="AI578" s="191">
        <f>SUM(AI579:AI583)</f>
        <v>0</v>
      </c>
      <c r="AJ578" s="191">
        <f>SUM(AJ579:AJ583)</f>
        <v>0</v>
      </c>
      <c r="AK578" s="191">
        <f t="shared" si="301"/>
        <v>0</v>
      </c>
      <c r="AL578" s="191">
        <f t="shared" si="302"/>
        <v>0</v>
      </c>
    </row>
    <row r="579" spans="2:38" x14ac:dyDescent="0.25">
      <c r="B579" s="192" t="s">
        <v>1532</v>
      </c>
      <c r="C579" s="193" t="s">
        <v>1533</v>
      </c>
      <c r="D5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9"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194">
        <f t="shared" si="295"/>
        <v>0</v>
      </c>
      <c r="G579" s="194"/>
      <c r="H579" s="194">
        <f t="shared" si="296"/>
        <v>0</v>
      </c>
      <c r="I579" s="194"/>
      <c r="J579" s="194">
        <f t="shared" si="297"/>
        <v>0</v>
      </c>
      <c r="K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9"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194">
        <f t="shared" si="298"/>
        <v>0</v>
      </c>
      <c r="Z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194">
        <f t="shared" si="299"/>
        <v>0</v>
      </c>
      <c r="AD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194">
        <f t="shared" si="300"/>
        <v>0</v>
      </c>
      <c r="AH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194">
        <f t="shared" si="301"/>
        <v>0</v>
      </c>
      <c r="AL579" s="194">
        <f t="shared" si="302"/>
        <v>0</v>
      </c>
    </row>
    <row r="580" spans="2:38" x14ac:dyDescent="0.25">
      <c r="B580" s="192" t="s">
        <v>1534</v>
      </c>
      <c r="C580" s="193" t="s">
        <v>1535</v>
      </c>
      <c r="D5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0" s="194">
        <f t="shared" si="295"/>
        <v>0</v>
      </c>
      <c r="G580" s="194"/>
      <c r="H580" s="194">
        <f t="shared" si="296"/>
        <v>0</v>
      </c>
      <c r="I580" s="194"/>
      <c r="J580" s="194">
        <f t="shared" si="297"/>
        <v>0</v>
      </c>
      <c r="K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194">
        <f t="shared" si="298"/>
        <v>0</v>
      </c>
      <c r="Z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194">
        <f t="shared" si="299"/>
        <v>0</v>
      </c>
      <c r="AD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194">
        <f t="shared" si="300"/>
        <v>0</v>
      </c>
      <c r="AH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194">
        <f t="shared" si="301"/>
        <v>0</v>
      </c>
      <c r="AL580" s="194">
        <f t="shared" si="302"/>
        <v>0</v>
      </c>
    </row>
    <row r="581" spans="2:38" x14ac:dyDescent="0.25">
      <c r="B581" s="192" t="s">
        <v>1536</v>
      </c>
      <c r="C581" s="193" t="s">
        <v>1537</v>
      </c>
      <c r="D58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194">
        <f t="shared" si="295"/>
        <v>0</v>
      </c>
      <c r="G581" s="194"/>
      <c r="H581" s="194">
        <f t="shared" si="296"/>
        <v>0</v>
      </c>
      <c r="I581" s="194"/>
      <c r="J581" s="194">
        <f t="shared" si="297"/>
        <v>0</v>
      </c>
      <c r="K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194">
        <f t="shared" si="298"/>
        <v>0</v>
      </c>
      <c r="Z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194">
        <f t="shared" si="299"/>
        <v>0</v>
      </c>
      <c r="AD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194">
        <f t="shared" si="300"/>
        <v>0</v>
      </c>
      <c r="AH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194">
        <f t="shared" si="301"/>
        <v>0</v>
      </c>
      <c r="AL581" s="194">
        <f t="shared" si="302"/>
        <v>0</v>
      </c>
    </row>
    <row r="582" spans="2:38" x14ac:dyDescent="0.25">
      <c r="B582" s="192" t="s">
        <v>1538</v>
      </c>
      <c r="C582" s="193" t="s">
        <v>1539</v>
      </c>
      <c r="D5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194">
        <f t="shared" si="295"/>
        <v>0</v>
      </c>
      <c r="G582" s="194"/>
      <c r="H582" s="194">
        <f t="shared" si="296"/>
        <v>0</v>
      </c>
      <c r="I582" s="194"/>
      <c r="J582" s="194">
        <f t="shared" si="297"/>
        <v>0</v>
      </c>
      <c r="K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194">
        <f t="shared" si="298"/>
        <v>0</v>
      </c>
      <c r="Z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194">
        <f t="shared" si="299"/>
        <v>0</v>
      </c>
      <c r="AD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194">
        <f t="shared" si="300"/>
        <v>0</v>
      </c>
      <c r="AH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194">
        <f t="shared" si="301"/>
        <v>0</v>
      </c>
      <c r="AL582" s="194">
        <f t="shared" si="302"/>
        <v>0</v>
      </c>
    </row>
    <row r="583" spans="2:38" x14ac:dyDescent="0.25">
      <c r="B583" s="192" t="s">
        <v>1540</v>
      </c>
      <c r="C583" s="193" t="s">
        <v>1541</v>
      </c>
      <c r="D58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900</v>
      </c>
      <c r="E583" s="194">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3" s="194">
        <f t="shared" si="295"/>
        <v>900</v>
      </c>
      <c r="G583" s="194"/>
      <c r="H583" s="194">
        <f t="shared" si="296"/>
        <v>900</v>
      </c>
      <c r="I583" s="194"/>
      <c r="J583" s="194">
        <f t="shared" si="297"/>
        <v>900</v>
      </c>
      <c r="K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v>
      </c>
      <c r="L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v>
      </c>
      <c r="N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v>
      </c>
      <c r="P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3" s="194">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3" s="194">
        <f t="shared" si="298"/>
        <v>0</v>
      </c>
      <c r="Z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3" s="194">
        <f t="shared" si="299"/>
        <v>0</v>
      </c>
      <c r="AD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3" s="194">
        <f t="shared" si="300"/>
        <v>0</v>
      </c>
      <c r="AH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3" s="194">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3" s="194">
        <f t="shared" si="301"/>
        <v>0</v>
      </c>
      <c r="AL583" s="194">
        <f t="shared" si="302"/>
        <v>0</v>
      </c>
    </row>
    <row r="584" spans="2:38" ht="26.25" x14ac:dyDescent="0.25">
      <c r="B584" s="195"/>
      <c r="C584" s="196" t="s">
        <v>324</v>
      </c>
      <c r="D584" s="197">
        <f>D9+D83+D94+D107+D209+D226+D327+D333+D390+D404+D409+D446+D498+D515+D559+D578</f>
        <v>91260</v>
      </c>
      <c r="E584" s="197">
        <f>E9+E83+E94+E107+E209+E226+E327+E333+E390+E404+E409+E446+E498+E515+E559</f>
        <v>936056499.50600004</v>
      </c>
      <c r="F584" s="197">
        <f>D584+E584</f>
        <v>936147759.50600004</v>
      </c>
      <c r="G584" s="197">
        <f>G9+G83+G94+G107+G209+G226+G327+G333+G390+G404+G409+G446+G498+G515+G559</f>
        <v>0</v>
      </c>
      <c r="H584" s="197">
        <f>F584-G584</f>
        <v>936147759.50600004</v>
      </c>
      <c r="I584" s="197">
        <f>I9+I83+I94+I107+I209+I226+I327+I333+I390+I404+I409+I446+I498+I515+I559</f>
        <v>0</v>
      </c>
      <c r="J584" s="197">
        <f>F584-I584</f>
        <v>936147759.50600004</v>
      </c>
      <c r="K584" s="197">
        <f t="shared" ref="K584:X584" si="304">K9+K83+K94+K107+K209+K226+K327+K333+K390+K404+K409+K446+K498+K515+K559</f>
        <v>1494937.0649999999</v>
      </c>
      <c r="L584" s="197">
        <f t="shared" si="304"/>
        <v>1677402.5</v>
      </c>
      <c r="M584" s="197">
        <f t="shared" si="304"/>
        <v>158090</v>
      </c>
      <c r="N584" s="197">
        <f t="shared" si="304"/>
        <v>32237556.934999999</v>
      </c>
      <c r="O584" s="197">
        <f t="shared" si="304"/>
        <v>6766385</v>
      </c>
      <c r="P584" s="197">
        <f t="shared" si="304"/>
        <v>765027999.98600006</v>
      </c>
      <c r="Q584" s="197">
        <f t="shared" si="304"/>
        <v>8000</v>
      </c>
      <c r="R584" s="197">
        <f t="shared" si="304"/>
        <v>171445</v>
      </c>
      <c r="S584" s="197">
        <f t="shared" si="304"/>
        <v>120625674.5</v>
      </c>
      <c r="T584" s="197">
        <f t="shared" si="304"/>
        <v>0</v>
      </c>
      <c r="U584" s="197">
        <f t="shared" si="304"/>
        <v>7729368.5200000005</v>
      </c>
      <c r="V584" s="197">
        <f t="shared" si="304"/>
        <v>47122778.520000003</v>
      </c>
      <c r="W584" s="197">
        <f t="shared" si="304"/>
        <v>766121346.24000001</v>
      </c>
      <c r="X584" s="197">
        <f t="shared" si="304"/>
        <v>23740987.5</v>
      </c>
      <c r="Y584" s="197">
        <f>V584+W584+X584</f>
        <v>836985112.25999999</v>
      </c>
      <c r="Z584" s="197">
        <f>Z9+Z83+Z94+Z107+Z209+Z226+Z327+Z333+Z390+Z404+Z409+Z446+Z498+Z515+Z559</f>
        <v>4364157.5</v>
      </c>
      <c r="AA584" s="197">
        <f>AA9+AA83+AA94+AA107+AA209+AA226+AA327+AA333+AA390+AA404+AA409+AA446+AA498+AA515+AA559</f>
        <v>1455767.5660000001</v>
      </c>
      <c r="AB584" s="197">
        <f>AB9+AB83+AB94+AB107+AB209+AB226+AB327+AB333+AB390+AB404+AB409+AB446+AB498+AB515+AB559</f>
        <v>93584</v>
      </c>
      <c r="AC584" s="197">
        <f>Z584+AA584+AB584</f>
        <v>5913509.0659999996</v>
      </c>
      <c r="AD584" s="197">
        <f>AD9+AD83+AD94+AD107+AD209+AD226+AD327+AD333+AD390+AD404+AD409+AD446+AD498+AD515+AD559</f>
        <v>381532.18</v>
      </c>
      <c r="AE584" s="197">
        <f>AE9+AE83+AE94+AE107+AE209+AE226+AE327+AE333+AE390+AE404+AE409+AE446+AE498+AE515+AE559</f>
        <v>0</v>
      </c>
      <c r="AF584" s="197">
        <f>AF9+AF83+AF94+AF107+AF209+AF226+AF327+AF333+AF390+AF404+AF409+AF446+AF498+AF515+AF559</f>
        <v>142145</v>
      </c>
      <c r="AG584" s="197">
        <f>AD584+AE584+AF584</f>
        <v>523677.18</v>
      </c>
      <c r="AH584" s="197">
        <f>AH9+AH83+AH94+AH107+AH209+AH226+AH327+AH333+AH390+AH404+AH409+AH446+AH498+AH515+AH559</f>
        <v>72035</v>
      </c>
      <c r="AI584" s="197">
        <f>AI9+AI83+AI94+AI107+AI209+AI226+AI327+AI333+AI390+AI404+AI409+AI446+AI498+AI515+AI559</f>
        <v>92252112</v>
      </c>
      <c r="AJ584" s="197">
        <f>AJ9+AJ83+AJ94+AJ107+AJ209+AJ226+AJ327+AJ333+AJ390+AJ404+AJ409+AJ446+AJ498+AJ515+AJ559</f>
        <v>0</v>
      </c>
      <c r="AK584" s="197">
        <f>AH584+AI584+AJ584</f>
        <v>92324147</v>
      </c>
      <c r="AL584" s="197">
        <f>Y584+AC584+AG584+AK584</f>
        <v>935746445.50599992</v>
      </c>
    </row>
  </sheetData>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X29"/>
  <sheetViews>
    <sheetView zoomScale="40" zoomScaleNormal="40" workbookViewId="0">
      <selection activeCell="X7" sqref="X7"/>
    </sheetView>
  </sheetViews>
  <sheetFormatPr baseColWidth="10" defaultRowHeight="15" x14ac:dyDescent="0.25"/>
  <cols>
    <col min="1" max="2" width="21.7109375" customWidth="1"/>
    <col min="3" max="3" width="20.28515625" customWidth="1"/>
    <col min="4" max="4" width="27.42578125" customWidth="1"/>
    <col min="5" max="5" width="11.42578125" customWidth="1"/>
    <col min="6" max="6" width="27.42578125" customWidth="1"/>
    <col min="7" max="7" width="15.28515625" customWidth="1"/>
    <col min="8" max="8" width="13.7109375" style="251" bestFit="1" customWidth="1"/>
    <col min="9" max="9" width="15.28515625" customWidth="1"/>
    <col min="10" max="10" width="18.85546875" style="251" customWidth="1"/>
    <col min="12" max="12" width="13.7109375" style="251" bestFit="1" customWidth="1"/>
    <col min="14" max="14" width="13.7109375" style="251" bestFit="1" customWidth="1"/>
    <col min="15" max="15" width="15.28515625" customWidth="1"/>
    <col min="16" max="16" width="18.28515625" style="251" customWidth="1"/>
    <col min="19" max="22" width="14.140625" customWidth="1"/>
    <col min="23" max="23" width="17" customWidth="1"/>
    <col min="24" max="24" width="23.28515625" customWidth="1"/>
  </cols>
  <sheetData>
    <row r="1" spans="1:24" ht="24.95" customHeight="1" x14ac:dyDescent="0.3">
      <c r="A1" s="897" t="s">
        <v>643</v>
      </c>
      <c r="B1" s="897"/>
      <c r="C1" s="897"/>
      <c r="D1" s="897"/>
      <c r="E1" s="897"/>
      <c r="F1" s="897"/>
    </row>
    <row r="2" spans="1:24" ht="18.75" x14ac:dyDescent="0.25">
      <c r="A2" s="901" t="s">
        <v>644</v>
      </c>
      <c r="B2" s="901"/>
      <c r="C2" s="901"/>
      <c r="D2" s="901"/>
      <c r="E2" s="901"/>
      <c r="F2" s="901"/>
      <c r="G2" s="341" t="s">
        <v>643</v>
      </c>
      <c r="J2" s="341"/>
      <c r="K2" s="341"/>
      <c r="L2" s="341"/>
      <c r="M2" s="341"/>
      <c r="N2" s="341"/>
      <c r="O2" s="341"/>
      <c r="P2" s="341"/>
      <c r="Q2" s="341"/>
      <c r="R2" s="341"/>
      <c r="S2" s="341"/>
      <c r="T2" s="341"/>
      <c r="U2" s="341"/>
      <c r="V2" s="341"/>
      <c r="W2" s="341"/>
    </row>
    <row r="3" spans="1:24" x14ac:dyDescent="0.25">
      <c r="A3" s="901"/>
      <c r="B3" s="901"/>
      <c r="C3" s="901"/>
      <c r="D3" s="901"/>
      <c r="E3" s="901"/>
      <c r="F3" s="901"/>
      <c r="G3" s="320"/>
      <c r="H3" s="320"/>
      <c r="I3" s="320"/>
      <c r="J3" s="320"/>
      <c r="K3" s="320"/>
      <c r="L3" s="320"/>
      <c r="M3" s="320"/>
      <c r="N3" s="320"/>
      <c r="O3" s="320"/>
      <c r="P3" s="320"/>
      <c r="Q3" s="320"/>
      <c r="R3" s="320"/>
      <c r="S3" s="320"/>
      <c r="T3" s="320"/>
      <c r="U3" s="320"/>
      <c r="V3" s="320"/>
      <c r="W3" s="320"/>
    </row>
    <row r="4" spans="1:24" x14ac:dyDescent="0.25">
      <c r="A4" s="800" t="s">
        <v>100</v>
      </c>
      <c r="B4" s="888" t="s">
        <v>118</v>
      </c>
      <c r="C4" s="801" t="s">
        <v>88</v>
      </c>
      <c r="D4" s="801" t="s">
        <v>89</v>
      </c>
      <c r="E4" s="877" t="s">
        <v>473</v>
      </c>
      <c r="F4" s="801" t="s">
        <v>90</v>
      </c>
      <c r="G4" s="800" t="s">
        <v>104</v>
      </c>
      <c r="H4" s="800"/>
      <c r="I4" s="800"/>
      <c r="J4" s="800"/>
      <c r="K4" s="800"/>
      <c r="L4" s="800"/>
      <c r="M4" s="800"/>
      <c r="N4" s="800"/>
      <c r="O4" s="801" t="s">
        <v>105</v>
      </c>
      <c r="P4" s="801"/>
      <c r="Q4" s="800" t="s">
        <v>106</v>
      </c>
      <c r="R4" s="800"/>
      <c r="S4" s="800" t="s">
        <v>107</v>
      </c>
      <c r="T4" s="800" t="s">
        <v>108</v>
      </c>
      <c r="U4" s="888" t="s">
        <v>116</v>
      </c>
      <c r="V4" s="888" t="s">
        <v>115</v>
      </c>
      <c r="W4" s="893" t="s">
        <v>91</v>
      </c>
    </row>
    <row r="5" spans="1:24" x14ac:dyDescent="0.25">
      <c r="A5" s="800"/>
      <c r="B5" s="889"/>
      <c r="C5" s="801"/>
      <c r="D5" s="801"/>
      <c r="E5" s="878"/>
      <c r="F5" s="801"/>
      <c r="G5" s="800" t="s">
        <v>109</v>
      </c>
      <c r="H5" s="800"/>
      <c r="I5" s="800" t="s">
        <v>110</v>
      </c>
      <c r="J5" s="800"/>
      <c r="K5" s="800" t="s">
        <v>111</v>
      </c>
      <c r="L5" s="800"/>
      <c r="M5" s="800" t="s">
        <v>112</v>
      </c>
      <c r="N5" s="800"/>
      <c r="O5" s="801"/>
      <c r="P5" s="801"/>
      <c r="Q5" s="800"/>
      <c r="R5" s="800"/>
      <c r="S5" s="800"/>
      <c r="T5" s="800"/>
      <c r="U5" s="889"/>
      <c r="V5" s="889"/>
      <c r="W5" s="893"/>
    </row>
    <row r="6" spans="1:24" ht="25.5" x14ac:dyDescent="0.25">
      <c r="A6" s="800"/>
      <c r="B6" s="890"/>
      <c r="C6" s="801"/>
      <c r="D6" s="801"/>
      <c r="E6" s="879"/>
      <c r="F6" s="801"/>
      <c r="G6" s="403" t="s">
        <v>113</v>
      </c>
      <c r="H6" s="248" t="s">
        <v>12</v>
      </c>
      <c r="I6" s="403" t="s">
        <v>113</v>
      </c>
      <c r="J6" s="248" t="s">
        <v>12</v>
      </c>
      <c r="K6" s="403" t="s">
        <v>113</v>
      </c>
      <c r="L6" s="248" t="s">
        <v>12</v>
      </c>
      <c r="M6" s="403" t="s">
        <v>113</v>
      </c>
      <c r="N6" s="248" t="s">
        <v>12</v>
      </c>
      <c r="O6" s="403" t="s">
        <v>113</v>
      </c>
      <c r="P6" s="248" t="s">
        <v>12</v>
      </c>
      <c r="Q6" s="403" t="s">
        <v>114</v>
      </c>
      <c r="R6" s="403" t="s">
        <v>85</v>
      </c>
      <c r="S6" s="800"/>
      <c r="T6" s="800"/>
      <c r="U6" s="890"/>
      <c r="V6" s="890"/>
      <c r="W6" s="893"/>
    </row>
    <row r="7" spans="1:24" ht="102.75" customHeight="1" x14ac:dyDescent="0.25">
      <c r="A7" s="905"/>
      <c r="B7" s="404"/>
      <c r="C7" s="386" t="s">
        <v>645</v>
      </c>
      <c r="D7" s="382" t="s">
        <v>1834</v>
      </c>
      <c r="E7" s="335"/>
      <c r="F7" s="694" t="s">
        <v>2057</v>
      </c>
      <c r="G7" s="349"/>
      <c r="H7" s="257">
        <v>4000</v>
      </c>
      <c r="I7" s="349">
        <v>1</v>
      </c>
      <c r="J7" s="257">
        <v>4000</v>
      </c>
      <c r="K7" s="331"/>
      <c r="L7" s="257"/>
      <c r="M7" s="331"/>
      <c r="N7" s="257"/>
      <c r="O7" s="349">
        <v>1</v>
      </c>
      <c r="P7" s="257"/>
      <c r="Q7" s="336"/>
      <c r="R7" s="336" t="s">
        <v>2205</v>
      </c>
      <c r="S7" s="336" t="s">
        <v>2206</v>
      </c>
      <c r="T7" s="336" t="s">
        <v>2207</v>
      </c>
      <c r="U7" s="336" t="s">
        <v>2253</v>
      </c>
      <c r="V7" s="336" t="s">
        <v>2208</v>
      </c>
      <c r="W7" s="332" t="s">
        <v>2209</v>
      </c>
      <c r="X7" s="763" t="s">
        <v>2261</v>
      </c>
    </row>
    <row r="8" spans="1:24" ht="137.25" customHeight="1" x14ac:dyDescent="0.25">
      <c r="A8" s="905"/>
      <c r="B8" s="386" t="s">
        <v>646</v>
      </c>
      <c r="C8" s="386" t="s">
        <v>647</v>
      </c>
      <c r="D8" s="382" t="s">
        <v>648</v>
      </c>
      <c r="E8" s="335"/>
      <c r="F8" s="385" t="s">
        <v>170</v>
      </c>
      <c r="G8" s="331"/>
      <c r="H8" s="257"/>
      <c r="I8" s="331"/>
      <c r="J8" s="257"/>
      <c r="K8" s="349">
        <v>1</v>
      </c>
      <c r="L8" s="257"/>
      <c r="M8" s="331"/>
      <c r="N8" s="257"/>
      <c r="O8" s="746">
        <v>1</v>
      </c>
      <c r="P8" s="258"/>
      <c r="Q8" s="330"/>
      <c r="R8" s="336" t="s">
        <v>2205</v>
      </c>
      <c r="S8" s="336" t="s">
        <v>2206</v>
      </c>
      <c r="T8" s="336" t="s">
        <v>2207</v>
      </c>
      <c r="U8" s="336" t="s">
        <v>2253</v>
      </c>
      <c r="V8" s="336" t="s">
        <v>2208</v>
      </c>
      <c r="W8" s="332" t="s">
        <v>2209</v>
      </c>
      <c r="X8" s="763" t="s">
        <v>2261</v>
      </c>
    </row>
    <row r="9" spans="1:24" ht="75" x14ac:dyDescent="0.25">
      <c r="A9" s="905"/>
      <c r="B9" s="386" t="s">
        <v>649</v>
      </c>
      <c r="C9" s="386" t="s">
        <v>123</v>
      </c>
      <c r="D9" s="382" t="s">
        <v>123</v>
      </c>
      <c r="E9" s="335"/>
      <c r="F9" s="385" t="s">
        <v>650</v>
      </c>
      <c r="G9" s="331"/>
      <c r="H9" s="257"/>
      <c r="I9" s="331"/>
      <c r="J9" s="257"/>
      <c r="K9" s="349">
        <v>1</v>
      </c>
      <c r="L9" s="257"/>
      <c r="M9" s="331"/>
      <c r="N9" s="257"/>
      <c r="O9" s="349">
        <v>1</v>
      </c>
      <c r="P9" s="257"/>
      <c r="Q9" s="336"/>
      <c r="R9" s="336"/>
      <c r="S9" s="336"/>
      <c r="T9" s="336"/>
      <c r="U9" s="336"/>
      <c r="V9" s="336"/>
      <c r="W9" s="337"/>
    </row>
    <row r="10" spans="1:24" ht="90" x14ac:dyDescent="0.25">
      <c r="A10" s="906"/>
      <c r="B10" s="386" t="s">
        <v>651</v>
      </c>
      <c r="C10" s="386" t="s">
        <v>124</v>
      </c>
      <c r="D10" s="382" t="s">
        <v>125</v>
      </c>
      <c r="E10" s="335"/>
      <c r="F10" s="385" t="s">
        <v>171</v>
      </c>
      <c r="G10" s="331"/>
      <c r="H10" s="257"/>
      <c r="I10" s="331"/>
      <c r="J10" s="257"/>
      <c r="K10" s="349">
        <v>1</v>
      </c>
      <c r="L10" s="257"/>
      <c r="M10" s="331"/>
      <c r="N10" s="257"/>
      <c r="O10" s="349">
        <v>1</v>
      </c>
      <c r="P10" s="257"/>
      <c r="Q10" s="336"/>
      <c r="R10" s="336"/>
      <c r="S10" s="336"/>
      <c r="T10" s="336"/>
      <c r="U10" s="336"/>
      <c r="V10" s="336"/>
      <c r="W10" s="330"/>
    </row>
    <row r="11" spans="1:24" ht="15.75" x14ac:dyDescent="0.25">
      <c r="A11" s="352"/>
      <c r="B11" s="353"/>
      <c r="C11" s="383" t="s">
        <v>126</v>
      </c>
      <c r="D11" s="384"/>
      <c r="E11" s="353"/>
      <c r="F11" s="354"/>
      <c r="G11" s="338">
        <f t="shared" ref="G11:N11" si="0">SUM(G7:G10)</f>
        <v>0</v>
      </c>
      <c r="H11" s="339">
        <f t="shared" si="0"/>
        <v>4000</v>
      </c>
      <c r="I11" s="338">
        <f t="shared" si="0"/>
        <v>1</v>
      </c>
      <c r="J11" s="339">
        <f t="shared" si="0"/>
        <v>4000</v>
      </c>
      <c r="K11" s="338">
        <f t="shared" si="0"/>
        <v>3</v>
      </c>
      <c r="L11" s="339">
        <f t="shared" si="0"/>
        <v>0</v>
      </c>
      <c r="M11" s="338">
        <f t="shared" si="0"/>
        <v>0</v>
      </c>
      <c r="N11" s="339">
        <f t="shared" si="0"/>
        <v>0</v>
      </c>
      <c r="O11" s="338">
        <f>G11+I11+K11+M11</f>
        <v>4</v>
      </c>
      <c r="P11" s="340">
        <f>H11+J11+L11+N11</f>
        <v>8000</v>
      </c>
      <c r="Q11" s="312"/>
      <c r="R11" s="312"/>
      <c r="S11" s="312"/>
      <c r="T11" s="312"/>
      <c r="U11" s="312"/>
      <c r="V11" s="312"/>
      <c r="W11" s="312"/>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1">
    <mergeCell ref="A1:F1"/>
    <mergeCell ref="A2:F3"/>
    <mergeCell ref="A4:A6"/>
    <mergeCell ref="B4:B6"/>
    <mergeCell ref="C4:C6"/>
    <mergeCell ref="D4:D6"/>
    <mergeCell ref="E4:E6"/>
    <mergeCell ref="F4:F6"/>
    <mergeCell ref="A7:A10"/>
    <mergeCell ref="V4:V6"/>
    <mergeCell ref="W4:W6"/>
    <mergeCell ref="G5:H5"/>
    <mergeCell ref="I5:J5"/>
    <mergeCell ref="K5:L5"/>
    <mergeCell ref="M5:N5"/>
    <mergeCell ref="G4:N4"/>
    <mergeCell ref="O4:P5"/>
    <mergeCell ref="Q4:R5"/>
    <mergeCell ref="S4:S6"/>
    <mergeCell ref="T4:T6"/>
    <mergeCell ref="U4:U6"/>
  </mergeCells>
  <printOptions horizontalCentered="1" verticalCentered="1"/>
  <pageMargins left="0.70866141732283472" right="0.70866141732283472" top="0.74803149606299213" bottom="0.74803149606299213" header="0.31496062992125984" footer="0.31496062992125984"/>
  <pageSetup scale="90"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X260"/>
  <sheetViews>
    <sheetView zoomScale="30" zoomScaleNormal="30" workbookViewId="0">
      <selection activeCell="X7" sqref="X7"/>
    </sheetView>
  </sheetViews>
  <sheetFormatPr baseColWidth="10" defaultRowHeight="15" x14ac:dyDescent="0.25"/>
  <cols>
    <col min="1" max="2" width="21.7109375" customWidth="1"/>
    <col min="3" max="4" width="27.42578125" customWidth="1"/>
    <col min="5" max="5" width="15.140625" customWidth="1"/>
    <col min="6" max="6" width="27.42578125" customWidth="1"/>
    <col min="7" max="7" width="15.28515625" customWidth="1"/>
    <col min="8" max="8" width="24.140625" style="251" customWidth="1"/>
    <col min="9" max="9" width="15.28515625" customWidth="1"/>
    <col min="10" max="10" width="18.140625" style="251" customWidth="1"/>
    <col min="11" max="11" width="15.28515625" customWidth="1"/>
    <col min="12" max="12" width="15" style="251" customWidth="1"/>
    <col min="13" max="13" width="15.28515625" customWidth="1"/>
    <col min="14" max="14" width="15.28515625" style="251" customWidth="1"/>
    <col min="15" max="15" width="15.28515625" customWidth="1"/>
    <col min="16" max="16" width="25.28515625" style="251" customWidth="1"/>
    <col min="19" max="22" width="14.28515625" customWidth="1"/>
    <col min="23" max="23" width="17" customWidth="1"/>
    <col min="24" max="24" width="31.85546875" customWidth="1"/>
  </cols>
  <sheetData>
    <row r="1" spans="1:24" ht="24.95" customHeight="1" x14ac:dyDescent="0.3">
      <c r="A1" s="928" t="s">
        <v>135</v>
      </c>
      <c r="B1" s="928"/>
      <c r="C1" s="928"/>
      <c r="D1" s="928"/>
      <c r="E1" s="928"/>
      <c r="F1" s="928"/>
    </row>
    <row r="2" spans="1:24" s="342" customFormat="1" ht="18" customHeight="1" x14ac:dyDescent="0.2">
      <c r="A2" s="929" t="s">
        <v>652</v>
      </c>
      <c r="B2" s="929"/>
      <c r="C2" s="929"/>
      <c r="D2" s="929"/>
      <c r="E2" s="929"/>
      <c r="F2" s="929"/>
      <c r="G2" s="341" t="s">
        <v>135</v>
      </c>
      <c r="I2" s="341"/>
      <c r="J2" s="341"/>
      <c r="K2" s="341"/>
      <c r="L2" s="341"/>
      <c r="M2" s="341"/>
      <c r="N2" s="341"/>
      <c r="O2" s="341"/>
      <c r="P2" s="341"/>
      <c r="Q2" s="341"/>
      <c r="R2" s="341"/>
      <c r="S2" s="341"/>
      <c r="T2" s="341"/>
      <c r="U2" s="341"/>
      <c r="V2" s="341"/>
      <c r="W2" s="341"/>
    </row>
    <row r="3" spans="1:24" s="343" customFormat="1" ht="33.75" customHeight="1" x14ac:dyDescent="0.25">
      <c r="A3" s="930"/>
      <c r="B3" s="930"/>
      <c r="C3" s="930"/>
      <c r="D3" s="930"/>
      <c r="E3" s="930"/>
      <c r="F3" s="930"/>
      <c r="G3" s="348"/>
      <c r="H3" s="348"/>
      <c r="I3" s="348"/>
      <c r="J3" s="348"/>
      <c r="K3" s="348"/>
      <c r="L3" s="348"/>
      <c r="M3" s="348"/>
      <c r="N3" s="348"/>
      <c r="O3" s="348"/>
      <c r="P3" s="348"/>
      <c r="Q3" s="348"/>
      <c r="R3" s="348"/>
      <c r="S3" s="348"/>
      <c r="T3" s="348"/>
      <c r="U3" s="348"/>
      <c r="V3" s="348"/>
      <c r="W3" s="348"/>
    </row>
    <row r="4" spans="1:24" s="66" customFormat="1" ht="14.45" customHeight="1" x14ac:dyDescent="0.25">
      <c r="A4" s="843" t="s">
        <v>100</v>
      </c>
      <c r="B4" s="843" t="s">
        <v>118</v>
      </c>
      <c r="C4" s="837" t="s">
        <v>88</v>
      </c>
      <c r="D4" s="837" t="s">
        <v>89</v>
      </c>
      <c r="E4" s="877" t="s">
        <v>473</v>
      </c>
      <c r="F4" s="837" t="s">
        <v>90</v>
      </c>
      <c r="G4" s="913" t="s">
        <v>104</v>
      </c>
      <c r="H4" s="915"/>
      <c r="I4" s="915"/>
      <c r="J4" s="915"/>
      <c r="K4" s="915"/>
      <c r="L4" s="915"/>
      <c r="M4" s="915"/>
      <c r="N4" s="914"/>
      <c r="O4" s="916" t="s">
        <v>105</v>
      </c>
      <c r="P4" s="917"/>
      <c r="Q4" s="920" t="s">
        <v>106</v>
      </c>
      <c r="R4" s="921"/>
      <c r="S4" s="907" t="s">
        <v>107</v>
      </c>
      <c r="T4" s="907" t="s">
        <v>108</v>
      </c>
      <c r="U4" s="907" t="s">
        <v>116</v>
      </c>
      <c r="V4" s="907" t="s">
        <v>115</v>
      </c>
      <c r="W4" s="910" t="s">
        <v>91</v>
      </c>
    </row>
    <row r="5" spans="1:24" s="66" customFormat="1" ht="15.75" x14ac:dyDescent="0.25">
      <c r="A5" s="844"/>
      <c r="B5" s="844"/>
      <c r="C5" s="838"/>
      <c r="D5" s="838"/>
      <c r="E5" s="878"/>
      <c r="F5" s="838"/>
      <c r="G5" s="913" t="s">
        <v>109</v>
      </c>
      <c r="H5" s="914"/>
      <c r="I5" s="913" t="s">
        <v>110</v>
      </c>
      <c r="J5" s="914"/>
      <c r="K5" s="913" t="s">
        <v>111</v>
      </c>
      <c r="L5" s="914"/>
      <c r="M5" s="913" t="s">
        <v>112</v>
      </c>
      <c r="N5" s="914"/>
      <c r="O5" s="918"/>
      <c r="P5" s="919"/>
      <c r="Q5" s="922"/>
      <c r="R5" s="923"/>
      <c r="S5" s="908"/>
      <c r="T5" s="908"/>
      <c r="U5" s="908"/>
      <c r="V5" s="908"/>
      <c r="W5" s="911"/>
    </row>
    <row r="6" spans="1:24" s="67" customFormat="1" ht="31.5" x14ac:dyDescent="0.25">
      <c r="A6" s="845"/>
      <c r="B6" s="845"/>
      <c r="C6" s="839"/>
      <c r="D6" s="839"/>
      <c r="E6" s="879"/>
      <c r="F6" s="839"/>
      <c r="G6" s="272" t="s">
        <v>113</v>
      </c>
      <c r="H6" s="263" t="s">
        <v>12</v>
      </c>
      <c r="I6" s="272" t="s">
        <v>113</v>
      </c>
      <c r="J6" s="263" t="s">
        <v>12</v>
      </c>
      <c r="K6" s="272" t="s">
        <v>113</v>
      </c>
      <c r="L6" s="263" t="s">
        <v>12</v>
      </c>
      <c r="M6" s="272" t="s">
        <v>113</v>
      </c>
      <c r="N6" s="263" t="s">
        <v>12</v>
      </c>
      <c r="O6" s="272" t="s">
        <v>113</v>
      </c>
      <c r="P6" s="263" t="s">
        <v>12</v>
      </c>
      <c r="Q6" s="272" t="s">
        <v>114</v>
      </c>
      <c r="R6" s="272" t="s">
        <v>85</v>
      </c>
      <c r="S6" s="909"/>
      <c r="T6" s="909"/>
      <c r="U6" s="909"/>
      <c r="V6" s="909"/>
      <c r="W6" s="912"/>
    </row>
    <row r="7" spans="1:24" ht="362.25" customHeight="1" x14ac:dyDescent="0.25">
      <c r="A7" s="926" t="s">
        <v>131</v>
      </c>
      <c r="B7" s="405" t="s">
        <v>132</v>
      </c>
      <c r="C7" s="406" t="s">
        <v>1838</v>
      </c>
      <c r="D7" s="406" t="s">
        <v>1838</v>
      </c>
      <c r="E7" s="406"/>
      <c r="F7" s="71" t="s">
        <v>653</v>
      </c>
      <c r="G7" s="387">
        <v>0.25</v>
      </c>
      <c r="H7" s="515"/>
      <c r="I7" s="387">
        <v>0.25</v>
      </c>
      <c r="J7" s="515"/>
      <c r="K7" s="387">
        <v>0.25</v>
      </c>
      <c r="L7" s="515"/>
      <c r="M7" s="387">
        <v>0.25</v>
      </c>
      <c r="N7" s="515"/>
      <c r="O7" s="516">
        <v>1</v>
      </c>
      <c r="P7" s="750"/>
      <c r="Q7" s="751"/>
      <c r="R7" s="747"/>
      <c r="S7" s="747"/>
      <c r="T7" s="747"/>
      <c r="U7" s="748"/>
      <c r="V7" s="748"/>
      <c r="W7" s="749"/>
      <c r="X7" s="763" t="s">
        <v>2261</v>
      </c>
    </row>
    <row r="8" spans="1:24" ht="164.25" customHeight="1" x14ac:dyDescent="0.25">
      <c r="A8" s="927"/>
      <c r="B8" s="927" t="s">
        <v>133</v>
      </c>
      <c r="C8" s="406" t="s">
        <v>1839</v>
      </c>
      <c r="D8" s="406" t="s">
        <v>1840</v>
      </c>
      <c r="E8" s="406" t="s">
        <v>1841</v>
      </c>
      <c r="F8" s="71" t="s">
        <v>2004</v>
      </c>
      <c r="G8" s="387">
        <v>0.25</v>
      </c>
      <c r="H8" s="515">
        <v>615000000</v>
      </c>
      <c r="I8" s="387">
        <v>0.25</v>
      </c>
      <c r="J8" s="515"/>
      <c r="K8" s="387">
        <v>0.25</v>
      </c>
      <c r="L8" s="515"/>
      <c r="M8" s="387">
        <v>0.25</v>
      </c>
      <c r="N8" s="515"/>
      <c r="O8" s="516">
        <v>1</v>
      </c>
      <c r="P8" s="517">
        <v>0</v>
      </c>
      <c r="Q8" s="518"/>
      <c r="R8" s="307"/>
      <c r="S8" s="307" t="s">
        <v>1842</v>
      </c>
      <c r="T8" s="307"/>
      <c r="U8" s="308"/>
      <c r="V8" s="308" t="s">
        <v>1843</v>
      </c>
      <c r="W8" s="303" t="s">
        <v>1844</v>
      </c>
      <c r="X8" s="763" t="s">
        <v>2261</v>
      </c>
    </row>
    <row r="9" spans="1:24" ht="288" customHeight="1" x14ac:dyDescent="0.25">
      <c r="A9" s="927"/>
      <c r="B9" s="927"/>
      <c r="C9" s="406" t="s">
        <v>1845</v>
      </c>
      <c r="D9" s="406" t="s">
        <v>1846</v>
      </c>
      <c r="E9" s="406" t="s">
        <v>1847</v>
      </c>
      <c r="F9" s="71" t="s">
        <v>1848</v>
      </c>
      <c r="G9" s="387">
        <v>0.25</v>
      </c>
      <c r="H9" s="515"/>
      <c r="I9" s="387">
        <v>0.25</v>
      </c>
      <c r="J9" s="515"/>
      <c r="K9" s="387">
        <v>0.25</v>
      </c>
      <c r="L9" s="515"/>
      <c r="M9" s="387">
        <v>0.25</v>
      </c>
      <c r="N9" s="515"/>
      <c r="O9" s="516">
        <v>1</v>
      </c>
      <c r="P9" s="753"/>
      <c r="Q9" s="751"/>
      <c r="R9" s="747"/>
      <c r="S9" s="747"/>
      <c r="T9" s="747"/>
      <c r="U9" s="748"/>
      <c r="V9" s="748"/>
      <c r="W9" s="303" t="s">
        <v>1849</v>
      </c>
      <c r="X9" s="763" t="s">
        <v>2261</v>
      </c>
    </row>
    <row r="10" spans="1:24" ht="165.75" customHeight="1" x14ac:dyDescent="0.25">
      <c r="A10" s="927"/>
      <c r="B10" s="927"/>
      <c r="C10" s="498" t="s">
        <v>1850</v>
      </c>
      <c r="D10" s="498" t="s">
        <v>1851</v>
      </c>
      <c r="E10" s="498" t="s">
        <v>1852</v>
      </c>
      <c r="F10" s="498" t="s">
        <v>1853</v>
      </c>
      <c r="G10" s="77">
        <v>0.25</v>
      </c>
      <c r="H10" s="255"/>
      <c r="I10" s="77">
        <v>0.25</v>
      </c>
      <c r="J10" s="255"/>
      <c r="K10" s="524">
        <v>0.5</v>
      </c>
      <c r="L10" s="519"/>
      <c r="M10" s="81"/>
      <c r="N10" s="255"/>
      <c r="O10" s="344"/>
      <c r="P10" s="753"/>
      <c r="Q10" s="751"/>
      <c r="R10" s="747"/>
      <c r="S10" s="747"/>
      <c r="T10" s="747"/>
      <c r="U10" s="748"/>
      <c r="V10" s="748"/>
      <c r="W10" s="303" t="s">
        <v>1854</v>
      </c>
      <c r="X10" s="763" t="s">
        <v>2261</v>
      </c>
    </row>
    <row r="11" spans="1:24" ht="267.75" customHeight="1" x14ac:dyDescent="0.25">
      <c r="A11" s="927"/>
      <c r="B11" s="927"/>
      <c r="C11" s="406" t="s">
        <v>1855</v>
      </c>
      <c r="D11" s="406" t="s">
        <v>1856</v>
      </c>
      <c r="E11" s="406" t="s">
        <v>1857</v>
      </c>
      <c r="F11" s="71" t="s">
        <v>1858</v>
      </c>
      <c r="G11" s="387">
        <v>0.25</v>
      </c>
      <c r="H11" s="515"/>
      <c r="I11" s="387">
        <v>0.25</v>
      </c>
      <c r="J11" s="515"/>
      <c r="K11" s="387">
        <v>0.25</v>
      </c>
      <c r="L11" s="515"/>
      <c r="M11" s="387">
        <v>0.25</v>
      </c>
      <c r="N11" s="515"/>
      <c r="O11" s="516">
        <v>1</v>
      </c>
      <c r="P11" s="750"/>
      <c r="Q11" s="754"/>
      <c r="R11" s="755"/>
      <c r="S11" s="755"/>
      <c r="T11" s="755"/>
      <c r="U11" s="706"/>
      <c r="V11" s="706"/>
      <c r="W11" s="283" t="s">
        <v>1854</v>
      </c>
      <c r="X11" s="763" t="s">
        <v>2261</v>
      </c>
    </row>
    <row r="12" spans="1:24" ht="131.25" customHeight="1" x14ac:dyDescent="0.25">
      <c r="A12" s="927"/>
      <c r="B12" s="345"/>
      <c r="C12" s="406" t="s">
        <v>1859</v>
      </c>
      <c r="D12" s="406" t="s">
        <v>1860</v>
      </c>
      <c r="E12" s="406" t="s">
        <v>1861</v>
      </c>
      <c r="F12" s="71" t="s">
        <v>1862</v>
      </c>
      <c r="G12" s="387">
        <v>0.25</v>
      </c>
      <c r="H12" s="515"/>
      <c r="I12" s="387">
        <v>0.25</v>
      </c>
      <c r="J12" s="515"/>
      <c r="K12" s="387">
        <v>0.25</v>
      </c>
      <c r="L12" s="515"/>
      <c r="M12" s="387">
        <v>0.25</v>
      </c>
      <c r="N12" s="515"/>
      <c r="O12" s="516">
        <v>1</v>
      </c>
      <c r="P12" s="750"/>
      <c r="Q12" s="754"/>
      <c r="R12" s="755"/>
      <c r="S12" s="755"/>
      <c r="T12" s="755"/>
      <c r="U12" s="706"/>
      <c r="V12" s="706"/>
      <c r="W12" s="283" t="s">
        <v>1863</v>
      </c>
      <c r="X12" s="763" t="s">
        <v>2261</v>
      </c>
    </row>
    <row r="13" spans="1:24" ht="128.25" customHeight="1" x14ac:dyDescent="0.25">
      <c r="A13" s="927"/>
      <c r="B13" s="345"/>
      <c r="C13" s="498" t="s">
        <v>654</v>
      </c>
      <c r="D13" s="498" t="s">
        <v>655</v>
      </c>
      <c r="E13" s="498" t="s">
        <v>1864</v>
      </c>
      <c r="F13" s="498" t="s">
        <v>1865</v>
      </c>
      <c r="G13" s="81"/>
      <c r="H13" s="255"/>
      <c r="I13" s="81"/>
      <c r="J13" s="255"/>
      <c r="K13" s="81"/>
      <c r="L13" s="255"/>
      <c r="M13" s="81"/>
      <c r="N13" s="255"/>
      <c r="O13" s="344"/>
      <c r="P13" s="753"/>
      <c r="Q13" s="751"/>
      <c r="R13" s="747"/>
      <c r="S13" s="747"/>
      <c r="T13" s="747"/>
      <c r="U13" s="748"/>
      <c r="V13" s="748"/>
      <c r="W13" s="749"/>
      <c r="X13" s="763" t="s">
        <v>2261</v>
      </c>
    </row>
    <row r="14" spans="1:24" ht="128.25" customHeight="1" x14ac:dyDescent="0.25">
      <c r="A14" s="927"/>
      <c r="B14" s="345"/>
      <c r="C14" s="520" t="s">
        <v>1866</v>
      </c>
      <c r="D14" s="498" t="s">
        <v>1867</v>
      </c>
      <c r="E14" s="498" t="s">
        <v>1868</v>
      </c>
      <c r="F14" s="498" t="s">
        <v>1869</v>
      </c>
      <c r="G14" s="77">
        <v>0.25</v>
      </c>
      <c r="H14" s="255"/>
      <c r="I14" s="77">
        <v>0.25</v>
      </c>
      <c r="J14" s="255"/>
      <c r="K14" s="77">
        <v>0.5</v>
      </c>
      <c r="L14" s="255"/>
      <c r="M14" s="81"/>
      <c r="N14" s="255"/>
      <c r="O14" s="521">
        <v>1</v>
      </c>
      <c r="P14" s="753"/>
      <c r="Q14" s="751"/>
      <c r="R14" s="747"/>
      <c r="S14" s="747"/>
      <c r="T14" s="747"/>
      <c r="U14" s="748"/>
      <c r="V14" s="748"/>
      <c r="W14" s="749"/>
      <c r="X14" s="763" t="s">
        <v>2261</v>
      </c>
    </row>
    <row r="15" spans="1:24" ht="334.5" customHeight="1" x14ac:dyDescent="0.25">
      <c r="A15" s="927"/>
      <c r="B15" s="345"/>
      <c r="C15" s="522" t="s">
        <v>1870</v>
      </c>
      <c r="D15" s="522" t="s">
        <v>1871</v>
      </c>
      <c r="E15" s="498" t="s">
        <v>1872</v>
      </c>
      <c r="F15" s="523" t="s">
        <v>1910</v>
      </c>
      <c r="G15" s="77"/>
      <c r="H15" s="255">
        <f>861500+3575350</f>
        <v>4436850</v>
      </c>
      <c r="I15" s="77"/>
      <c r="J15" s="255">
        <f>3276740+8051500+4500000</f>
        <v>15828240</v>
      </c>
      <c r="K15" s="77"/>
      <c r="L15" s="255"/>
      <c r="M15" s="81"/>
      <c r="N15" s="255"/>
      <c r="O15" s="521"/>
      <c r="P15" s="753"/>
      <c r="Q15" s="751"/>
      <c r="R15" s="747"/>
      <c r="S15" s="747"/>
      <c r="T15" s="747"/>
      <c r="U15" s="748"/>
      <c r="V15" s="748"/>
      <c r="W15" s="749"/>
      <c r="X15" s="763" t="s">
        <v>2261</v>
      </c>
    </row>
    <row r="16" spans="1:24" ht="232.5" customHeight="1" x14ac:dyDescent="0.25">
      <c r="A16" s="927"/>
      <c r="B16" s="345"/>
      <c r="C16" s="520" t="s">
        <v>1873</v>
      </c>
      <c r="D16" s="498" t="s">
        <v>1874</v>
      </c>
      <c r="E16" s="498" t="s">
        <v>1872</v>
      </c>
      <c r="F16" s="498" t="s">
        <v>1875</v>
      </c>
      <c r="G16" s="387">
        <v>0.25</v>
      </c>
      <c r="H16" s="515"/>
      <c r="I16" s="387">
        <v>0.25</v>
      </c>
      <c r="J16" s="515"/>
      <c r="K16" s="387">
        <v>0.25</v>
      </c>
      <c r="L16" s="515"/>
      <c r="M16" s="387">
        <v>0.25</v>
      </c>
      <c r="N16" s="515"/>
      <c r="O16" s="516">
        <v>1</v>
      </c>
      <c r="P16" s="753"/>
      <c r="Q16" s="751"/>
      <c r="R16" s="747"/>
      <c r="S16" s="747"/>
      <c r="T16" s="747"/>
      <c r="U16" s="748"/>
      <c r="V16" s="748"/>
      <c r="W16" s="749"/>
      <c r="X16" s="763" t="s">
        <v>2261</v>
      </c>
    </row>
    <row r="17" spans="1:24" ht="78.75" x14ac:dyDescent="0.25">
      <c r="A17" s="345"/>
      <c r="B17" s="345"/>
      <c r="C17" s="82"/>
      <c r="D17" s="82"/>
      <c r="E17" s="82"/>
      <c r="F17" s="89" t="s">
        <v>1876</v>
      </c>
      <c r="G17" s="81"/>
      <c r="H17" s="255">
        <v>16827.5</v>
      </c>
      <c r="I17" s="81"/>
      <c r="J17" s="255"/>
      <c r="K17" s="81"/>
      <c r="L17" s="255"/>
      <c r="M17" s="81"/>
      <c r="N17" s="255"/>
      <c r="O17" s="344"/>
      <c r="P17" s="753"/>
      <c r="Q17" s="751"/>
      <c r="R17" s="747"/>
      <c r="S17" s="747"/>
      <c r="T17" s="747"/>
      <c r="U17" s="748"/>
      <c r="V17" s="748"/>
      <c r="W17" s="749"/>
      <c r="X17" s="763" t="s">
        <v>2261</v>
      </c>
    </row>
    <row r="18" spans="1:24" ht="78.75" x14ac:dyDescent="0.25">
      <c r="A18" s="345"/>
      <c r="B18" s="345"/>
      <c r="C18" s="82"/>
      <c r="D18" s="82"/>
      <c r="E18" s="82"/>
      <c r="F18" s="89" t="s">
        <v>1877</v>
      </c>
      <c r="G18" s="81"/>
      <c r="H18" s="255"/>
      <c r="I18" s="81"/>
      <c r="J18" s="255">
        <v>31655</v>
      </c>
      <c r="K18" s="81"/>
      <c r="L18" s="255"/>
      <c r="M18" s="81"/>
      <c r="N18" s="255"/>
      <c r="O18" s="344"/>
      <c r="P18" s="753"/>
      <c r="Q18" s="751"/>
      <c r="R18" s="747"/>
      <c r="S18" s="747"/>
      <c r="T18" s="747"/>
      <c r="U18" s="748"/>
      <c r="V18" s="748"/>
      <c r="W18" s="749"/>
      <c r="X18" s="763" t="s">
        <v>2261</v>
      </c>
    </row>
    <row r="19" spans="1:24" ht="123.75" customHeight="1" x14ac:dyDescent="0.25">
      <c r="A19" s="553"/>
      <c r="B19" s="926" t="s">
        <v>1983</v>
      </c>
      <c r="C19" s="560" t="s">
        <v>1935</v>
      </c>
      <c r="D19" s="561" t="s">
        <v>1936</v>
      </c>
      <c r="E19" s="562" t="s">
        <v>1937</v>
      </c>
      <c r="F19" s="562" t="s">
        <v>1984</v>
      </c>
      <c r="G19" s="555"/>
      <c r="H19" s="556"/>
      <c r="I19" s="555"/>
      <c r="J19" s="556"/>
      <c r="K19" s="555"/>
      <c r="L19" s="556"/>
      <c r="M19" s="555"/>
      <c r="N19" s="556"/>
      <c r="O19" s="557"/>
      <c r="P19" s="753"/>
      <c r="Q19" s="751"/>
      <c r="R19" s="747"/>
      <c r="S19" s="747"/>
      <c r="T19" s="747"/>
      <c r="U19" s="748"/>
      <c r="V19" s="748"/>
      <c r="W19" s="749"/>
      <c r="X19" s="763" t="s">
        <v>2261</v>
      </c>
    </row>
    <row r="20" spans="1:24" ht="176.25" customHeight="1" x14ac:dyDescent="0.25">
      <c r="A20" s="345"/>
      <c r="B20" s="927"/>
      <c r="C20" s="560" t="s">
        <v>1938</v>
      </c>
      <c r="D20" s="561" t="s">
        <v>1939</v>
      </c>
      <c r="E20" s="562" t="s">
        <v>1940</v>
      </c>
      <c r="F20" s="562" t="s">
        <v>1985</v>
      </c>
      <c r="G20" s="555"/>
      <c r="H20" s="556"/>
      <c r="I20" s="555"/>
      <c r="J20" s="556"/>
      <c r="K20" s="555"/>
      <c r="L20" s="556"/>
      <c r="M20" s="555"/>
      <c r="N20" s="556"/>
      <c r="O20" s="557"/>
      <c r="P20" s="753"/>
      <c r="Q20" s="751"/>
      <c r="R20" s="747"/>
      <c r="S20" s="747"/>
      <c r="T20" s="747"/>
      <c r="U20" s="748"/>
      <c r="V20" s="748"/>
      <c r="W20" s="749"/>
      <c r="X20" s="763" t="s">
        <v>2261</v>
      </c>
    </row>
    <row r="21" spans="1:24" ht="90" x14ac:dyDescent="0.25">
      <c r="A21" s="345"/>
      <c r="B21" s="927"/>
      <c r="C21" s="560" t="s">
        <v>1941</v>
      </c>
      <c r="D21" s="561"/>
      <c r="E21" s="562" t="s">
        <v>1942</v>
      </c>
      <c r="F21" s="561" t="s">
        <v>1943</v>
      </c>
      <c r="G21" s="558">
        <v>0.25</v>
      </c>
      <c r="H21" s="556"/>
      <c r="I21" s="558">
        <v>0.25</v>
      </c>
      <c r="J21" s="556"/>
      <c r="K21" s="558">
        <v>0.25</v>
      </c>
      <c r="L21" s="556"/>
      <c r="M21" s="558">
        <v>0.25</v>
      </c>
      <c r="N21" s="556"/>
      <c r="O21" s="558">
        <v>1</v>
      </c>
      <c r="P21" s="753"/>
      <c r="Q21" s="751"/>
      <c r="R21" s="747"/>
      <c r="S21" s="747"/>
      <c r="T21" s="747"/>
      <c r="U21" s="748"/>
      <c r="V21" s="748"/>
      <c r="W21" s="749"/>
      <c r="X21" s="763" t="s">
        <v>2261</v>
      </c>
    </row>
    <row r="22" spans="1:24" ht="110.25" x14ac:dyDescent="0.25">
      <c r="A22" s="345"/>
      <c r="B22" s="927"/>
      <c r="C22" s="498" t="s">
        <v>1944</v>
      </c>
      <c r="D22" s="498" t="s">
        <v>1945</v>
      </c>
      <c r="E22" s="498" t="s">
        <v>1946</v>
      </c>
      <c r="F22" s="498" t="s">
        <v>1947</v>
      </c>
      <c r="G22" s="563">
        <v>0.25</v>
      </c>
      <c r="H22" s="255"/>
      <c r="I22" s="77">
        <v>0.25</v>
      </c>
      <c r="J22" s="255"/>
      <c r="K22" s="77">
        <v>0.25</v>
      </c>
      <c r="L22" s="255"/>
      <c r="M22" s="77">
        <v>0.25</v>
      </c>
      <c r="N22" s="255"/>
      <c r="O22" s="344"/>
      <c r="P22" s="753"/>
      <c r="Q22" s="751"/>
      <c r="R22" s="747"/>
      <c r="S22" s="747"/>
      <c r="T22" s="747"/>
      <c r="U22" s="748"/>
      <c r="V22" s="748"/>
      <c r="W22" s="749"/>
      <c r="X22" s="763" t="s">
        <v>2261</v>
      </c>
    </row>
    <row r="23" spans="1:24" ht="78.75" x14ac:dyDescent="0.25">
      <c r="A23" s="345"/>
      <c r="B23" s="927"/>
      <c r="C23" s="498" t="s">
        <v>1948</v>
      </c>
      <c r="D23" s="498" t="s">
        <v>1949</v>
      </c>
      <c r="E23" s="498" t="s">
        <v>1950</v>
      </c>
      <c r="F23" s="498" t="s">
        <v>1951</v>
      </c>
      <c r="G23" s="563">
        <v>0.25</v>
      </c>
      <c r="H23" s="255"/>
      <c r="I23" s="77">
        <v>0.25</v>
      </c>
      <c r="J23" s="255"/>
      <c r="K23" s="77">
        <v>0.25</v>
      </c>
      <c r="L23" s="255"/>
      <c r="M23" s="77">
        <v>0.25</v>
      </c>
      <c r="N23" s="255"/>
      <c r="O23" s="521">
        <v>1</v>
      </c>
      <c r="P23" s="753"/>
      <c r="Q23" s="751"/>
      <c r="R23" s="747"/>
      <c r="S23" s="747"/>
      <c r="T23" s="747"/>
      <c r="U23" s="748"/>
      <c r="V23" s="748"/>
      <c r="W23" s="749"/>
      <c r="X23" s="763" t="s">
        <v>2261</v>
      </c>
    </row>
    <row r="24" spans="1:24" ht="110.25" x14ac:dyDescent="0.25">
      <c r="A24" s="345"/>
      <c r="B24" s="927"/>
      <c r="C24" s="498" t="s">
        <v>1952</v>
      </c>
      <c r="D24" s="498" t="s">
        <v>1953</v>
      </c>
      <c r="E24" s="498" t="s">
        <v>1954</v>
      </c>
      <c r="F24" s="498" t="s">
        <v>1955</v>
      </c>
      <c r="G24" s="563">
        <v>0.25</v>
      </c>
      <c r="H24" s="255"/>
      <c r="I24" s="77">
        <v>0.25</v>
      </c>
      <c r="J24" s="255"/>
      <c r="K24" s="77">
        <v>0.25</v>
      </c>
      <c r="L24" s="255"/>
      <c r="M24" s="77">
        <v>0.25</v>
      </c>
      <c r="N24" s="255"/>
      <c r="O24" s="521">
        <v>1</v>
      </c>
      <c r="P24" s="753"/>
      <c r="Q24" s="751"/>
      <c r="R24" s="747"/>
      <c r="S24" s="747"/>
      <c r="T24" s="747"/>
      <c r="U24" s="748"/>
      <c r="V24" s="748"/>
      <c r="W24" s="749"/>
      <c r="X24" s="763" t="s">
        <v>2261</v>
      </c>
    </row>
    <row r="25" spans="1:24" ht="242.25" customHeight="1" x14ac:dyDescent="0.25">
      <c r="A25" s="345"/>
      <c r="B25" s="927"/>
      <c r="C25" s="498" t="s">
        <v>1956</v>
      </c>
      <c r="D25" s="498" t="s">
        <v>1957</v>
      </c>
      <c r="E25" s="498" t="s">
        <v>1958</v>
      </c>
      <c r="F25" s="498" t="s">
        <v>1986</v>
      </c>
      <c r="G25" s="563"/>
      <c r="H25" s="255"/>
      <c r="I25" s="387">
        <v>0.25</v>
      </c>
      <c r="J25" s="515"/>
      <c r="K25" s="559"/>
      <c r="L25" s="515"/>
      <c r="M25" s="387">
        <v>0.75</v>
      </c>
      <c r="N25" s="255"/>
      <c r="O25" s="521">
        <v>1</v>
      </c>
      <c r="P25" s="753"/>
      <c r="Q25" s="751"/>
      <c r="R25" s="747"/>
      <c r="S25" s="747"/>
      <c r="T25" s="747"/>
      <c r="U25" s="748"/>
      <c r="V25" s="748"/>
      <c r="W25" s="749"/>
      <c r="X25" s="763" t="s">
        <v>2261</v>
      </c>
    </row>
    <row r="26" spans="1:24" ht="144" customHeight="1" x14ac:dyDescent="0.25">
      <c r="A26" s="345"/>
      <c r="B26" s="927"/>
      <c r="C26" s="498" t="s">
        <v>1959</v>
      </c>
      <c r="D26" s="498" t="s">
        <v>1960</v>
      </c>
      <c r="E26" s="498" t="s">
        <v>1961</v>
      </c>
      <c r="F26" s="498" t="s">
        <v>1962</v>
      </c>
      <c r="G26" s="563">
        <v>0.25</v>
      </c>
      <c r="H26" s="255"/>
      <c r="I26" s="77">
        <v>0.25</v>
      </c>
      <c r="J26" s="255"/>
      <c r="K26" s="77">
        <v>0.3</v>
      </c>
      <c r="L26" s="255"/>
      <c r="M26" s="77">
        <v>0.2</v>
      </c>
      <c r="N26" s="255">
        <v>200000</v>
      </c>
      <c r="O26" s="521">
        <v>1</v>
      </c>
      <c r="P26" s="753"/>
      <c r="Q26" s="751"/>
      <c r="R26" s="747"/>
      <c r="S26" s="747"/>
      <c r="T26" s="747"/>
      <c r="U26" s="748"/>
      <c r="V26" s="748"/>
      <c r="W26" s="749"/>
      <c r="X26" s="763" t="s">
        <v>2261</v>
      </c>
    </row>
    <row r="27" spans="1:24" ht="94.5" x14ac:dyDescent="0.25">
      <c r="A27" s="345"/>
      <c r="B27" s="927"/>
      <c r="C27" s="498" t="s">
        <v>1963</v>
      </c>
      <c r="D27" s="498" t="s">
        <v>1964</v>
      </c>
      <c r="E27" s="498" t="s">
        <v>1965</v>
      </c>
      <c r="F27" s="498" t="s">
        <v>1966</v>
      </c>
      <c r="G27" s="564"/>
      <c r="H27" s="255"/>
      <c r="I27" s="77">
        <v>0.25</v>
      </c>
      <c r="J27" s="255"/>
      <c r="K27" s="77">
        <v>0.25</v>
      </c>
      <c r="L27" s="255"/>
      <c r="M27" s="77">
        <v>0.25</v>
      </c>
      <c r="N27" s="255"/>
      <c r="O27" s="521">
        <v>1</v>
      </c>
      <c r="P27" s="753"/>
      <c r="Q27" s="751"/>
      <c r="R27" s="747"/>
      <c r="S27" s="747"/>
      <c r="T27" s="747"/>
      <c r="U27" s="748"/>
      <c r="V27" s="748"/>
      <c r="W27" s="749"/>
      <c r="X27" s="763" t="s">
        <v>2261</v>
      </c>
    </row>
    <row r="28" spans="1:24" ht="157.5" x14ac:dyDescent="0.25">
      <c r="A28" s="345"/>
      <c r="B28" s="927"/>
      <c r="C28" s="498" t="s">
        <v>1967</v>
      </c>
      <c r="D28" s="498" t="s">
        <v>1968</v>
      </c>
      <c r="E28" s="498" t="s">
        <v>1969</v>
      </c>
      <c r="F28" s="498" t="s">
        <v>1970</v>
      </c>
      <c r="G28" s="564"/>
      <c r="H28" s="255"/>
      <c r="I28" s="77">
        <v>0.25</v>
      </c>
      <c r="J28" s="255"/>
      <c r="K28" s="77">
        <v>0.25</v>
      </c>
      <c r="L28" s="255"/>
      <c r="M28" s="77">
        <v>0.25</v>
      </c>
      <c r="N28" s="255"/>
      <c r="O28" s="521">
        <v>1</v>
      </c>
      <c r="P28" s="753"/>
      <c r="Q28" s="751"/>
      <c r="R28" s="747"/>
      <c r="S28" s="747"/>
      <c r="T28" s="747"/>
      <c r="U28" s="748"/>
      <c r="V28" s="748"/>
      <c r="W28" s="749"/>
      <c r="X28" s="763" t="s">
        <v>2261</v>
      </c>
    </row>
    <row r="29" spans="1:24" ht="207.75" customHeight="1" x14ac:dyDescent="0.25">
      <c r="A29" s="345"/>
      <c r="B29" s="927"/>
      <c r="C29" s="498" t="s">
        <v>1971</v>
      </c>
      <c r="D29" s="498" t="s">
        <v>1972</v>
      </c>
      <c r="E29" s="498" t="s">
        <v>1973</v>
      </c>
      <c r="F29" s="498" t="s">
        <v>1974</v>
      </c>
      <c r="G29" s="563">
        <v>0.25</v>
      </c>
      <c r="H29" s="255"/>
      <c r="I29" s="77">
        <v>0.25</v>
      </c>
      <c r="J29" s="255"/>
      <c r="K29" s="77">
        <v>0.25</v>
      </c>
      <c r="L29" s="255"/>
      <c r="M29" s="77">
        <v>0.25</v>
      </c>
      <c r="N29" s="255"/>
      <c r="O29" s="521">
        <v>1</v>
      </c>
      <c r="P29" s="753"/>
      <c r="Q29" s="751"/>
      <c r="R29" s="747"/>
      <c r="S29" s="747"/>
      <c r="T29" s="747"/>
      <c r="U29" s="748"/>
      <c r="V29" s="748"/>
      <c r="W29" s="749"/>
      <c r="X29" s="763" t="s">
        <v>2261</v>
      </c>
    </row>
    <row r="30" spans="1:24" ht="220.5" customHeight="1" x14ac:dyDescent="0.25">
      <c r="A30" s="345"/>
      <c r="B30" s="927"/>
      <c r="C30" s="498" t="s">
        <v>1975</v>
      </c>
      <c r="D30" s="574" t="s">
        <v>2003</v>
      </c>
      <c r="E30" s="498" t="s">
        <v>1841</v>
      </c>
      <c r="F30" s="498" t="s">
        <v>1976</v>
      </c>
      <c r="G30" s="563">
        <v>0.25</v>
      </c>
      <c r="H30" s="573">
        <v>1060000</v>
      </c>
      <c r="I30" s="81"/>
      <c r="J30" s="255"/>
      <c r="K30" s="81"/>
      <c r="L30" s="255"/>
      <c r="M30" s="81"/>
      <c r="N30" s="255"/>
      <c r="O30" s="344"/>
      <c r="P30" s="753"/>
      <c r="Q30" s="751"/>
      <c r="R30" s="747"/>
      <c r="S30" s="747"/>
      <c r="T30" s="747"/>
      <c r="U30" s="748"/>
      <c r="V30" s="748"/>
      <c r="W30" s="749"/>
      <c r="X30" s="763" t="s">
        <v>2261</v>
      </c>
    </row>
    <row r="31" spans="1:24" ht="240" x14ac:dyDescent="0.25">
      <c r="A31" s="345"/>
      <c r="B31" s="927"/>
      <c r="C31" s="498" t="s">
        <v>1977</v>
      </c>
      <c r="D31" s="498" t="s">
        <v>1978</v>
      </c>
      <c r="E31" s="498"/>
      <c r="F31" s="375" t="s">
        <v>1979</v>
      </c>
      <c r="G31" s="563">
        <v>0.25</v>
      </c>
      <c r="H31" s="752"/>
      <c r="I31" s="77">
        <v>0.25</v>
      </c>
      <c r="J31" s="255"/>
      <c r="K31" s="77">
        <v>0.25</v>
      </c>
      <c r="L31" s="255"/>
      <c r="M31" s="77">
        <v>0.25</v>
      </c>
      <c r="N31" s="255"/>
      <c r="O31" s="521">
        <v>1</v>
      </c>
      <c r="P31" s="753"/>
      <c r="Q31" s="751"/>
      <c r="R31" s="747"/>
      <c r="S31" s="747"/>
      <c r="T31" s="747"/>
      <c r="U31" s="748"/>
      <c r="V31" s="748"/>
      <c r="W31" s="749"/>
      <c r="X31" s="763" t="s">
        <v>2261</v>
      </c>
    </row>
    <row r="32" spans="1:24" ht="178.5" customHeight="1" x14ac:dyDescent="0.25">
      <c r="A32" s="345"/>
      <c r="B32" s="927"/>
      <c r="C32" s="924" t="s">
        <v>1980</v>
      </c>
      <c r="D32" s="498" t="s">
        <v>1981</v>
      </c>
      <c r="E32" s="498"/>
      <c r="F32" s="498" t="s">
        <v>1982</v>
      </c>
      <c r="G32" s="563">
        <v>0.25</v>
      </c>
      <c r="H32" s="255"/>
      <c r="I32" s="77">
        <v>0.25</v>
      </c>
      <c r="J32" s="255"/>
      <c r="K32" s="77">
        <v>0.25</v>
      </c>
      <c r="L32" s="255"/>
      <c r="M32" s="77">
        <v>0.25</v>
      </c>
      <c r="N32" s="255"/>
      <c r="O32" s="521">
        <v>1</v>
      </c>
      <c r="P32" s="753">
        <f>H32+J32+L32+Q32</f>
        <v>0</v>
      </c>
      <c r="Q32" s="751"/>
      <c r="R32" s="747"/>
      <c r="S32" s="747"/>
      <c r="T32" s="747"/>
      <c r="U32" s="748"/>
      <c r="V32" s="748"/>
      <c r="W32" s="749"/>
      <c r="X32" s="763" t="s">
        <v>2261</v>
      </c>
    </row>
    <row r="33" spans="1:24" ht="78.75" x14ac:dyDescent="0.25">
      <c r="A33" s="345"/>
      <c r="B33" s="927"/>
      <c r="C33" s="925"/>
      <c r="D33" s="498"/>
      <c r="E33" s="498"/>
      <c r="F33" s="498"/>
      <c r="G33" s="564"/>
      <c r="H33" s="255"/>
      <c r="I33" s="81"/>
      <c r="J33" s="255"/>
      <c r="K33" s="81"/>
      <c r="L33" s="255"/>
      <c r="M33" s="81"/>
      <c r="N33" s="255"/>
      <c r="O33" s="344"/>
      <c r="P33" s="753">
        <f>H33+J33+L33+Q33</f>
        <v>0</v>
      </c>
      <c r="Q33" s="751"/>
      <c r="R33" s="747"/>
      <c r="S33" s="747"/>
      <c r="T33" s="747"/>
      <c r="U33" s="748"/>
      <c r="V33" s="748"/>
      <c r="W33" s="749"/>
      <c r="X33" s="763" t="s">
        <v>2261</v>
      </c>
    </row>
    <row r="34" spans="1:24" ht="78.75" x14ac:dyDescent="0.25">
      <c r="A34" s="345"/>
      <c r="B34" s="345"/>
      <c r="C34" s="82"/>
      <c r="D34" s="82"/>
      <c r="E34" s="82"/>
      <c r="F34" s="89" t="s">
        <v>1996</v>
      </c>
      <c r="G34" s="81"/>
      <c r="H34" s="255">
        <v>1500000</v>
      </c>
      <c r="I34" s="81"/>
      <c r="J34" s="255"/>
      <c r="K34" s="81"/>
      <c r="L34" s="255"/>
      <c r="M34" s="81"/>
      <c r="N34" s="255"/>
      <c r="O34" s="344"/>
      <c r="P34" s="753"/>
      <c r="Q34" s="751"/>
      <c r="R34" s="747"/>
      <c r="S34" s="747"/>
      <c r="T34" s="747"/>
      <c r="U34" s="748"/>
      <c r="V34" s="748"/>
      <c r="W34" s="749"/>
      <c r="X34" s="763" t="s">
        <v>2261</v>
      </c>
    </row>
    <row r="35" spans="1:24" ht="78.75" x14ac:dyDescent="0.25">
      <c r="A35" s="345"/>
      <c r="B35" s="345"/>
      <c r="C35" s="82"/>
      <c r="D35" s="82"/>
      <c r="E35" s="82"/>
      <c r="F35" s="89" t="s">
        <v>2054</v>
      </c>
      <c r="G35" s="81"/>
      <c r="H35" s="255">
        <v>96445</v>
      </c>
      <c r="I35" s="81"/>
      <c r="J35" s="255"/>
      <c r="K35" s="81"/>
      <c r="L35" s="255"/>
      <c r="M35" s="81"/>
      <c r="N35" s="255"/>
      <c r="O35" s="344"/>
      <c r="P35" s="753"/>
      <c r="Q35" s="751"/>
      <c r="R35" s="747"/>
      <c r="S35" s="747"/>
      <c r="T35" s="747"/>
      <c r="U35" s="748"/>
      <c r="V35" s="748"/>
      <c r="W35" s="749"/>
      <c r="X35" s="763" t="s">
        <v>2261</v>
      </c>
    </row>
    <row r="36" spans="1:24" ht="78.75" x14ac:dyDescent="0.25">
      <c r="A36" s="345"/>
      <c r="B36" s="345"/>
      <c r="C36" s="82"/>
      <c r="D36" s="82"/>
      <c r="E36" s="82"/>
      <c r="F36" s="89"/>
      <c r="G36" s="81"/>
      <c r="H36" s="255"/>
      <c r="I36" s="81"/>
      <c r="J36" s="255"/>
      <c r="K36" s="81"/>
      <c r="L36" s="255"/>
      <c r="M36" s="81"/>
      <c r="N36" s="255"/>
      <c r="O36" s="344"/>
      <c r="P36" s="753"/>
      <c r="Q36" s="751"/>
      <c r="R36" s="747"/>
      <c r="S36" s="747"/>
      <c r="T36" s="747"/>
      <c r="U36" s="748"/>
      <c r="V36" s="748"/>
      <c r="W36" s="749"/>
      <c r="X36" s="763" t="s">
        <v>2261</v>
      </c>
    </row>
    <row r="37" spans="1:24" ht="78.75" x14ac:dyDescent="0.25">
      <c r="A37" s="554"/>
      <c r="B37" s="554"/>
      <c r="C37" s="82"/>
      <c r="D37" s="82"/>
      <c r="E37" s="82"/>
      <c r="F37" s="89"/>
      <c r="G37" s="81"/>
      <c r="H37" s="255"/>
      <c r="I37" s="81"/>
      <c r="J37" s="255"/>
      <c r="K37" s="81"/>
      <c r="L37" s="255"/>
      <c r="M37" s="81"/>
      <c r="N37" s="255"/>
      <c r="O37" s="344"/>
      <c r="P37" s="753"/>
      <c r="Q37" s="751"/>
      <c r="R37" s="747"/>
      <c r="S37" s="747"/>
      <c r="T37" s="747"/>
      <c r="U37" s="748"/>
      <c r="V37" s="748"/>
      <c r="W37" s="749"/>
      <c r="X37" s="763" t="s">
        <v>2261</v>
      </c>
    </row>
    <row r="38" spans="1:24" s="347" customFormat="1" ht="15.6" customHeight="1" x14ac:dyDescent="0.2">
      <c r="A38" s="359"/>
      <c r="B38" s="360"/>
      <c r="C38" s="359" t="s">
        <v>134</v>
      </c>
      <c r="D38" s="360"/>
      <c r="E38" s="360"/>
      <c r="F38" s="361"/>
      <c r="G38" s="315">
        <f t="shared" ref="G38:N38" si="0">SUM(G7:G37)</f>
        <v>4.25</v>
      </c>
      <c r="H38" s="250">
        <f>SUM(H7:H37)</f>
        <v>622110122.5</v>
      </c>
      <c r="I38" s="315">
        <f t="shared" si="0"/>
        <v>4.75</v>
      </c>
      <c r="J38" s="250">
        <f t="shared" si="0"/>
        <v>15859895</v>
      </c>
      <c r="K38" s="315">
        <f t="shared" si="0"/>
        <v>5.05</v>
      </c>
      <c r="L38" s="250">
        <f t="shared" si="0"/>
        <v>0</v>
      </c>
      <c r="M38" s="315">
        <f t="shared" si="0"/>
        <v>4.7</v>
      </c>
      <c r="N38" s="250">
        <f t="shared" si="0"/>
        <v>200000</v>
      </c>
      <c r="O38" s="346">
        <f>G38+I38+K38+M38</f>
        <v>18.75</v>
      </c>
      <c r="P38" s="264">
        <f>SUM(H38+J38+L38+N38)</f>
        <v>638170017.5</v>
      </c>
      <c r="Q38" s="315"/>
      <c r="R38" s="315"/>
      <c r="S38" s="315"/>
      <c r="T38" s="315"/>
      <c r="U38" s="315"/>
      <c r="V38" s="315"/>
      <c r="W38" s="315"/>
    </row>
    <row r="39" spans="1:24" x14ac:dyDescent="0.25">
      <c r="H39"/>
      <c r="J39"/>
      <c r="L39"/>
      <c r="N39"/>
      <c r="P39"/>
    </row>
    <row r="40" spans="1:24" x14ac:dyDescent="0.25">
      <c r="H40"/>
      <c r="J40"/>
      <c r="L40"/>
      <c r="N40"/>
      <c r="P40"/>
    </row>
    <row r="41" spans="1:24" x14ac:dyDescent="0.25">
      <c r="H41"/>
      <c r="J41"/>
      <c r="L41"/>
      <c r="N41"/>
      <c r="P41"/>
    </row>
    <row r="42" spans="1:24" x14ac:dyDescent="0.25">
      <c r="H42"/>
      <c r="J42"/>
      <c r="L42"/>
      <c r="N42"/>
      <c r="P42"/>
    </row>
    <row r="43" spans="1:24" x14ac:dyDescent="0.25">
      <c r="H43"/>
      <c r="J43"/>
      <c r="L43"/>
      <c r="N43"/>
      <c r="P43"/>
    </row>
    <row r="44" spans="1:24" x14ac:dyDescent="0.25">
      <c r="H44"/>
      <c r="J44"/>
      <c r="L44"/>
      <c r="N44"/>
      <c r="P44"/>
    </row>
    <row r="45" spans="1:24" x14ac:dyDescent="0.25">
      <c r="H45"/>
      <c r="J45"/>
      <c r="L45"/>
      <c r="N45"/>
      <c r="P45"/>
    </row>
    <row r="46" spans="1:24" x14ac:dyDescent="0.25">
      <c r="H46"/>
      <c r="J46"/>
      <c r="L46"/>
      <c r="N46"/>
      <c r="P46"/>
    </row>
    <row r="47" spans="1:24" x14ac:dyDescent="0.25">
      <c r="H47"/>
      <c r="J47"/>
      <c r="L47"/>
      <c r="N47"/>
      <c r="P47"/>
    </row>
    <row r="48" spans="1:24"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row r="254" spans="8:16" x14ac:dyDescent="0.25">
      <c r="H254"/>
      <c r="J254"/>
      <c r="L254"/>
      <c r="N254"/>
      <c r="P254"/>
    </row>
    <row r="255" spans="8:16" x14ac:dyDescent="0.25">
      <c r="H255"/>
      <c r="J255"/>
      <c r="L255"/>
      <c r="N255"/>
      <c r="P255"/>
    </row>
    <row r="256" spans="8:16" x14ac:dyDescent="0.25">
      <c r="H256"/>
      <c r="J256"/>
      <c r="L256"/>
      <c r="N256"/>
      <c r="P256"/>
    </row>
    <row r="257" spans="8:16" x14ac:dyDescent="0.25">
      <c r="H257"/>
      <c r="J257"/>
      <c r="L257"/>
      <c r="N257"/>
      <c r="P257"/>
    </row>
    <row r="258" spans="8:16" x14ac:dyDescent="0.25">
      <c r="H258"/>
      <c r="J258"/>
      <c r="L258"/>
      <c r="N258"/>
      <c r="P258"/>
    </row>
    <row r="259" spans="8:16" x14ac:dyDescent="0.25">
      <c r="H259"/>
      <c r="J259"/>
      <c r="L259"/>
      <c r="N259"/>
      <c r="P259"/>
    </row>
    <row r="260" spans="8:16" x14ac:dyDescent="0.25">
      <c r="H260"/>
      <c r="J260"/>
      <c r="L260"/>
      <c r="N260"/>
      <c r="P260"/>
    </row>
  </sheetData>
  <mergeCells count="24">
    <mergeCell ref="C32:C33"/>
    <mergeCell ref="B19:B33"/>
    <mergeCell ref="A1:F1"/>
    <mergeCell ref="A2:F3"/>
    <mergeCell ref="A4:A6"/>
    <mergeCell ref="B4:B6"/>
    <mergeCell ref="C4:C6"/>
    <mergeCell ref="D4:D6"/>
    <mergeCell ref="E4:E6"/>
    <mergeCell ref="F4:F6"/>
    <mergeCell ref="A7:A16"/>
    <mergeCell ref="B8:B11"/>
    <mergeCell ref="V4:V6"/>
    <mergeCell ref="W4:W6"/>
    <mergeCell ref="G5:H5"/>
    <mergeCell ref="I5:J5"/>
    <mergeCell ref="K5:L5"/>
    <mergeCell ref="M5:N5"/>
    <mergeCell ref="G4:N4"/>
    <mergeCell ref="O4:P5"/>
    <mergeCell ref="Q4:R5"/>
    <mergeCell ref="S4:S6"/>
    <mergeCell ref="T4:T6"/>
    <mergeCell ref="U4:U6"/>
  </mergeCells>
  <printOptions horizontalCentered="1" verticalCentered="1"/>
  <pageMargins left="0.70866141732283472" right="0.70866141732283472" top="0.74803149606299213" bottom="0.74803149606299213" header="0.31496062992125984" footer="0.31496062992125984"/>
  <pageSetup scale="80" orientation="landscape" horizont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C8"/>
  <sheetViews>
    <sheetView topLeftCell="L1" zoomScale="80" zoomScaleNormal="80" workbookViewId="0">
      <selection activeCell="X7" sqref="X7"/>
    </sheetView>
  </sheetViews>
  <sheetFormatPr baseColWidth="10" defaultRowHeight="15" x14ac:dyDescent="0.25"/>
  <cols>
    <col min="1" max="1" width="24.28515625" customWidth="1"/>
    <col min="2" max="2" width="21.7109375" customWidth="1"/>
    <col min="3" max="6" width="27.42578125" customWidth="1"/>
    <col min="7" max="7" width="15.28515625" customWidth="1"/>
    <col min="8" max="8" width="16.28515625" style="251" customWidth="1"/>
    <col min="9" max="9" width="15.28515625" customWidth="1"/>
    <col min="10" max="10" width="18.85546875" style="251" customWidth="1"/>
    <col min="12" max="12" width="11.42578125" style="251"/>
    <col min="14" max="14" width="11.42578125" style="251"/>
    <col min="15" max="15" width="15.28515625" customWidth="1"/>
    <col min="16" max="16" width="18.28515625" style="251" customWidth="1"/>
    <col min="19" max="22" width="14.140625" customWidth="1"/>
    <col min="23" max="23" width="17" customWidth="1"/>
    <col min="24" max="24" width="21.42578125" customWidth="1"/>
  </cols>
  <sheetData>
    <row r="1" spans="1:29" ht="18.75" x14ac:dyDescent="0.25">
      <c r="G1" s="341" t="s">
        <v>195</v>
      </c>
      <c r="I1" s="341"/>
      <c r="J1" s="341"/>
      <c r="K1" s="341"/>
      <c r="L1" s="341"/>
      <c r="M1" s="341"/>
      <c r="N1" s="341"/>
      <c r="O1" s="341"/>
      <c r="P1" s="341"/>
      <c r="Q1" s="341"/>
      <c r="R1" s="341"/>
      <c r="S1" s="341"/>
      <c r="T1" s="341"/>
      <c r="U1" s="341"/>
      <c r="V1" s="341"/>
      <c r="W1" s="341"/>
      <c r="X1" s="341"/>
      <c r="Y1" s="341"/>
      <c r="Z1" s="341"/>
      <c r="AA1" s="341"/>
      <c r="AB1" s="341"/>
      <c r="AC1" s="341"/>
    </row>
    <row r="2" spans="1:29" ht="14.45" customHeight="1" x14ac:dyDescent="0.25">
      <c r="A2" s="320" t="s">
        <v>199</v>
      </c>
      <c r="B2" s="320"/>
      <c r="C2" s="320"/>
      <c r="D2" s="320"/>
      <c r="E2" s="320"/>
      <c r="F2" s="320"/>
      <c r="G2" s="320"/>
      <c r="H2" s="320"/>
      <c r="I2" s="320"/>
      <c r="J2" s="320"/>
      <c r="K2" s="320"/>
      <c r="L2" s="320"/>
      <c r="M2" s="320"/>
      <c r="N2" s="320"/>
      <c r="O2" s="320"/>
      <c r="P2" s="320"/>
      <c r="Q2" s="320"/>
      <c r="R2" s="320"/>
      <c r="S2" s="320"/>
      <c r="T2" s="320"/>
      <c r="U2" s="320"/>
      <c r="V2" s="320"/>
      <c r="W2" s="320"/>
    </row>
    <row r="3" spans="1:29" x14ac:dyDescent="0.25">
      <c r="A3" s="800" t="s">
        <v>100</v>
      </c>
      <c r="B3" s="888" t="s">
        <v>118</v>
      </c>
      <c r="C3" s="801" t="s">
        <v>88</v>
      </c>
      <c r="D3" s="801" t="s">
        <v>89</v>
      </c>
      <c r="E3" s="877" t="s">
        <v>473</v>
      </c>
      <c r="F3" s="801" t="s">
        <v>90</v>
      </c>
      <c r="G3" s="800" t="s">
        <v>104</v>
      </c>
      <c r="H3" s="800"/>
      <c r="I3" s="800"/>
      <c r="J3" s="800"/>
      <c r="K3" s="800"/>
      <c r="L3" s="800"/>
      <c r="M3" s="800"/>
      <c r="N3" s="800"/>
      <c r="O3" s="801" t="s">
        <v>105</v>
      </c>
      <c r="P3" s="801"/>
      <c r="Q3" s="800" t="s">
        <v>106</v>
      </c>
      <c r="R3" s="800"/>
      <c r="S3" s="800" t="s">
        <v>107</v>
      </c>
      <c r="T3" s="800" t="s">
        <v>108</v>
      </c>
      <c r="U3" s="888" t="s">
        <v>116</v>
      </c>
      <c r="V3" s="888" t="s">
        <v>115</v>
      </c>
      <c r="W3" s="893" t="s">
        <v>91</v>
      </c>
    </row>
    <row r="4" spans="1:29" x14ac:dyDescent="0.25">
      <c r="A4" s="800"/>
      <c r="B4" s="889"/>
      <c r="C4" s="801"/>
      <c r="D4" s="801"/>
      <c r="E4" s="878"/>
      <c r="F4" s="801"/>
      <c r="G4" s="800" t="s">
        <v>109</v>
      </c>
      <c r="H4" s="800"/>
      <c r="I4" s="800" t="s">
        <v>110</v>
      </c>
      <c r="J4" s="800"/>
      <c r="K4" s="800" t="s">
        <v>111</v>
      </c>
      <c r="L4" s="800"/>
      <c r="M4" s="800" t="s">
        <v>112</v>
      </c>
      <c r="N4" s="800"/>
      <c r="O4" s="801"/>
      <c r="P4" s="801"/>
      <c r="Q4" s="800"/>
      <c r="R4" s="800"/>
      <c r="S4" s="800"/>
      <c r="T4" s="800"/>
      <c r="U4" s="889"/>
      <c r="V4" s="889"/>
      <c r="W4" s="893"/>
    </row>
    <row r="5" spans="1:29" ht="25.5" x14ac:dyDescent="0.25">
      <c r="A5" s="800"/>
      <c r="B5" s="890"/>
      <c r="C5" s="801"/>
      <c r="D5" s="801"/>
      <c r="E5" s="879"/>
      <c r="F5" s="801"/>
      <c r="G5" s="403" t="s">
        <v>113</v>
      </c>
      <c r="H5" s="248" t="s">
        <v>12</v>
      </c>
      <c r="I5" s="403" t="s">
        <v>113</v>
      </c>
      <c r="J5" s="248" t="s">
        <v>12</v>
      </c>
      <c r="K5" s="403" t="s">
        <v>113</v>
      </c>
      <c r="L5" s="248" t="s">
        <v>12</v>
      </c>
      <c r="M5" s="403" t="s">
        <v>113</v>
      </c>
      <c r="N5" s="248" t="s">
        <v>12</v>
      </c>
      <c r="O5" s="403" t="s">
        <v>113</v>
      </c>
      <c r="P5" s="248" t="s">
        <v>12</v>
      </c>
      <c r="Q5" s="403" t="s">
        <v>114</v>
      </c>
      <c r="R5" s="403" t="s">
        <v>85</v>
      </c>
      <c r="S5" s="800"/>
      <c r="T5" s="800"/>
      <c r="U5" s="890"/>
      <c r="V5" s="890"/>
      <c r="W5" s="893"/>
    </row>
    <row r="6" spans="1:29" ht="15.75" x14ac:dyDescent="0.25">
      <c r="A6" s="822" t="s">
        <v>1829</v>
      </c>
      <c r="B6" s="822"/>
      <c r="C6" s="82"/>
      <c r="D6" s="82"/>
      <c r="E6" s="82"/>
      <c r="F6" s="80"/>
      <c r="G6" s="83"/>
      <c r="H6" s="254"/>
      <c r="I6" s="83"/>
      <c r="J6" s="254"/>
      <c r="K6" s="83"/>
      <c r="L6" s="254"/>
      <c r="M6" s="83"/>
      <c r="N6" s="254"/>
      <c r="O6" s="349"/>
      <c r="P6" s="257"/>
      <c r="Q6" s="73"/>
      <c r="R6" s="73"/>
      <c r="S6" s="74"/>
      <c r="T6" s="73"/>
      <c r="U6" s="73"/>
      <c r="V6" s="73"/>
      <c r="W6" s="82"/>
    </row>
    <row r="7" spans="1:29" ht="276" customHeight="1" x14ac:dyDescent="0.25">
      <c r="A7" s="822"/>
      <c r="B7" s="822"/>
      <c r="C7" s="82" t="s">
        <v>1830</v>
      </c>
      <c r="D7" s="82" t="s">
        <v>1831</v>
      </c>
      <c r="E7" s="82" t="s">
        <v>1832</v>
      </c>
      <c r="F7" s="80" t="s">
        <v>1833</v>
      </c>
      <c r="G7" s="83">
        <v>0.25</v>
      </c>
      <c r="H7" s="254"/>
      <c r="I7" s="83">
        <v>0.25</v>
      </c>
      <c r="J7" s="254"/>
      <c r="K7" s="83">
        <v>0.25</v>
      </c>
      <c r="L7" s="254"/>
      <c r="M7" s="83">
        <v>0.25</v>
      </c>
      <c r="N7" s="254"/>
      <c r="O7" s="349">
        <v>0.25</v>
      </c>
      <c r="P7" s="257"/>
      <c r="Q7" s="73">
        <v>142</v>
      </c>
      <c r="R7" s="73" t="s">
        <v>191</v>
      </c>
      <c r="S7" s="73" t="s">
        <v>2254</v>
      </c>
      <c r="T7" s="73" t="s">
        <v>184</v>
      </c>
      <c r="U7" s="73" t="s">
        <v>183</v>
      </c>
      <c r="V7" s="73" t="s">
        <v>153</v>
      </c>
      <c r="W7" s="82" t="s">
        <v>2255</v>
      </c>
      <c r="X7" s="763" t="s">
        <v>2261</v>
      </c>
    </row>
    <row r="8" spans="1:29" ht="15.75" x14ac:dyDescent="0.25">
      <c r="A8" s="352"/>
      <c r="B8" s="353"/>
      <c r="C8" s="353"/>
      <c r="D8" s="352" t="s">
        <v>151</v>
      </c>
      <c r="E8" s="353"/>
      <c r="F8" s="354"/>
      <c r="G8" s="350">
        <f t="shared" ref="G8:N8" si="0">SUM(G6:G7)</f>
        <v>0.25</v>
      </c>
      <c r="H8" s="261">
        <f t="shared" si="0"/>
        <v>0</v>
      </c>
      <c r="I8" s="350">
        <f t="shared" si="0"/>
        <v>0.25</v>
      </c>
      <c r="J8" s="261">
        <f t="shared" si="0"/>
        <v>0</v>
      </c>
      <c r="K8" s="350">
        <f t="shared" si="0"/>
        <v>0.25</v>
      </c>
      <c r="L8" s="261">
        <f t="shared" si="0"/>
        <v>0</v>
      </c>
      <c r="M8" s="350">
        <f t="shared" si="0"/>
        <v>0.25</v>
      </c>
      <c r="N8" s="261">
        <f t="shared" si="0"/>
        <v>0</v>
      </c>
      <c r="O8" s="350">
        <f>G8+I8+K8+M8</f>
        <v>1</v>
      </c>
      <c r="P8" s="262">
        <f>H8+J8+L8+N8</f>
        <v>0</v>
      </c>
      <c r="Q8" s="315"/>
      <c r="R8" s="315"/>
      <c r="S8" s="315"/>
      <c r="T8" s="315"/>
      <c r="U8" s="315"/>
      <c r="V8" s="315"/>
      <c r="W8" s="315"/>
    </row>
  </sheetData>
  <mergeCells count="20">
    <mergeCell ref="C3:C5"/>
    <mergeCell ref="D3:D5"/>
    <mergeCell ref="E3:E5"/>
    <mergeCell ref="F3:F5"/>
    <mergeCell ref="A6:A7"/>
    <mergeCell ref="B6:B7"/>
    <mergeCell ref="A3:A5"/>
    <mergeCell ref="B3:B5"/>
    <mergeCell ref="V3:V5"/>
    <mergeCell ref="W3:W5"/>
    <mergeCell ref="G4:H4"/>
    <mergeCell ref="I4:J4"/>
    <mergeCell ref="K4:L4"/>
    <mergeCell ref="M4:N4"/>
    <mergeCell ref="G3:N3"/>
    <mergeCell ref="O3:P4"/>
    <mergeCell ref="Q3:R4"/>
    <mergeCell ref="S3:S5"/>
    <mergeCell ref="T3:T5"/>
    <mergeCell ref="U3:U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X16"/>
  <sheetViews>
    <sheetView topLeftCell="A10" zoomScale="40" zoomScaleNormal="40" workbookViewId="0">
      <selection activeCell="Z15" sqref="Z15"/>
    </sheetView>
  </sheetViews>
  <sheetFormatPr baseColWidth="10" defaultRowHeight="15" x14ac:dyDescent="0.25"/>
  <cols>
    <col min="1" max="2" width="21.7109375" customWidth="1"/>
    <col min="3" max="4" width="27.42578125" customWidth="1"/>
    <col min="5" max="5" width="13.5703125" customWidth="1"/>
    <col min="6" max="6" width="27.42578125" customWidth="1"/>
    <col min="7" max="7" width="15.28515625" customWidth="1"/>
    <col min="8" max="8" width="15.140625" style="251" customWidth="1"/>
    <col min="9" max="9" width="15.28515625" customWidth="1"/>
    <col min="10" max="10" width="18.85546875" style="251" customWidth="1"/>
    <col min="12" max="12" width="11.42578125" style="251"/>
    <col min="14" max="14" width="11.42578125" style="251"/>
    <col min="15" max="15" width="15.28515625" customWidth="1"/>
    <col min="16" max="16" width="18.28515625" style="251" customWidth="1"/>
    <col min="19" max="22" width="14.140625" customWidth="1"/>
    <col min="23" max="23" width="17" customWidth="1"/>
    <col min="24" max="24" width="26.5703125" customWidth="1"/>
  </cols>
  <sheetData>
    <row r="1" spans="1:24" ht="18.75" x14ac:dyDescent="0.25">
      <c r="B1" s="341"/>
      <c r="C1" s="341"/>
      <c r="D1" s="341"/>
      <c r="E1" s="341"/>
      <c r="F1" s="341"/>
      <c r="G1" s="341" t="s">
        <v>656</v>
      </c>
      <c r="I1" s="341"/>
      <c r="J1" s="341"/>
      <c r="K1" s="341"/>
      <c r="L1" s="341"/>
      <c r="M1" s="341"/>
      <c r="N1" s="341"/>
      <c r="O1" s="341"/>
      <c r="P1" s="341"/>
      <c r="Q1" s="341"/>
      <c r="R1" s="341"/>
      <c r="S1" s="341"/>
      <c r="T1" s="341"/>
      <c r="U1" s="341"/>
      <c r="V1" s="341"/>
      <c r="W1" s="341"/>
    </row>
    <row r="2" spans="1:24" x14ac:dyDescent="0.25">
      <c r="A2" s="320" t="s">
        <v>657</v>
      </c>
      <c r="B2" s="320"/>
      <c r="C2" s="320"/>
      <c r="D2" s="320"/>
      <c r="E2" s="320"/>
      <c r="F2" s="320"/>
      <c r="G2" s="320"/>
      <c r="H2" s="320"/>
      <c r="I2" s="320"/>
      <c r="J2" s="320"/>
      <c r="K2" s="320"/>
      <c r="L2" s="320"/>
      <c r="M2" s="320"/>
      <c r="N2" s="320"/>
      <c r="O2" s="320"/>
      <c r="P2" s="320"/>
      <c r="Q2" s="320"/>
      <c r="R2" s="320"/>
      <c r="S2" s="320"/>
      <c r="T2" s="320"/>
      <c r="U2" s="320"/>
      <c r="V2" s="320"/>
      <c r="W2" s="320"/>
    </row>
    <row r="3" spans="1:24" x14ac:dyDescent="0.25">
      <c r="A3" s="800" t="s">
        <v>100</v>
      </c>
      <c r="B3" s="888" t="s">
        <v>118</v>
      </c>
      <c r="C3" s="801" t="s">
        <v>88</v>
      </c>
      <c r="D3" s="801" t="s">
        <v>89</v>
      </c>
      <c r="E3" s="877" t="s">
        <v>473</v>
      </c>
      <c r="F3" s="801" t="s">
        <v>90</v>
      </c>
      <c r="G3" s="800" t="s">
        <v>104</v>
      </c>
      <c r="H3" s="800"/>
      <c r="I3" s="800"/>
      <c r="J3" s="800"/>
      <c r="K3" s="800"/>
      <c r="L3" s="800"/>
      <c r="M3" s="800"/>
      <c r="N3" s="800"/>
      <c r="O3" s="801" t="s">
        <v>105</v>
      </c>
      <c r="P3" s="801"/>
      <c r="Q3" s="800" t="s">
        <v>106</v>
      </c>
      <c r="R3" s="800"/>
      <c r="S3" s="800" t="s">
        <v>107</v>
      </c>
      <c r="T3" s="800" t="s">
        <v>108</v>
      </c>
      <c r="U3" s="888" t="s">
        <v>116</v>
      </c>
      <c r="V3" s="888" t="s">
        <v>115</v>
      </c>
      <c r="W3" s="893" t="s">
        <v>91</v>
      </c>
    </row>
    <row r="4" spans="1:24" x14ac:dyDescent="0.25">
      <c r="A4" s="800"/>
      <c r="B4" s="889"/>
      <c r="C4" s="801"/>
      <c r="D4" s="801"/>
      <c r="E4" s="878"/>
      <c r="F4" s="801"/>
      <c r="G4" s="800" t="s">
        <v>109</v>
      </c>
      <c r="H4" s="800"/>
      <c r="I4" s="800" t="s">
        <v>110</v>
      </c>
      <c r="J4" s="800"/>
      <c r="K4" s="800" t="s">
        <v>111</v>
      </c>
      <c r="L4" s="800"/>
      <c r="M4" s="800" t="s">
        <v>112</v>
      </c>
      <c r="N4" s="800"/>
      <c r="O4" s="801"/>
      <c r="P4" s="801"/>
      <c r="Q4" s="800"/>
      <c r="R4" s="800"/>
      <c r="S4" s="800"/>
      <c r="T4" s="800"/>
      <c r="U4" s="889"/>
      <c r="V4" s="889"/>
      <c r="W4" s="893"/>
    </row>
    <row r="5" spans="1:24" ht="25.5" x14ac:dyDescent="0.25">
      <c r="A5" s="800"/>
      <c r="B5" s="890"/>
      <c r="C5" s="801"/>
      <c r="D5" s="801"/>
      <c r="E5" s="879"/>
      <c r="F5" s="801"/>
      <c r="G5" s="403" t="s">
        <v>113</v>
      </c>
      <c r="H5" s="248" t="s">
        <v>12</v>
      </c>
      <c r="I5" s="403" t="s">
        <v>113</v>
      </c>
      <c r="J5" s="248" t="s">
        <v>12</v>
      </c>
      <c r="K5" s="403" t="s">
        <v>113</v>
      </c>
      <c r="L5" s="248" t="s">
        <v>12</v>
      </c>
      <c r="M5" s="403" t="s">
        <v>113</v>
      </c>
      <c r="N5" s="248" t="s">
        <v>12</v>
      </c>
      <c r="O5" s="403" t="s">
        <v>113</v>
      </c>
      <c r="P5" s="248" t="s">
        <v>12</v>
      </c>
      <c r="Q5" s="403" t="s">
        <v>114</v>
      </c>
      <c r="R5" s="403" t="s">
        <v>85</v>
      </c>
      <c r="S5" s="800"/>
      <c r="T5" s="800"/>
      <c r="U5" s="890"/>
      <c r="V5" s="890"/>
      <c r="W5" s="893"/>
    </row>
    <row r="6" spans="1:24" ht="236.25" x14ac:dyDescent="0.25">
      <c r="A6" s="931" t="s">
        <v>200</v>
      </c>
      <c r="B6" s="864" t="s">
        <v>658</v>
      </c>
      <c r="C6" s="934" t="s">
        <v>1742</v>
      </c>
      <c r="D6" s="406" t="s">
        <v>659</v>
      </c>
      <c r="E6" s="406" t="s">
        <v>684</v>
      </c>
      <c r="F6" s="76" t="s">
        <v>2256</v>
      </c>
      <c r="G6" s="83">
        <v>0.3</v>
      </c>
      <c r="H6" s="758" t="s">
        <v>2257</v>
      </c>
      <c r="I6" s="83">
        <v>0.3</v>
      </c>
      <c r="J6" s="758" t="s">
        <v>2257</v>
      </c>
      <c r="K6" s="83">
        <v>0.2</v>
      </c>
      <c r="L6" s="758" t="s">
        <v>2257</v>
      </c>
      <c r="M6" s="83">
        <v>0.2</v>
      </c>
      <c r="N6" s="758" t="s">
        <v>2257</v>
      </c>
      <c r="O6" s="77">
        <v>1</v>
      </c>
      <c r="P6" s="254">
        <v>15000</v>
      </c>
      <c r="Q6" s="73">
        <v>126</v>
      </c>
      <c r="R6" s="73" t="s">
        <v>1743</v>
      </c>
      <c r="S6" s="75" t="s">
        <v>1744</v>
      </c>
      <c r="T6" s="73" t="s">
        <v>1745</v>
      </c>
      <c r="U6" s="73" t="s">
        <v>1746</v>
      </c>
      <c r="V6" s="73" t="s">
        <v>1747</v>
      </c>
      <c r="W6" s="73" t="s">
        <v>1748</v>
      </c>
      <c r="X6" s="763" t="s">
        <v>2261</v>
      </c>
    </row>
    <row r="7" spans="1:24" ht="157.5" x14ac:dyDescent="0.25">
      <c r="A7" s="932"/>
      <c r="B7" s="864"/>
      <c r="C7" s="934"/>
      <c r="D7" s="406" t="s">
        <v>660</v>
      </c>
      <c r="E7" s="406"/>
      <c r="F7" s="76" t="s">
        <v>1886</v>
      </c>
      <c r="G7" s="83">
        <v>0.3</v>
      </c>
      <c r="H7" s="759">
        <v>24400</v>
      </c>
      <c r="I7" s="83">
        <v>0.3</v>
      </c>
      <c r="J7" s="254"/>
      <c r="K7" s="83">
        <v>0.2</v>
      </c>
      <c r="L7" s="254"/>
      <c r="M7" s="83">
        <v>0.2</v>
      </c>
      <c r="N7" s="265"/>
      <c r="O7" s="77">
        <v>1</v>
      </c>
      <c r="P7" s="757">
        <f>50000+H7</f>
        <v>74400</v>
      </c>
      <c r="Q7" s="73">
        <v>265</v>
      </c>
      <c r="R7" s="73" t="s">
        <v>1749</v>
      </c>
      <c r="S7" s="75" t="s">
        <v>1750</v>
      </c>
      <c r="T7" s="73" t="s">
        <v>1751</v>
      </c>
      <c r="U7" s="73" t="s">
        <v>1752</v>
      </c>
      <c r="V7" s="75" t="s">
        <v>1747</v>
      </c>
      <c r="W7" s="72" t="s">
        <v>1748</v>
      </c>
      <c r="X7" s="763" t="s">
        <v>2261</v>
      </c>
    </row>
    <row r="8" spans="1:24" ht="94.5" x14ac:dyDescent="0.25">
      <c r="A8" s="932"/>
      <c r="B8" s="864"/>
      <c r="C8" s="934"/>
      <c r="D8" s="406" t="s">
        <v>661</v>
      </c>
      <c r="E8" s="406"/>
      <c r="F8" s="76"/>
      <c r="G8" s="83"/>
      <c r="H8" s="254"/>
      <c r="I8" s="83"/>
      <c r="J8" s="254"/>
      <c r="K8" s="83"/>
      <c r="L8" s="254"/>
      <c r="M8" s="83"/>
      <c r="N8" s="265"/>
      <c r="O8" s="78"/>
      <c r="P8" s="254"/>
      <c r="Q8" s="73"/>
      <c r="R8" s="73"/>
      <c r="S8" s="75"/>
      <c r="T8" s="73"/>
      <c r="U8" s="73"/>
      <c r="V8" s="75"/>
      <c r="W8" s="72"/>
      <c r="X8" s="763" t="s">
        <v>2261</v>
      </c>
    </row>
    <row r="9" spans="1:24" ht="157.5" x14ac:dyDescent="0.25">
      <c r="A9" s="932"/>
      <c r="B9" s="864" t="s">
        <v>662</v>
      </c>
      <c r="C9" s="406" t="s">
        <v>663</v>
      </c>
      <c r="D9" s="406" t="s">
        <v>664</v>
      </c>
      <c r="E9" s="406"/>
      <c r="F9" s="76" t="s">
        <v>665</v>
      </c>
      <c r="G9" s="83">
        <v>0.3</v>
      </c>
      <c r="H9" s="759" t="s">
        <v>2258</v>
      </c>
      <c r="I9" s="83">
        <v>0.3</v>
      </c>
      <c r="J9" s="759" t="s">
        <v>2258</v>
      </c>
      <c r="K9" s="83">
        <v>0.2</v>
      </c>
      <c r="L9" s="759" t="s">
        <v>2258</v>
      </c>
      <c r="M9" s="83">
        <v>0.2</v>
      </c>
      <c r="N9" s="759" t="s">
        <v>2258</v>
      </c>
      <c r="O9" s="77">
        <v>1</v>
      </c>
      <c r="P9" s="254">
        <v>20000</v>
      </c>
      <c r="Q9" s="73">
        <v>26</v>
      </c>
      <c r="R9" s="73" t="s">
        <v>164</v>
      </c>
      <c r="S9" s="75" t="s">
        <v>1753</v>
      </c>
      <c r="T9" s="73" t="s">
        <v>1754</v>
      </c>
      <c r="U9" s="73" t="s">
        <v>1755</v>
      </c>
      <c r="V9" s="73" t="s">
        <v>1756</v>
      </c>
      <c r="W9" s="73" t="s">
        <v>1748</v>
      </c>
      <c r="X9" s="763" t="s">
        <v>2261</v>
      </c>
    </row>
    <row r="10" spans="1:24" ht="126" x14ac:dyDescent="0.25">
      <c r="A10" s="932"/>
      <c r="B10" s="864"/>
      <c r="C10" s="406"/>
      <c r="D10" s="406" t="s">
        <v>666</v>
      </c>
      <c r="E10" s="406"/>
      <c r="F10" s="76" t="s">
        <v>667</v>
      </c>
      <c r="G10" s="83">
        <v>0.3</v>
      </c>
      <c r="H10" s="759" t="s">
        <v>2258</v>
      </c>
      <c r="I10" s="83">
        <v>0.3</v>
      </c>
      <c r="J10" s="759" t="s">
        <v>2258</v>
      </c>
      <c r="K10" s="83">
        <v>0.2</v>
      </c>
      <c r="L10" s="759" t="s">
        <v>2258</v>
      </c>
      <c r="M10" s="83">
        <v>0.2</v>
      </c>
      <c r="N10" s="759" t="s">
        <v>2258</v>
      </c>
      <c r="O10" s="79">
        <v>1</v>
      </c>
      <c r="P10" s="254">
        <v>100000</v>
      </c>
      <c r="Q10" s="73">
        <v>305</v>
      </c>
      <c r="R10" s="73" t="s">
        <v>1757</v>
      </c>
      <c r="S10" s="73" t="s">
        <v>1758</v>
      </c>
      <c r="T10" s="73" t="s">
        <v>1759</v>
      </c>
      <c r="U10" s="73" t="s">
        <v>1760</v>
      </c>
      <c r="V10" s="75" t="s">
        <v>1761</v>
      </c>
      <c r="W10" s="72" t="s">
        <v>1762</v>
      </c>
      <c r="X10" s="763" t="s">
        <v>2261</v>
      </c>
    </row>
    <row r="11" spans="1:24" ht="141.75" x14ac:dyDescent="0.25">
      <c r="A11" s="932"/>
      <c r="B11" s="864"/>
      <c r="C11" s="406"/>
      <c r="D11" s="406" t="s">
        <v>668</v>
      </c>
      <c r="E11" s="406"/>
      <c r="F11" s="76" t="s">
        <v>669</v>
      </c>
      <c r="G11" s="83">
        <v>0.3</v>
      </c>
      <c r="H11" s="759" t="s">
        <v>2258</v>
      </c>
      <c r="I11" s="83">
        <v>0.3</v>
      </c>
      <c r="J11" s="759" t="s">
        <v>2258</v>
      </c>
      <c r="K11" s="83">
        <v>0.2</v>
      </c>
      <c r="L11" s="759" t="s">
        <v>2258</v>
      </c>
      <c r="M11" s="83">
        <v>0.2</v>
      </c>
      <c r="N11" s="759" t="s">
        <v>2258</v>
      </c>
      <c r="O11" s="79">
        <v>1</v>
      </c>
      <c r="P11" s="254">
        <v>20000</v>
      </c>
      <c r="Q11" s="73">
        <v>482</v>
      </c>
      <c r="R11" s="73" t="s">
        <v>1763</v>
      </c>
      <c r="S11" s="75" t="s">
        <v>1764</v>
      </c>
      <c r="T11" s="73" t="s">
        <v>1765</v>
      </c>
      <c r="U11" s="73" t="s">
        <v>1766</v>
      </c>
      <c r="V11" s="75" t="s">
        <v>1761</v>
      </c>
      <c r="W11" s="72" t="s">
        <v>1762</v>
      </c>
      <c r="X11" s="763" t="s">
        <v>2261</v>
      </c>
    </row>
    <row r="12" spans="1:24" ht="110.25" x14ac:dyDescent="0.25">
      <c r="A12" s="932"/>
      <c r="B12" s="864" t="s">
        <v>670</v>
      </c>
      <c r="C12" s="406" t="s">
        <v>671</v>
      </c>
      <c r="D12" s="406" t="s">
        <v>672</v>
      </c>
      <c r="E12" s="406"/>
      <c r="F12" s="76" t="s">
        <v>673</v>
      </c>
      <c r="G12" s="83">
        <v>0.25</v>
      </c>
      <c r="H12" s="759" t="s">
        <v>2258</v>
      </c>
      <c r="I12" s="83">
        <v>0.25</v>
      </c>
      <c r="J12" s="759" t="s">
        <v>2258</v>
      </c>
      <c r="K12" s="83">
        <v>0.25</v>
      </c>
      <c r="L12" s="759" t="s">
        <v>2258</v>
      </c>
      <c r="M12" s="83">
        <v>0.25</v>
      </c>
      <c r="N12" s="759" t="s">
        <v>2258</v>
      </c>
      <c r="O12" s="79">
        <v>1</v>
      </c>
      <c r="P12" s="254">
        <v>40000</v>
      </c>
      <c r="Q12" s="73">
        <v>467</v>
      </c>
      <c r="R12" s="73" t="s">
        <v>1767</v>
      </c>
      <c r="S12" s="73" t="s">
        <v>1768</v>
      </c>
      <c r="T12" s="73" t="s">
        <v>1769</v>
      </c>
      <c r="U12" s="73" t="s">
        <v>1770</v>
      </c>
      <c r="V12" s="75" t="s">
        <v>1761</v>
      </c>
      <c r="W12" s="72" t="s">
        <v>1748</v>
      </c>
      <c r="X12" s="763" t="s">
        <v>2261</v>
      </c>
    </row>
    <row r="13" spans="1:24" ht="110.25" x14ac:dyDescent="0.25">
      <c r="A13" s="932"/>
      <c r="B13" s="864"/>
      <c r="C13" s="406"/>
      <c r="D13" s="406" t="s">
        <v>674</v>
      </c>
      <c r="E13" s="406"/>
      <c r="F13" s="76" t="s">
        <v>675</v>
      </c>
      <c r="G13" s="83"/>
      <c r="H13" s="254"/>
      <c r="I13" s="83"/>
      <c r="J13" s="759" t="s">
        <v>2258</v>
      </c>
      <c r="K13" s="83">
        <v>1</v>
      </c>
      <c r="L13" s="759" t="s">
        <v>2258</v>
      </c>
      <c r="M13" s="83"/>
      <c r="N13" s="759" t="s">
        <v>2258</v>
      </c>
      <c r="O13" s="79">
        <v>1</v>
      </c>
      <c r="P13" s="254">
        <v>50000</v>
      </c>
      <c r="Q13" s="73">
        <v>23</v>
      </c>
      <c r="R13" s="73" t="s">
        <v>1771</v>
      </c>
      <c r="S13" s="75" t="s">
        <v>1772</v>
      </c>
      <c r="T13" s="73" t="s">
        <v>1773</v>
      </c>
      <c r="U13" s="73" t="s">
        <v>1774</v>
      </c>
      <c r="V13" s="75" t="s">
        <v>1775</v>
      </c>
      <c r="W13" s="72" t="s">
        <v>1748</v>
      </c>
      <c r="X13" s="763" t="s">
        <v>2261</v>
      </c>
    </row>
    <row r="14" spans="1:24" ht="141.75" x14ac:dyDescent="0.25">
      <c r="A14" s="932"/>
      <c r="B14" s="864"/>
      <c r="C14" s="406"/>
      <c r="D14" s="406" t="s">
        <v>676</v>
      </c>
      <c r="E14" s="406"/>
      <c r="F14" s="76" t="s">
        <v>677</v>
      </c>
      <c r="G14" s="83"/>
      <c r="H14" s="254"/>
      <c r="I14" s="83">
        <v>0.5</v>
      </c>
      <c r="J14" s="759" t="s">
        <v>2258</v>
      </c>
      <c r="K14" s="83"/>
      <c r="L14" s="760"/>
      <c r="M14" s="83">
        <v>0.5</v>
      </c>
      <c r="N14" s="759" t="s">
        <v>2258</v>
      </c>
      <c r="O14" s="79">
        <v>1</v>
      </c>
      <c r="P14" s="254">
        <v>40000</v>
      </c>
      <c r="Q14" s="73">
        <v>323</v>
      </c>
      <c r="R14" s="73" t="s">
        <v>1776</v>
      </c>
      <c r="S14" s="75" t="s">
        <v>1777</v>
      </c>
      <c r="T14" s="73" t="s">
        <v>1778</v>
      </c>
      <c r="U14" s="73" t="s">
        <v>1779</v>
      </c>
      <c r="V14" s="756" t="s">
        <v>1761</v>
      </c>
      <c r="W14" s="73" t="s">
        <v>1780</v>
      </c>
      <c r="X14" s="763" t="s">
        <v>2261</v>
      </c>
    </row>
    <row r="15" spans="1:24" ht="110.25" x14ac:dyDescent="0.25">
      <c r="A15" s="933"/>
      <c r="B15" s="402" t="s">
        <v>678</v>
      </c>
      <c r="C15" s="406" t="s">
        <v>679</v>
      </c>
      <c r="D15" s="406" t="s">
        <v>680</v>
      </c>
      <c r="E15" s="406"/>
      <c r="F15" s="76" t="s">
        <v>681</v>
      </c>
      <c r="G15" s="83"/>
      <c r="H15" s="254">
        <v>0</v>
      </c>
      <c r="I15" s="83"/>
      <c r="J15" s="254"/>
      <c r="K15" s="83"/>
      <c r="L15" s="254"/>
      <c r="M15" s="83">
        <v>1</v>
      </c>
      <c r="N15" s="759" t="s">
        <v>2258</v>
      </c>
      <c r="O15" s="79">
        <v>1</v>
      </c>
      <c r="P15" s="254">
        <f>30000+H15</f>
        <v>30000</v>
      </c>
      <c r="Q15" s="73">
        <v>43</v>
      </c>
      <c r="R15" s="73" t="s">
        <v>1781</v>
      </c>
      <c r="S15" s="73" t="s">
        <v>1782</v>
      </c>
      <c r="T15" s="73" t="s">
        <v>1783</v>
      </c>
      <c r="U15" s="73" t="s">
        <v>1784</v>
      </c>
      <c r="V15" s="73" t="s">
        <v>1785</v>
      </c>
      <c r="W15" s="73" t="s">
        <v>1780</v>
      </c>
      <c r="X15" s="763" t="s">
        <v>2261</v>
      </c>
    </row>
    <row r="16" spans="1:24" ht="15.6" customHeight="1" x14ac:dyDescent="0.25">
      <c r="A16" s="352"/>
      <c r="B16" s="353"/>
      <c r="C16" s="352" t="s">
        <v>152</v>
      </c>
      <c r="D16" s="353"/>
      <c r="E16" s="353"/>
      <c r="F16" s="354"/>
      <c r="G16" s="338">
        <f t="shared" ref="G16:N16" si="0">SUM(G6:G15)</f>
        <v>1.75</v>
      </c>
      <c r="H16" s="339">
        <f t="shared" si="0"/>
        <v>24400</v>
      </c>
      <c r="I16" s="338">
        <f t="shared" si="0"/>
        <v>2.25</v>
      </c>
      <c r="J16" s="339">
        <f t="shared" si="0"/>
        <v>0</v>
      </c>
      <c r="K16" s="338">
        <f t="shared" si="0"/>
        <v>2.25</v>
      </c>
      <c r="L16" s="339">
        <f t="shared" si="0"/>
        <v>0</v>
      </c>
      <c r="M16" s="338">
        <f t="shared" si="0"/>
        <v>2.75</v>
      </c>
      <c r="N16" s="339">
        <f t="shared" si="0"/>
        <v>0</v>
      </c>
      <c r="O16" s="338">
        <f>G16+I16+K16+M16</f>
        <v>9</v>
      </c>
      <c r="P16" s="340">
        <f>SUM(P6:P15)</f>
        <v>389400</v>
      </c>
      <c r="Q16" s="315"/>
      <c r="R16" s="315"/>
      <c r="S16" s="315"/>
      <c r="T16" s="315"/>
      <c r="U16" s="315"/>
      <c r="V16" s="315"/>
      <c r="W16" s="315"/>
    </row>
  </sheetData>
  <mergeCells count="23">
    <mergeCell ref="F3:F5"/>
    <mergeCell ref="A3:A5"/>
    <mergeCell ref="B3:B5"/>
    <mergeCell ref="C3:C5"/>
    <mergeCell ref="D3:D5"/>
    <mergeCell ref="E3:E5"/>
    <mergeCell ref="V3:V5"/>
    <mergeCell ref="W3:W5"/>
    <mergeCell ref="G4:H4"/>
    <mergeCell ref="I4:J4"/>
    <mergeCell ref="K4:L4"/>
    <mergeCell ref="M4:N4"/>
    <mergeCell ref="G3:N3"/>
    <mergeCell ref="O3:P4"/>
    <mergeCell ref="Q3:R4"/>
    <mergeCell ref="S3:S5"/>
    <mergeCell ref="T3:T5"/>
    <mergeCell ref="U3:U5"/>
    <mergeCell ref="A6:A15"/>
    <mergeCell ref="B6:B8"/>
    <mergeCell ref="C6:C8"/>
    <mergeCell ref="B9:B11"/>
    <mergeCell ref="B12:B14"/>
  </mergeCells>
  <pageMargins left="0.70866141732283472" right="0.70866141732283472" top="0.74803149606299213" bottom="0.74803149606299213" header="0.31496062992125984" footer="0.31496062992125984"/>
  <pageSetup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D4" zoomScale="120" zoomScaleNormal="120" workbookViewId="0">
      <selection activeCell="B18" sqref="B18"/>
    </sheetView>
  </sheetViews>
  <sheetFormatPr baseColWidth="10" defaultColWidth="11.5703125" defaultRowHeight="15" x14ac:dyDescent="0.25"/>
  <cols>
    <col min="1" max="1" width="11.5703125" style="95"/>
    <col min="2" max="2" width="35" style="95" customWidth="1"/>
    <col min="3" max="3" width="26.42578125" style="95" customWidth="1"/>
    <col min="4" max="4" width="18.42578125" style="95" customWidth="1"/>
    <col min="5" max="5" width="14.85546875" style="95" customWidth="1"/>
    <col min="6" max="6" width="22" style="95" customWidth="1"/>
    <col min="7" max="7" width="11.5703125" style="95"/>
    <col min="8" max="8" width="50.85546875" style="95" bestFit="1" customWidth="1"/>
    <col min="9" max="9" width="17" style="95" bestFit="1" customWidth="1"/>
    <col min="10" max="10" width="15.85546875" style="95" bestFit="1" customWidth="1"/>
    <col min="11" max="16384" width="11.5703125" style="95"/>
  </cols>
  <sheetData>
    <row r="2" spans="2:10" ht="18.75" x14ac:dyDescent="0.25">
      <c r="B2" s="90" t="s">
        <v>21</v>
      </c>
      <c r="C2" s="90" t="s">
        <v>470</v>
      </c>
      <c r="H2" s="100" t="s">
        <v>469</v>
      </c>
      <c r="I2" s="100" t="s">
        <v>470</v>
      </c>
    </row>
    <row r="3" spans="2:10" ht="18.75" x14ac:dyDescent="0.25">
      <c r="B3" s="91" t="s">
        <v>167</v>
      </c>
      <c r="C3" s="568">
        <f>'1. TALLERES SEMINARIOS'!D5</f>
        <v>1266176</v>
      </c>
      <c r="H3" s="135" t="s">
        <v>201</v>
      </c>
      <c r="I3" s="208">
        <f>'Desarrollo Curricular'!P28</f>
        <v>929346</v>
      </c>
    </row>
    <row r="4" spans="2:10" ht="18.75" x14ac:dyDescent="0.25">
      <c r="B4" s="91" t="s">
        <v>499</v>
      </c>
      <c r="C4" s="568">
        <f>'2. CONTRATACION DE PERSONAL'!D5</f>
        <v>32599226.520000003</v>
      </c>
      <c r="H4" s="135" t="s">
        <v>187</v>
      </c>
      <c r="I4" s="208">
        <f>Investigación!P30</f>
        <v>1250022.5</v>
      </c>
    </row>
    <row r="5" spans="2:10" ht="18.75" x14ac:dyDescent="0.25">
      <c r="B5" s="91" t="s">
        <v>193</v>
      </c>
      <c r="C5" s="568">
        <f>'3. EQUIPO DE OFICINA'!D5</f>
        <v>281150</v>
      </c>
      <c r="H5" s="135" t="s">
        <v>558</v>
      </c>
      <c r="I5" s="208">
        <f>'Vinculación Univ. Sociedad'!P13</f>
        <v>158240</v>
      </c>
    </row>
    <row r="6" spans="2:10" ht="18.75" x14ac:dyDescent="0.25">
      <c r="B6" s="91" t="s">
        <v>500</v>
      </c>
      <c r="C6" s="568">
        <f>'4. EQUIPO TECNOLÓGICOS'!D5</f>
        <v>2844695</v>
      </c>
      <c r="H6" s="135" t="s">
        <v>202</v>
      </c>
      <c r="I6" s="210">
        <f>'Docencia y Recursos Humanos '!Q17</f>
        <v>45990601.520000003</v>
      </c>
    </row>
    <row r="7" spans="2:10" ht="18.75" x14ac:dyDescent="0.25">
      <c r="B7" s="91" t="s">
        <v>194</v>
      </c>
      <c r="C7" s="568">
        <f>'5. ACTIVIDADES ESPECIALES'!D5</f>
        <v>122873598.566</v>
      </c>
      <c r="H7" s="135" t="s">
        <v>166</v>
      </c>
      <c r="I7" s="210">
        <f>Estudiantes!P10</f>
        <v>6062475</v>
      </c>
    </row>
    <row r="8" spans="2:10" ht="18.75" x14ac:dyDescent="0.25">
      <c r="B8" s="102" t="s">
        <v>465</v>
      </c>
      <c r="C8" s="569">
        <f>'6. Becas'!D5</f>
        <v>12568425</v>
      </c>
      <c r="H8" s="135" t="s">
        <v>559</v>
      </c>
      <c r="I8" s="210">
        <f>'Gestion Administrativa'!P21</f>
        <v>243089656.99000001</v>
      </c>
    </row>
    <row r="9" spans="2:10" ht="18.75" x14ac:dyDescent="0.25">
      <c r="B9" s="102" t="s">
        <v>466</v>
      </c>
      <c r="C9" s="569">
        <f>'7. Infraestructura'!D5</f>
        <v>763714488.42000008</v>
      </c>
      <c r="E9" s="135" t="s">
        <v>154</v>
      </c>
      <c r="F9" s="566">
        <f>Presupuesto!F584</f>
        <v>936147759.50600004</v>
      </c>
      <c r="G9" s="121"/>
      <c r="H9" s="209" t="s">
        <v>203</v>
      </c>
      <c r="I9" s="210">
        <f>Graduados!P11</f>
        <v>8000</v>
      </c>
    </row>
    <row r="10" spans="2:10" ht="18.75" x14ac:dyDescent="0.25">
      <c r="B10" s="91" t="s">
        <v>502</v>
      </c>
      <c r="C10" s="569">
        <f>'8. Venta de Servicios'!D5</f>
        <v>0</v>
      </c>
      <c r="F10" s="121"/>
      <c r="G10" s="121"/>
      <c r="H10" s="209" t="s">
        <v>560</v>
      </c>
      <c r="I10" s="210">
        <f>'Gestion Academica'!P16</f>
        <v>100000</v>
      </c>
    </row>
    <row r="11" spans="2:10" ht="18.75" x14ac:dyDescent="0.25">
      <c r="B11" s="102"/>
      <c r="C11" s="569"/>
      <c r="F11" s="121"/>
      <c r="G11" s="121"/>
      <c r="H11" s="209" t="s">
        <v>561</v>
      </c>
      <c r="I11" s="210">
        <f>'Gestión del Conocimiento'!P38</f>
        <v>638170017.5</v>
      </c>
    </row>
    <row r="12" spans="2:10" ht="18.75" x14ac:dyDescent="0.25">
      <c r="B12" s="102"/>
      <c r="C12" s="569"/>
      <c r="E12" s="211"/>
      <c r="F12" s="121"/>
      <c r="G12" s="121"/>
      <c r="H12" s="209" t="s">
        <v>204</v>
      </c>
      <c r="I12" s="210">
        <f>Gobernabilidad!P8</f>
        <v>0</v>
      </c>
    </row>
    <row r="13" spans="2:10" ht="23.25" x14ac:dyDescent="0.25">
      <c r="B13" s="93"/>
      <c r="C13" s="570"/>
      <c r="F13" s="489"/>
      <c r="G13" s="121"/>
      <c r="H13" s="209" t="s">
        <v>562</v>
      </c>
      <c r="I13" s="210">
        <f>'Lo Esencial'!P16</f>
        <v>389400</v>
      </c>
    </row>
    <row r="14" spans="2:10" ht="26.25" x14ac:dyDescent="0.25">
      <c r="B14" s="216" t="s">
        <v>192</v>
      </c>
      <c r="C14" s="571">
        <f>SUM(C3:C13)</f>
        <v>936147759.50600004</v>
      </c>
      <c r="E14" s="211"/>
      <c r="F14" s="489"/>
      <c r="G14" s="121"/>
      <c r="H14" s="121"/>
      <c r="I14" s="121"/>
    </row>
    <row r="15" spans="2:10" x14ac:dyDescent="0.25">
      <c r="F15" s="489">
        <f>+F9-I15</f>
        <v>-3.9999485015869141E-3</v>
      </c>
      <c r="G15" s="121"/>
      <c r="H15" s="121" t="s">
        <v>192</v>
      </c>
      <c r="I15" s="567">
        <f>SUM(I3:I14)</f>
        <v>936147759.50999999</v>
      </c>
    </row>
    <row r="16" spans="2:10" x14ac:dyDescent="0.25">
      <c r="F16" s="592">
        <f>+F9-C14</f>
        <v>0</v>
      </c>
      <c r="G16" s="121"/>
      <c r="H16" s="121"/>
      <c r="I16" s="121"/>
      <c r="J16" s="211"/>
    </row>
    <row r="17" spans="2:15" x14ac:dyDescent="0.25">
      <c r="J17" s="211"/>
    </row>
    <row r="18" spans="2:15" x14ac:dyDescent="0.25">
      <c r="J18" s="211"/>
    </row>
    <row r="19" spans="2:15" x14ac:dyDescent="0.25">
      <c r="J19" s="211"/>
    </row>
    <row r="20" spans="2:15" x14ac:dyDescent="0.25">
      <c r="J20" s="211"/>
    </row>
    <row r="21" spans="2:15" x14ac:dyDescent="0.25">
      <c r="J21" s="211"/>
    </row>
    <row r="24" spans="2:15" x14ac:dyDescent="0.25">
      <c r="H24" s="211"/>
    </row>
    <row r="25" spans="2:15" x14ac:dyDescent="0.25">
      <c r="B25" s="95" t="s">
        <v>687</v>
      </c>
      <c r="C25" s="95" t="s">
        <v>688</v>
      </c>
      <c r="D25" s="95" t="s">
        <v>689</v>
      </c>
      <c r="E25" s="95" t="s">
        <v>690</v>
      </c>
      <c r="F25" s="95" t="s">
        <v>691</v>
      </c>
      <c r="G25" s="95" t="s">
        <v>692</v>
      </c>
      <c r="H25" s="95" t="s">
        <v>693</v>
      </c>
      <c r="I25" s="95" t="s">
        <v>694</v>
      </c>
      <c r="J25" s="95" t="s">
        <v>695</v>
      </c>
      <c r="K25" s="95" t="s">
        <v>696</v>
      </c>
      <c r="L25" s="95" t="s">
        <v>697</v>
      </c>
      <c r="M25" s="95" t="s">
        <v>698</v>
      </c>
      <c r="N25" s="95" t="s">
        <v>699</v>
      </c>
      <c r="O25" s="95" t="s">
        <v>700</v>
      </c>
    </row>
    <row r="27" spans="2:15" x14ac:dyDescent="0.25">
      <c r="H27" s="166"/>
    </row>
    <row r="29" spans="2:15" ht="18.75" x14ac:dyDescent="0.25">
      <c r="B29" s="91"/>
      <c r="C29" s="92"/>
    </row>
    <row r="30" spans="2:15" ht="18.75" x14ac:dyDescent="0.25">
      <c r="B30" s="91"/>
      <c r="C30" s="92"/>
    </row>
    <row r="31" spans="2:15" x14ac:dyDescent="0.25">
      <c r="B31" s="212" t="s">
        <v>495</v>
      </c>
    </row>
    <row r="33" spans="2:4" ht="18.75" x14ac:dyDescent="0.25">
      <c r="B33" s="90" t="s">
        <v>21</v>
      </c>
      <c r="C33" s="90" t="s">
        <v>55</v>
      </c>
      <c r="D33" s="267" t="s">
        <v>565</v>
      </c>
    </row>
    <row r="34" spans="2:4" ht="18.75" x14ac:dyDescent="0.25">
      <c r="B34" s="95" t="s">
        <v>687</v>
      </c>
      <c r="C34" s="177">
        <f>SUMIF('2. CONTRATACION DE PERSONAL'!C:C,'Cuadro resumen'!$B$34:$B$50,'2. CONTRATACION DE PERSONAL'!D:D)</f>
        <v>0</v>
      </c>
      <c r="D34" s="268">
        <f>SUMIF('2. CONTRATACION DE PERSONAL'!$C:$C,'Cuadro resumen'!$B$34:$B$50,'2. CONTRATACION DE PERSONAL'!$G:$G)</f>
        <v>0</v>
      </c>
    </row>
    <row r="35" spans="2:4" ht="18.75" x14ac:dyDescent="0.25">
      <c r="B35" s="95" t="s">
        <v>688</v>
      </c>
      <c r="C35" s="177">
        <f>SUMIF('2. CONTRATACION DE PERSONAL'!C:C,'Cuadro resumen'!$B$34:$B$50,'2. CONTRATACION DE PERSONAL'!D:D)</f>
        <v>0</v>
      </c>
      <c r="D35" s="268">
        <f>SUMIF('2. CONTRATACION DE PERSONAL'!$C:$C,'Cuadro resumen'!$B$34:$B$50,'2. CONTRATACION DE PERSONAL'!$G:$G)</f>
        <v>0</v>
      </c>
    </row>
    <row r="36" spans="2:4" ht="18.75" x14ac:dyDescent="0.25">
      <c r="B36" s="95" t="s">
        <v>689</v>
      </c>
      <c r="C36" s="177">
        <f>SUMIF('2. CONTRATACION DE PERSONAL'!C:C,'Cuadro resumen'!$B$34:$B$50,'2. CONTRATACION DE PERSONAL'!D:D)</f>
        <v>4</v>
      </c>
      <c r="D36" s="268">
        <f>SUMIF('2. CONTRATACION DE PERSONAL'!$C:$C,'Cuadro resumen'!$B$34:$B$50,'2. CONTRATACION DE PERSONAL'!$G:$G)</f>
        <v>1627336.3199999998</v>
      </c>
    </row>
    <row r="37" spans="2:4" ht="18.75" x14ac:dyDescent="0.25">
      <c r="B37" s="95" t="s">
        <v>690</v>
      </c>
      <c r="C37" s="177">
        <f>SUMIF('2. CONTRATACION DE PERSONAL'!C:C,'Cuadro resumen'!$B$34:$B$50,'2. CONTRATACION DE PERSONAL'!D:D)</f>
        <v>19</v>
      </c>
      <c r="D37" s="268">
        <f>SUMIF('2. CONTRATACION DE PERSONAL'!$C:$C,'Cuadro resumen'!$B$34:$B$50,'2. CONTRATACION DE PERSONAL'!$G:$G)</f>
        <v>6870973.7999999998</v>
      </c>
    </row>
    <row r="38" spans="2:4" ht="18.75" x14ac:dyDescent="0.25">
      <c r="B38" s="95" t="s">
        <v>691</v>
      </c>
      <c r="C38" s="177">
        <f>SUMIF('2. CONTRATACION DE PERSONAL'!C:C,'Cuadro resumen'!$B$34:$B$50,'2. CONTRATACION DE PERSONAL'!D:D)</f>
        <v>0</v>
      </c>
      <c r="D38" s="268">
        <f>SUMIF('2. CONTRATACION DE PERSONAL'!$C:$C,'Cuadro resumen'!$B$34:$B$50,'2. CONTRATACION DE PERSONAL'!$G:$G)</f>
        <v>0</v>
      </c>
    </row>
    <row r="39" spans="2:4" ht="18.75" x14ac:dyDescent="0.25">
      <c r="B39" s="95" t="s">
        <v>692</v>
      </c>
      <c r="C39" s="177">
        <f>SUMIF('2. CONTRATACION DE PERSONAL'!C:C,'Cuadro resumen'!$B$34:$B$50,'2. CONTRATACION DE PERSONAL'!D:D)</f>
        <v>36</v>
      </c>
      <c r="D39" s="268">
        <f>SUMIF('2. CONTRATACION DE PERSONAL'!$C:$C,'Cuadro resumen'!$B$34:$B$50,'2. CONTRATACION DE PERSONAL'!$G:$G)</f>
        <v>11391351.84</v>
      </c>
    </row>
    <row r="40" spans="2:4" ht="18.75" x14ac:dyDescent="0.25">
      <c r="B40" s="95" t="s">
        <v>693</v>
      </c>
      <c r="C40" s="177">
        <f>SUMIF('2. CONTRATACION DE PERSONAL'!C:C,'Cuadro resumen'!$B$34:$B$50,'2. CONTRATACION DE PERSONAL'!D:D)</f>
        <v>0</v>
      </c>
      <c r="D40" s="268">
        <f>SUMIF('2. CONTRATACION DE PERSONAL'!$C:$C,'Cuadro resumen'!$B$34:$B$50,'2. CONTRATACION DE PERSONAL'!$G:$G)</f>
        <v>0</v>
      </c>
    </row>
    <row r="41" spans="2:4" ht="18.75" x14ac:dyDescent="0.25">
      <c r="B41" s="95" t="s">
        <v>694</v>
      </c>
      <c r="C41" s="177">
        <f>SUMIF('2. CONTRATACION DE PERSONAL'!C:C,'Cuadro resumen'!$B$34:$B$50,'2. CONTRATACION DE PERSONAL'!D:D)</f>
        <v>8</v>
      </c>
      <c r="D41" s="268">
        <f>SUMIF('2. CONTRATACION DE PERSONAL'!$C:$C,'Cuadro resumen'!$B$34:$B$50,'2. CONTRATACION DE PERSONAL'!$G:$G)</f>
        <v>1627336.3199999998</v>
      </c>
    </row>
    <row r="42" spans="2:4" ht="18.75" x14ac:dyDescent="0.25">
      <c r="B42" s="95" t="s">
        <v>695</v>
      </c>
      <c r="C42" s="177">
        <f>SUMIF('2. CONTRATACION DE PERSONAL'!C:C,'Cuadro resumen'!$B$34:$B$50,'2. CONTRATACION DE PERSONAL'!D:D)</f>
        <v>1</v>
      </c>
      <c r="D42" s="268">
        <f>SUMIF('2. CONTRATACION DE PERSONAL'!$C:$C,'Cuadro resumen'!$B$34:$B$50,'2. CONTRATACION DE PERSONAL'!$G:$G)</f>
        <v>158213.28</v>
      </c>
    </row>
    <row r="43" spans="2:4" ht="18.75" x14ac:dyDescent="0.25">
      <c r="B43" s="95" t="s">
        <v>696</v>
      </c>
      <c r="C43" s="177">
        <f>SUMIF('2. CONTRATACION DE PERSONAL'!C:C,'Cuadro resumen'!$B$34:$B$50,'2. CONTRATACION DE PERSONAL'!D:D)</f>
        <v>2</v>
      </c>
      <c r="D43" s="268">
        <f>SUMIF('2. CONTRATACION DE PERSONAL'!$C:$C,'Cuadro resumen'!$B$34:$B$50,'2. CONTRATACION DE PERSONAL'!$G:$G)</f>
        <v>360781.44</v>
      </c>
    </row>
    <row r="44" spans="2:4" ht="18.75" x14ac:dyDescent="0.25">
      <c r="B44" s="95" t="s">
        <v>697</v>
      </c>
      <c r="C44" s="177">
        <f>SUMIF('2. CONTRATACION DE PERSONAL'!C:C,'Cuadro resumen'!$B$34:$B$50,'2. CONTRATACION DE PERSONAL'!D:D)</f>
        <v>0</v>
      </c>
      <c r="D44" s="268">
        <f>SUMIF('2. CONTRATACION DE PERSONAL'!$C:$C,'Cuadro resumen'!$B$34:$B$50,'2. CONTRATACION DE PERSONAL'!$G:$G)</f>
        <v>0</v>
      </c>
    </row>
    <row r="45" spans="2:4" ht="18.75" x14ac:dyDescent="0.25">
      <c r="B45" s="95" t="s">
        <v>698</v>
      </c>
      <c r="C45" s="177">
        <f>SUMIF('2. CONTRATACION DE PERSONAL'!C:C,'Cuadro resumen'!$B$34:$B$50,'2. CONTRATACION DE PERSONAL'!D:D)</f>
        <v>14</v>
      </c>
      <c r="D45" s="268">
        <f>SUMIF('2. CONTRATACION DE PERSONAL'!$C:$C,'Cuadro resumen'!$B$34:$B$50,'2. CONTRATACION DE PERSONAL'!$G:$G)</f>
        <v>2079798</v>
      </c>
    </row>
    <row r="46" spans="2:4" ht="18.75" x14ac:dyDescent="0.25">
      <c r="B46" s="95" t="s">
        <v>699</v>
      </c>
      <c r="C46" s="177">
        <f>SUMIF('2. CONTRATACION DE PERSONAL'!C:C,'Cuadro resumen'!$B$34:$B$50,'2. CONTRATACION DE PERSONAL'!D:D)</f>
        <v>23</v>
      </c>
      <c r="D46" s="268">
        <f>SUMIF('2. CONTRATACION DE PERSONAL'!$C:$C,'Cuadro resumen'!$B$34:$B$50,'2. CONTRATACION DE PERSONAL'!$G:$G)</f>
        <v>121299.24</v>
      </c>
    </row>
    <row r="47" spans="2:4" ht="18.75" x14ac:dyDescent="0.25">
      <c r="B47" s="95" t="s">
        <v>700</v>
      </c>
      <c r="C47" s="177">
        <f>SUMIF('2. CONTRATACION DE PERSONAL'!C:C,'Cuadro resumen'!$B$34:$B$50,'2. CONTRATACION DE PERSONAL'!D:D)</f>
        <v>0</v>
      </c>
      <c r="D47" s="268">
        <f>SUMIF('2. CONTRATACION DE PERSONAL'!$C:$C,'Cuadro resumen'!$B$34:$B$50,'2. CONTRATACION DE PERSONAL'!$G:$G)</f>
        <v>0</v>
      </c>
    </row>
    <row r="48" spans="2:4" ht="18.75" x14ac:dyDescent="0.25">
      <c r="B48" s="91" t="s">
        <v>84</v>
      </c>
      <c r="C48" s="177">
        <f>SUMIF('2. CONTRATACION DE PERSONAL'!C:C,'Cuadro resumen'!$B$34:$B$50,'2. CONTRATACION DE PERSONAL'!D:D)</f>
        <v>0</v>
      </c>
      <c r="D48" s="268">
        <f>SUMIF('2. CONTRATACION DE PERSONAL'!$C:$C,'Cuadro resumen'!$B$34:$B$50,'2. CONTRATACION DE PERSONAL'!$G:$G)</f>
        <v>0</v>
      </c>
    </row>
    <row r="49" spans="2:4" ht="18.75" x14ac:dyDescent="0.25">
      <c r="B49" s="91" t="s">
        <v>60</v>
      </c>
      <c r="C49" s="177">
        <f>SUMIF('2. CONTRATACION DE PERSONAL'!C:C,'Cuadro resumen'!$B$34:$B$50,'2. CONTRATACION DE PERSONAL'!D:D)</f>
        <v>0</v>
      </c>
      <c r="D49" s="268">
        <f>SUMIF('2. CONTRATACION DE PERSONAL'!$C:$C,'Cuadro resumen'!$B$34:$B$50,'2. CONTRATACION DE PERSONAL'!$G:$G)</f>
        <v>0</v>
      </c>
    </row>
    <row r="50" spans="2:4" ht="18.75" x14ac:dyDescent="0.25">
      <c r="B50" s="91" t="s">
        <v>61</v>
      </c>
      <c r="C50" s="177">
        <f>SUMIF('2. CONTRATACION DE PERSONAL'!C:C,'Cuadro resumen'!$B$34:$B$50,'2. CONTRATACION DE PERSONAL'!D:D)</f>
        <v>17</v>
      </c>
      <c r="D50" s="268">
        <f>SUMIF('2. CONTRATACION DE PERSONAL'!$C:$C,'Cuadro resumen'!$B$34:$B$50,'2. CONTRATACION DE PERSONAL'!$G:$G)</f>
        <v>4740000</v>
      </c>
    </row>
    <row r="51" spans="2:4" ht="23.25" x14ac:dyDescent="0.25">
      <c r="B51" s="93" t="s">
        <v>192</v>
      </c>
      <c r="C51" s="178">
        <f>SUBTOTAL(109,C34:C50)</f>
        <v>124</v>
      </c>
      <c r="D51" s="268">
        <f>SUM(D34:D50)</f>
        <v>28977090.240000002</v>
      </c>
    </row>
    <row r="60" spans="2:4" x14ac:dyDescent="0.25">
      <c r="B60" s="212" t="s">
        <v>459</v>
      </c>
    </row>
    <row r="62" spans="2:4" ht="18.75" x14ac:dyDescent="0.25">
      <c r="B62" s="90" t="s">
        <v>21</v>
      </c>
      <c r="C62" s="90" t="s">
        <v>55</v>
      </c>
      <c r="D62" s="267" t="s">
        <v>565</v>
      </c>
    </row>
    <row r="63" spans="2:4" ht="18.75" x14ac:dyDescent="0.25">
      <c r="B63" s="91" t="s">
        <v>63</v>
      </c>
      <c r="C63" s="92">
        <f>SUMIF('3. EQUIPO DE OFICINA'!C:C,'Cuadro resumen'!$B$63:$B$72,'3. EQUIPO DE OFICINA'!D:D)</f>
        <v>17</v>
      </c>
      <c r="D63" s="269">
        <f>SUMIF('3. EQUIPO DE OFICINA'!$C:$C,'Cuadro resumen'!$B$63:$B$72,'3. EQUIPO DE OFICINA'!$F:$F)</f>
        <v>45800</v>
      </c>
    </row>
    <row r="64" spans="2:4" ht="18.75" x14ac:dyDescent="0.25">
      <c r="B64" s="102" t="s">
        <v>64</v>
      </c>
      <c r="C64" s="92">
        <f>SUMIF('3. EQUIPO DE OFICINA'!C:C,'Cuadro resumen'!$B$63:$B$72,'3. EQUIPO DE OFICINA'!D:D)</f>
        <v>6</v>
      </c>
      <c r="D64" s="269">
        <f>SUMIF('3. EQUIPO DE OFICINA'!$C:$C,'Cuadro resumen'!$B$63:$B$72,'3. EQUIPO DE OFICINA'!$F:$F)</f>
        <v>12600</v>
      </c>
    </row>
    <row r="65" spans="2:4" ht="18.75" x14ac:dyDescent="0.25">
      <c r="B65" s="102" t="s">
        <v>65</v>
      </c>
      <c r="C65" s="92">
        <f>SUMIF('3. EQUIPO DE OFICINA'!C:C,'Cuadro resumen'!$B$63:$B$72,'3. EQUIPO DE OFICINA'!D:D)</f>
        <v>79</v>
      </c>
      <c r="D65" s="269">
        <f>SUMIF('3. EQUIPO DE OFICINA'!$C:$C,'Cuadro resumen'!$B$63:$B$72,'3. EQUIPO DE OFICINA'!$F:$F)</f>
        <v>74425</v>
      </c>
    </row>
    <row r="66" spans="2:4" ht="18.75" x14ac:dyDescent="0.25">
      <c r="B66" s="102" t="s">
        <v>66</v>
      </c>
      <c r="C66" s="92">
        <f>SUMIF('3. EQUIPO DE OFICINA'!C:C,'Cuadro resumen'!$B$63:$B$72,'3. EQUIPO DE OFICINA'!D:D)</f>
        <v>4</v>
      </c>
      <c r="D66" s="269">
        <f>SUMIF('3. EQUIPO DE OFICINA'!$C:$C,'Cuadro resumen'!$B$63:$B$72,'3. EQUIPO DE OFICINA'!$F:$F)</f>
        <v>24000</v>
      </c>
    </row>
    <row r="67" spans="2:4" ht="18.75" x14ac:dyDescent="0.25">
      <c r="B67" s="102" t="s">
        <v>67</v>
      </c>
      <c r="C67" s="92">
        <f>SUMIF('3. EQUIPO DE OFICINA'!C:C,'Cuadro resumen'!$B$63:$B$72,'3. EQUIPO DE OFICINA'!D:D)</f>
        <v>7</v>
      </c>
      <c r="D67" s="269">
        <f>SUMIF('3. EQUIPO DE OFICINA'!$C:$C,'Cuadro resumen'!$B$63:$B$72,'3. EQUIPO DE OFICINA'!$F:$F)</f>
        <v>16600</v>
      </c>
    </row>
    <row r="68" spans="2:4" ht="18.75" x14ac:dyDescent="0.25">
      <c r="B68" s="102" t="s">
        <v>68</v>
      </c>
      <c r="C68" s="92">
        <f>SUMIF('3. EQUIPO DE OFICINA'!C:C,'Cuadro resumen'!$B$63:$B$72,'3. EQUIPO DE OFICINA'!D:D)</f>
        <v>6</v>
      </c>
      <c r="D68" s="269">
        <f>SUMIF('3. EQUIPO DE OFICINA'!$C:$C,'Cuadro resumen'!$B$63:$B$72,'3. EQUIPO DE OFICINA'!$F:$F)</f>
        <v>16225</v>
      </c>
    </row>
    <row r="69" spans="2:4" ht="18.75" x14ac:dyDescent="0.25">
      <c r="B69" s="102" t="s">
        <v>69</v>
      </c>
      <c r="C69" s="92">
        <f>SUMIF('3. EQUIPO DE OFICINA'!C:C,'Cuadro resumen'!$B$63:$B$72,'3. EQUIPO DE OFICINA'!D:D)</f>
        <v>11</v>
      </c>
      <c r="D69" s="269">
        <f>SUMIF('3. EQUIPO DE OFICINA'!$C:$C,'Cuadro resumen'!$B$63:$B$72,'3. EQUIPO DE OFICINA'!$F:$F)</f>
        <v>83000</v>
      </c>
    </row>
    <row r="70" spans="2:4" ht="18.75" x14ac:dyDescent="0.25">
      <c r="B70" s="91" t="s">
        <v>70</v>
      </c>
      <c r="C70" s="92">
        <f>SUMIF('3. EQUIPO DE OFICINA'!C:C,'Cuadro resumen'!$B$63:$B$72,'3. EQUIPO DE OFICINA'!D:D)</f>
        <v>1</v>
      </c>
      <c r="D70" s="269">
        <f>SUMIF('3. EQUIPO DE OFICINA'!$C:$C,'Cuadro resumen'!$B$63:$B$72,'3. EQUIPO DE OFICINA'!$F:$F)</f>
        <v>2000</v>
      </c>
    </row>
    <row r="71" spans="2:4" ht="18.75" x14ac:dyDescent="0.25">
      <c r="B71" s="91" t="s">
        <v>71</v>
      </c>
      <c r="C71" s="92">
        <f>SUMIF('3. EQUIPO DE OFICINA'!C:C,'Cuadro resumen'!$B$63:$B$72,'3. EQUIPO DE OFICINA'!D:D)</f>
        <v>1</v>
      </c>
      <c r="D71" s="269">
        <f>SUMIF('3. EQUIPO DE OFICINA'!$C:$C,'Cuadro resumen'!$B$63:$B$72,'3. EQUIPO DE OFICINA'!$F:$F)</f>
        <v>5000</v>
      </c>
    </row>
    <row r="72" spans="2:4" ht="18.75" x14ac:dyDescent="0.25">
      <c r="B72" s="91" t="s">
        <v>72</v>
      </c>
      <c r="C72" s="92">
        <f>SUMIF('3. EQUIPO DE OFICINA'!C:C,'Cuadro resumen'!$B$63:$B$72,'3. EQUIPO DE OFICINA'!D:D)</f>
        <v>0</v>
      </c>
      <c r="D72" s="269">
        <f>SUMIF('3. EQUIPO DE OFICINA'!$C:$C,'Cuadro resumen'!$B$63:$B$72,'3. EQUIPO DE OFICINA'!$F:$F)</f>
        <v>0</v>
      </c>
    </row>
    <row r="73" spans="2:4" ht="18.75" x14ac:dyDescent="0.25">
      <c r="B73" s="91"/>
      <c r="C73" s="92">
        <f>SUMIF('3. EQUIPO DE OFICINA'!C:C,'Cuadro resumen'!$B$63:$B$72,'3. EQUIPO DE OFICINA'!D:D)</f>
        <v>0</v>
      </c>
      <c r="D73" s="269">
        <f>SUMIF('3. EQUIPO DE OFICINA'!$C:$C,'Cuadro resumen'!$B$63:$B$72,'3. EQUIPO DE OFICINA'!$F:$F)</f>
        <v>0</v>
      </c>
    </row>
    <row r="74" spans="2:4" ht="23.25" x14ac:dyDescent="0.25">
      <c r="B74" s="93" t="s">
        <v>192</v>
      </c>
      <c r="C74" s="94">
        <f>SUM(C63:C73)</f>
        <v>132</v>
      </c>
      <c r="D74" s="270">
        <f>SUM(D63:D73)</f>
        <v>279650</v>
      </c>
    </row>
    <row r="77" spans="2:4" x14ac:dyDescent="0.25">
      <c r="B77" s="212" t="s">
        <v>460</v>
      </c>
    </row>
    <row r="79" spans="2:4" ht="18.75" x14ac:dyDescent="0.25">
      <c r="B79" s="90" t="s">
        <v>461</v>
      </c>
      <c r="C79" s="90" t="s">
        <v>55</v>
      </c>
      <c r="D79" s="267" t="s">
        <v>565</v>
      </c>
    </row>
    <row r="80" spans="2:4" ht="37.5" x14ac:dyDescent="0.25">
      <c r="B80" s="370" t="s">
        <v>1543</v>
      </c>
      <c r="C80" s="92">
        <f>SUMIF('4. EQUIPO TECNOLÓGICOS'!C:C,'Cuadro resumen'!$B$80:$B$96,'4. EQUIPO TECNOLÓGICOS'!D:D)</f>
        <v>17</v>
      </c>
      <c r="D80" s="92">
        <f>SUMIF('4. EQUIPO TECNOLÓGICOS'!$C:$C,'Cuadro resumen'!$B$80:$B$96,'4. EQUIPO TECNOLÓGICOS'!F:F)</f>
        <v>595000</v>
      </c>
    </row>
    <row r="81" spans="2:4" ht="18.75" x14ac:dyDescent="0.25">
      <c r="B81" s="370" t="s">
        <v>1544</v>
      </c>
      <c r="C81" s="92">
        <f>SUMIF('4. EQUIPO TECNOLÓGICOS'!C:C,'Cuadro resumen'!$B$80:$B$96,'4. EQUIPO TECNOLÓGICOS'!D:D)</f>
        <v>2</v>
      </c>
      <c r="D81" s="92">
        <f>SUMIF('4. EQUIPO TECNOLÓGICOS'!$C:$C,'Cuadro resumen'!$B$80:$B$96,'4. EQUIPO TECNOLÓGICOS'!F:F)</f>
        <v>30000</v>
      </c>
    </row>
    <row r="82" spans="2:4" ht="37.5" x14ac:dyDescent="0.25">
      <c r="B82" s="370" t="s">
        <v>1542</v>
      </c>
      <c r="C82" s="92">
        <f>SUMIF('4. EQUIPO TECNOLÓGICOS'!C:C,'Cuadro resumen'!$B$80:$B$96,'4. EQUIPO TECNOLÓGICOS'!D:D)</f>
        <v>0</v>
      </c>
      <c r="D82" s="92">
        <f>SUMIF('4. EQUIPO TECNOLÓGICOS'!$C:$C,'Cuadro resumen'!$B$80:$B$96,'4. EQUIPO TECNOLÓGICOS'!F:F)</f>
        <v>0</v>
      </c>
    </row>
    <row r="83" spans="2:4" ht="37.5" x14ac:dyDescent="0.25">
      <c r="B83" s="370" t="s">
        <v>1545</v>
      </c>
      <c r="C83" s="92">
        <f>SUMIF('4. EQUIPO TECNOLÓGICOS'!C:C,'Cuadro resumen'!$B$80:$B$96,'4. EQUIPO TECNOLÓGICOS'!D:D)</f>
        <v>18</v>
      </c>
      <c r="D83" s="92">
        <f>SUMIF('4. EQUIPO TECNOLÓGICOS'!$C:$C,'Cuadro resumen'!$B$80:$B$96,'4. EQUIPO TECNOLÓGICOS'!F:F)</f>
        <v>270000</v>
      </c>
    </row>
    <row r="84" spans="2:4" ht="18.75" x14ac:dyDescent="0.25">
      <c r="B84" s="91" t="s">
        <v>496</v>
      </c>
      <c r="C84" s="92">
        <f>SUMIF('4. EQUIPO TECNOLÓGICOS'!C:C,'Cuadro resumen'!$B$80:$B$96,'4. EQUIPO TECNOLÓGICOS'!D:D)</f>
        <v>0</v>
      </c>
      <c r="D84" s="92">
        <f>SUMIF('4. EQUIPO TECNOLÓGICOS'!$C:$C,'Cuadro resumen'!$B$80:$B$96,'4. EQUIPO TECNOLÓGICOS'!F:F)</f>
        <v>0</v>
      </c>
    </row>
    <row r="85" spans="2:4" ht="18.75" x14ac:dyDescent="0.25">
      <c r="B85" s="102" t="s">
        <v>73</v>
      </c>
      <c r="C85" s="92">
        <f>SUMIF('4. EQUIPO TECNOLÓGICOS'!C:C,'Cuadro resumen'!$B$80:$B$96,'4. EQUIPO TECNOLÓGICOS'!D:D)</f>
        <v>5</v>
      </c>
      <c r="D85" s="92">
        <f>SUMIF('4. EQUIPO TECNOLÓGICOS'!$C:$C,'Cuadro resumen'!$B$80:$B$96,'4. EQUIPO TECNOLÓGICOS'!F:F)</f>
        <v>22000</v>
      </c>
    </row>
    <row r="86" spans="2:4" ht="18.75" x14ac:dyDescent="0.25">
      <c r="B86" s="102" t="s">
        <v>74</v>
      </c>
      <c r="C86" s="92">
        <f>SUMIF('4. EQUIPO TECNOLÓGICOS'!C:C,'Cuadro resumen'!$B$80:$B$96,'4. EQUIPO TECNOLÓGICOS'!D:D)</f>
        <v>4</v>
      </c>
      <c r="D86" s="92">
        <f>SUMIF('4. EQUIPO TECNOLÓGICOS'!$C:$C,'Cuadro resumen'!$B$80:$B$96,'4. EQUIPO TECNOLÓGICOS'!F:F)</f>
        <v>32000</v>
      </c>
    </row>
    <row r="87" spans="2:4" ht="18.75" x14ac:dyDescent="0.25">
      <c r="B87" s="102" t="s">
        <v>75</v>
      </c>
      <c r="C87" s="92">
        <f>SUMIF('4. EQUIPO TECNOLÓGICOS'!C:C,'Cuadro resumen'!$B$80:$B$96,'4. EQUIPO TECNOLÓGICOS'!D:D)</f>
        <v>10</v>
      </c>
      <c r="D87" s="92">
        <f>SUMIF('4. EQUIPO TECNOLÓGICOS'!$C:$C,'Cuadro resumen'!$B$80:$B$96,'4. EQUIPO TECNOLÓGICOS'!F:F)</f>
        <v>50000</v>
      </c>
    </row>
    <row r="88" spans="2:4" ht="18.75" x14ac:dyDescent="0.25">
      <c r="B88" s="91" t="s">
        <v>497</v>
      </c>
      <c r="C88" s="92">
        <f>SUMIF('4. EQUIPO TECNOLÓGICOS'!C:C,'Cuadro resumen'!$B$80:$B$96,'4. EQUIPO TECNOLÓGICOS'!D:D)</f>
        <v>0</v>
      </c>
      <c r="D88" s="92">
        <f>SUMIF('4. EQUIPO TECNOLÓGICOS'!$C:$C,'Cuadro resumen'!$B$80:$B$96,'4. EQUIPO TECNOLÓGICOS'!F:F)</f>
        <v>0</v>
      </c>
    </row>
    <row r="89" spans="2:4" ht="18.75" x14ac:dyDescent="0.25">
      <c r="B89" s="102" t="s">
        <v>76</v>
      </c>
      <c r="C89" s="92">
        <f>SUMIF('4. EQUIPO TECNOLÓGICOS'!C:C,'Cuadro resumen'!$B$80:$B$96,'4. EQUIPO TECNOLÓGICOS'!D:D)</f>
        <v>1</v>
      </c>
      <c r="D89" s="92">
        <f>SUMIF('4. EQUIPO TECNOLÓGICOS'!$C:$C,'Cuadro resumen'!$B$80:$B$96,'4. EQUIPO TECNOLÓGICOS'!F:F)</f>
        <v>15000</v>
      </c>
    </row>
    <row r="90" spans="2:4" ht="18.75" x14ac:dyDescent="0.25">
      <c r="B90" s="91" t="s">
        <v>77</v>
      </c>
      <c r="C90" s="92">
        <f>SUMIF('4. EQUIPO TECNOLÓGICOS'!C:C,'Cuadro resumen'!$B$80:$B$96,'4. EQUIPO TECNOLÓGICOS'!D:D)</f>
        <v>2</v>
      </c>
      <c r="D90" s="92">
        <f>SUMIF('4. EQUIPO TECNOLÓGICOS'!$C:$C,'Cuadro resumen'!$B$80:$B$96,'4. EQUIPO TECNOLÓGICOS'!F:F)</f>
        <v>20000</v>
      </c>
    </row>
    <row r="91" spans="2:4" ht="18.75" x14ac:dyDescent="0.25">
      <c r="B91" s="102" t="s">
        <v>78</v>
      </c>
      <c r="C91" s="92">
        <f>SUMIF('4. EQUIPO TECNOLÓGICOS'!C:C,'Cuadro resumen'!$B$80:$B$96,'4. EQUIPO TECNOLÓGICOS'!D:D)</f>
        <v>23</v>
      </c>
      <c r="D91" s="92">
        <f>SUMIF('4. EQUIPO TECNOLÓGICOS'!$C:$C,'Cuadro resumen'!$B$80:$B$96,'4. EQUIPO TECNOLÓGICOS'!F:F)</f>
        <v>193250</v>
      </c>
    </row>
    <row r="92" spans="2:4" ht="18.75" x14ac:dyDescent="0.25">
      <c r="B92" s="102" t="s">
        <v>79</v>
      </c>
      <c r="C92" s="92">
        <f>SUMIF('4. EQUIPO TECNOLÓGICOS'!C:C,'Cuadro resumen'!$B$80:$B$96,'4. EQUIPO TECNOLÓGICOS'!D:D)</f>
        <v>20</v>
      </c>
      <c r="D92" s="92">
        <f>SUMIF('4. EQUIPO TECNOLÓGICOS'!$C:$C,'Cuadro resumen'!$B$80:$B$96,'4. EQUIPO TECNOLÓGICOS'!F:F)</f>
        <v>40000</v>
      </c>
    </row>
    <row r="93" spans="2:4" ht="18.75" x14ac:dyDescent="0.25">
      <c r="B93" s="91" t="s">
        <v>498</v>
      </c>
      <c r="C93" s="92">
        <f>SUMIF('4. EQUIPO TECNOLÓGICOS'!C:C,'Cuadro resumen'!$B$80:$B$96,'4. EQUIPO TECNOLÓGICOS'!D:D)</f>
        <v>0</v>
      </c>
      <c r="D93" s="92">
        <f>SUMIF('4. EQUIPO TECNOLÓGICOS'!$C:$C,'Cuadro resumen'!$B$80:$B$96,'4. EQUIPO TECNOLÓGICOS'!F:F)</f>
        <v>0</v>
      </c>
    </row>
    <row r="94" spans="2:4" ht="18.75" x14ac:dyDescent="0.25">
      <c r="B94" s="102" t="s">
        <v>81</v>
      </c>
      <c r="C94" s="92">
        <f>SUMIF('4. EQUIPO TECNOLÓGICOS'!C:C,'Cuadro resumen'!$B$80:$B$96,'4. EQUIPO TECNOLÓGICOS'!D:D)</f>
        <v>11</v>
      </c>
      <c r="D94" s="92">
        <f>SUMIF('4. EQUIPO TECNOLÓGICOS'!$C:$C,'Cuadro resumen'!$B$80:$B$96,'4. EQUIPO TECNOLÓGICOS'!F:F)</f>
        <v>17000</v>
      </c>
    </row>
    <row r="95" spans="2:4" ht="18.75" x14ac:dyDescent="0.25">
      <c r="B95" s="102" t="s">
        <v>82</v>
      </c>
      <c r="C95" s="92">
        <f>SUMIF('4. EQUIPO TECNOLÓGICOS'!C:C,'Cuadro resumen'!$B$80:$B$96,'4. EQUIPO TECNOLÓGICOS'!D:D)</f>
        <v>26</v>
      </c>
      <c r="D95" s="92">
        <f>SUMIF('4. EQUIPO TECNOLÓGICOS'!$C:$C,'Cuadro resumen'!$B$80:$B$96,'4. EQUIPO TECNOLÓGICOS'!F:F)</f>
        <v>10000</v>
      </c>
    </row>
    <row r="96" spans="2:4" ht="18.75" x14ac:dyDescent="0.25">
      <c r="B96" s="102" t="s">
        <v>83</v>
      </c>
      <c r="C96" s="92">
        <f>SUMIF('4. EQUIPO TECNOLÓGICOS'!C:C,'Cuadro resumen'!$B$80:$B$96,'4. EQUIPO TECNOLÓGICOS'!D:D)</f>
        <v>246</v>
      </c>
      <c r="D96" s="92">
        <f>SUMIF('4. EQUIPO TECNOLÓGICOS'!$C:$C,'Cuadro resumen'!$B$80:$B$96,'4. EQUIPO TECNOLÓGICOS'!F:F)</f>
        <v>4920</v>
      </c>
    </row>
    <row r="97" spans="2:4" ht="23.25" x14ac:dyDescent="0.25">
      <c r="B97" s="93" t="s">
        <v>192</v>
      </c>
      <c r="C97" s="94">
        <f>SUM(C80:C96)</f>
        <v>385</v>
      </c>
      <c r="D97" s="94">
        <f>SUM(D80:D96)</f>
        <v>1299170</v>
      </c>
    </row>
    <row r="101" spans="2:4" x14ac:dyDescent="0.25">
      <c r="B101" s="212" t="s">
        <v>563</v>
      </c>
    </row>
    <row r="122" spans="2:4" x14ac:dyDescent="0.25">
      <c r="B122" s="212" t="s">
        <v>564</v>
      </c>
    </row>
    <row r="123" spans="2:4" x14ac:dyDescent="0.25">
      <c r="B123" s="95" t="s">
        <v>155</v>
      </c>
      <c r="C123" s="95" t="s">
        <v>55</v>
      </c>
      <c r="D123" s="95" t="s">
        <v>565</v>
      </c>
    </row>
    <row r="124" spans="2:4" x14ac:dyDescent="0.25">
      <c r="B124" s="95" t="s">
        <v>566</v>
      </c>
    </row>
    <row r="125" spans="2:4" x14ac:dyDescent="0.25">
      <c r="B125" s="95" t="s">
        <v>553</v>
      </c>
    </row>
    <row r="126" spans="2:4" x14ac:dyDescent="0.25">
      <c r="B126" s="95" t="s">
        <v>685</v>
      </c>
    </row>
    <row r="139" spans="2:2" x14ac:dyDescent="0.25">
      <c r="B139" s="212" t="s">
        <v>686</v>
      </c>
    </row>
  </sheetData>
  <pageMargins left="0.7" right="0.7" top="0.75" bottom="0.75" header="0.3" footer="0.3"/>
  <pageSetup orientation="portrait"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82"/>
  <sheetViews>
    <sheetView showGridLines="0" topLeftCell="A31" zoomScale="90" zoomScaleNormal="90" workbookViewId="0">
      <selection activeCell="D11" sqref="D11"/>
    </sheetView>
  </sheetViews>
  <sheetFormatPr baseColWidth="10" defaultColWidth="11.5703125" defaultRowHeight="15" x14ac:dyDescent="0.25"/>
  <cols>
    <col min="1" max="1" width="1.85546875" style="95" customWidth="1"/>
    <col min="2" max="2" width="17" style="95" customWidth="1"/>
    <col min="3" max="3" width="41.7109375" style="95" customWidth="1"/>
    <col min="4" max="4" width="29.28515625" style="85" customWidth="1"/>
    <col min="5" max="5" width="10.140625" style="95" customWidth="1"/>
    <col min="6" max="7" width="13.85546875" style="95" customWidth="1"/>
    <col min="8" max="8" width="13.85546875" style="85" customWidth="1"/>
    <col min="9" max="9" width="12.7109375" style="95" bestFit="1" customWidth="1"/>
    <col min="10" max="10" width="37.140625" style="95" bestFit="1" customWidth="1"/>
    <col min="11" max="11" width="19.5703125" style="95" bestFit="1" customWidth="1"/>
    <col min="12" max="12" width="11.5703125" style="95"/>
    <col min="13" max="13" width="14.7109375" style="95" bestFit="1" customWidth="1"/>
    <col min="14" max="77" width="11.5703125" style="95"/>
    <col min="78" max="78" width="16.7109375" style="95" bestFit="1" customWidth="1"/>
    <col min="79" max="16384" width="11.5703125" style="95"/>
  </cols>
  <sheetData>
    <row r="1" spans="1:576" ht="26.25" hidden="1" x14ac:dyDescent="0.25">
      <c r="A1" s="198"/>
      <c r="B1" s="201"/>
      <c r="C1" s="192" t="s">
        <v>332</v>
      </c>
      <c r="D1" s="192" t="s">
        <v>701</v>
      </c>
      <c r="E1" s="192" t="s">
        <v>703</v>
      </c>
      <c r="F1" s="192" t="s">
        <v>705</v>
      </c>
      <c r="G1" s="192" t="s">
        <v>707</v>
      </c>
      <c r="H1" s="192" t="s">
        <v>709</v>
      </c>
      <c r="I1" s="192" t="s">
        <v>711</v>
      </c>
      <c r="J1" s="192" t="s">
        <v>333</v>
      </c>
      <c r="K1" s="192" t="s">
        <v>714</v>
      </c>
      <c r="L1" s="192" t="s">
        <v>334</v>
      </c>
      <c r="M1" s="192" t="s">
        <v>716</v>
      </c>
      <c r="N1" s="192" t="s">
        <v>718</v>
      </c>
      <c r="O1" s="192" t="s">
        <v>720</v>
      </c>
      <c r="P1" s="192" t="s">
        <v>335</v>
      </c>
      <c r="Q1" s="192" t="s">
        <v>721</v>
      </c>
      <c r="R1" s="192" t="s">
        <v>724</v>
      </c>
      <c r="S1" s="192" t="s">
        <v>336</v>
      </c>
      <c r="T1" s="192" t="s">
        <v>726</v>
      </c>
      <c r="U1" s="192" t="s">
        <v>337</v>
      </c>
      <c r="V1" s="192" t="s">
        <v>727</v>
      </c>
      <c r="W1" s="192" t="s">
        <v>728</v>
      </c>
      <c r="X1" s="192" t="s">
        <v>732</v>
      </c>
      <c r="Y1" s="192" t="s">
        <v>329</v>
      </c>
      <c r="Z1" s="192" t="s">
        <v>747</v>
      </c>
      <c r="AA1" s="201"/>
      <c r="AB1" s="192" t="s">
        <v>749</v>
      </c>
      <c r="AC1" s="192" t="s">
        <v>339</v>
      </c>
      <c r="AD1" s="192" t="s">
        <v>751</v>
      </c>
      <c r="AE1" s="192" t="s">
        <v>753</v>
      </c>
      <c r="AF1" s="192" t="s">
        <v>340</v>
      </c>
      <c r="AG1" s="192" t="s">
        <v>755</v>
      </c>
      <c r="AH1" s="192" t="s">
        <v>757</v>
      </c>
      <c r="AI1" s="192" t="s">
        <v>341</v>
      </c>
      <c r="AJ1" s="192" t="s">
        <v>758</v>
      </c>
      <c r="AK1" s="192" t="s">
        <v>760</v>
      </c>
      <c r="AL1" s="192" t="s">
        <v>761</v>
      </c>
      <c r="AM1" s="192" t="s">
        <v>762</v>
      </c>
      <c r="AN1" s="192" t="s">
        <v>764</v>
      </c>
      <c r="AO1" s="192" t="s">
        <v>766</v>
      </c>
      <c r="AP1" s="192" t="s">
        <v>767</v>
      </c>
      <c r="AQ1" s="192" t="s">
        <v>342</v>
      </c>
      <c r="AR1" s="192" t="s">
        <v>769</v>
      </c>
      <c r="AS1" s="192" t="s">
        <v>771</v>
      </c>
      <c r="AT1" s="192" t="s">
        <v>773</v>
      </c>
      <c r="AU1" s="192" t="s">
        <v>775</v>
      </c>
      <c r="AV1" s="192" t="s">
        <v>777</v>
      </c>
      <c r="AW1" s="192" t="s">
        <v>779</v>
      </c>
      <c r="AX1" s="192" t="s">
        <v>781</v>
      </c>
      <c r="AY1" s="192" t="s">
        <v>783</v>
      </c>
      <c r="AZ1" s="201"/>
      <c r="BA1" s="192" t="s">
        <v>344</v>
      </c>
      <c r="BB1" s="192" t="s">
        <v>805</v>
      </c>
      <c r="BC1" s="192" t="s">
        <v>345</v>
      </c>
      <c r="BD1" s="192" t="s">
        <v>807</v>
      </c>
      <c r="BE1" s="192" t="s">
        <v>809</v>
      </c>
      <c r="BF1" s="201"/>
      <c r="BG1" s="192" t="s">
        <v>347</v>
      </c>
      <c r="BH1" s="192" t="s">
        <v>811</v>
      </c>
      <c r="BI1" s="192" t="s">
        <v>348</v>
      </c>
      <c r="BJ1" s="192" t="s">
        <v>813</v>
      </c>
      <c r="BK1" s="192" t="s">
        <v>815</v>
      </c>
      <c r="BL1" s="192" t="s">
        <v>817</v>
      </c>
      <c r="BM1" s="201"/>
      <c r="BN1" s="192" t="s">
        <v>823</v>
      </c>
      <c r="BO1" s="192" t="s">
        <v>825</v>
      </c>
      <c r="BP1" s="192" t="s">
        <v>350</v>
      </c>
      <c r="BQ1" s="192" t="s">
        <v>819</v>
      </c>
      <c r="BR1" s="192" t="s">
        <v>821</v>
      </c>
      <c r="BS1" s="192" t="s">
        <v>351</v>
      </c>
      <c r="BT1" s="192" t="s">
        <v>827</v>
      </c>
      <c r="BU1" s="192" t="s">
        <v>352</v>
      </c>
      <c r="BV1" s="192" t="s">
        <v>828</v>
      </c>
      <c r="BW1" s="189"/>
      <c r="BX1" s="201"/>
      <c r="BY1" s="192" t="s">
        <v>353</v>
      </c>
      <c r="BZ1" s="192" t="s">
        <v>733</v>
      </c>
      <c r="CA1" s="192" t="s">
        <v>735</v>
      </c>
      <c r="CB1" s="192" t="s">
        <v>737</v>
      </c>
      <c r="CC1" s="192" t="s">
        <v>354</v>
      </c>
      <c r="CD1" s="192" t="s">
        <v>739</v>
      </c>
      <c r="CE1" s="192" t="s">
        <v>741</v>
      </c>
      <c r="CF1" s="192" t="s">
        <v>743</v>
      </c>
      <c r="CG1" s="192" t="s">
        <v>745</v>
      </c>
      <c r="CH1" s="189"/>
      <c r="CI1" s="201"/>
      <c r="CJ1" s="192" t="s">
        <v>355</v>
      </c>
      <c r="CK1" s="192" t="s">
        <v>785</v>
      </c>
      <c r="CL1" s="192" t="s">
        <v>787</v>
      </c>
      <c r="CM1" s="192" t="s">
        <v>789</v>
      </c>
      <c r="CN1" s="192" t="s">
        <v>791</v>
      </c>
      <c r="CO1" s="192" t="s">
        <v>793</v>
      </c>
      <c r="CP1" s="192" t="s">
        <v>795</v>
      </c>
      <c r="CQ1" s="192" t="s">
        <v>797</v>
      </c>
      <c r="CR1" s="192" t="s">
        <v>799</v>
      </c>
      <c r="CS1" s="192" t="s">
        <v>801</v>
      </c>
      <c r="CT1" s="192" t="s">
        <v>803</v>
      </c>
      <c r="CU1" s="189"/>
      <c r="CV1" s="201"/>
      <c r="CW1" s="192" t="s">
        <v>829</v>
      </c>
      <c r="CX1" s="192" t="s">
        <v>830</v>
      </c>
      <c r="CY1" s="192" t="s">
        <v>832</v>
      </c>
      <c r="CZ1" s="192" t="s">
        <v>358</v>
      </c>
      <c r="DA1" s="192" t="s">
        <v>834</v>
      </c>
      <c r="DB1" s="192" t="s">
        <v>836</v>
      </c>
      <c r="DC1" s="192" t="s">
        <v>838</v>
      </c>
      <c r="DD1" s="192" t="s">
        <v>840</v>
      </c>
      <c r="DE1" s="192" t="s">
        <v>842</v>
      </c>
      <c r="DF1" s="192" t="s">
        <v>844</v>
      </c>
      <c r="DG1" s="201"/>
      <c r="DH1" s="192" t="s">
        <v>360</v>
      </c>
      <c r="DI1" s="192" t="s">
        <v>846</v>
      </c>
      <c r="DJ1" s="192" t="s">
        <v>361</v>
      </c>
      <c r="DK1" s="192" t="s">
        <v>848</v>
      </c>
      <c r="DL1" s="192" t="s">
        <v>850</v>
      </c>
      <c r="DM1" s="192" t="s">
        <v>852</v>
      </c>
      <c r="DN1" s="192" t="s">
        <v>854</v>
      </c>
      <c r="DO1" s="192" t="s">
        <v>856</v>
      </c>
      <c r="DP1" s="192" t="s">
        <v>858</v>
      </c>
      <c r="DQ1" s="192" t="s">
        <v>860</v>
      </c>
      <c r="DR1" s="192" t="s">
        <v>362</v>
      </c>
      <c r="DS1" s="192" t="s">
        <v>862</v>
      </c>
      <c r="DT1" s="192" t="s">
        <v>864</v>
      </c>
      <c r="DU1" s="192" t="s">
        <v>866</v>
      </c>
      <c r="DV1" s="201"/>
      <c r="DW1" s="192" t="s">
        <v>868</v>
      </c>
      <c r="DX1" s="192" t="s">
        <v>364</v>
      </c>
      <c r="DY1" s="192" t="s">
        <v>870</v>
      </c>
      <c r="DZ1" s="192" t="s">
        <v>365</v>
      </c>
      <c r="EA1" s="192" t="s">
        <v>872</v>
      </c>
      <c r="EB1" s="192" t="s">
        <v>874</v>
      </c>
      <c r="EC1" s="192" t="s">
        <v>876</v>
      </c>
      <c r="ED1" s="192" t="s">
        <v>878</v>
      </c>
      <c r="EE1" s="192" t="s">
        <v>880</v>
      </c>
      <c r="EF1" s="192" t="s">
        <v>882</v>
      </c>
      <c r="EG1" s="192" t="s">
        <v>884</v>
      </c>
      <c r="EH1" s="192" t="s">
        <v>886</v>
      </c>
      <c r="EI1" s="192" t="s">
        <v>888</v>
      </c>
      <c r="EJ1" s="192" t="s">
        <v>890</v>
      </c>
      <c r="EK1" s="192" t="s">
        <v>892</v>
      </c>
      <c r="EL1" s="201"/>
      <c r="EM1" s="192" t="s">
        <v>894</v>
      </c>
      <c r="EN1" s="192" t="s">
        <v>367</v>
      </c>
      <c r="EO1" s="192" t="s">
        <v>896</v>
      </c>
      <c r="EP1" s="192" t="s">
        <v>898</v>
      </c>
      <c r="EQ1" s="192" t="s">
        <v>368</v>
      </c>
      <c r="ER1" s="192" t="s">
        <v>900</v>
      </c>
      <c r="ES1" s="192" t="s">
        <v>902</v>
      </c>
      <c r="ET1" s="192" t="s">
        <v>369</v>
      </c>
      <c r="EU1" s="192" t="s">
        <v>904</v>
      </c>
      <c r="EV1" s="192" t="s">
        <v>906</v>
      </c>
      <c r="EW1" s="192" t="s">
        <v>908</v>
      </c>
      <c r="EX1" s="192" t="s">
        <v>370</v>
      </c>
      <c r="EY1" s="192" t="s">
        <v>910</v>
      </c>
      <c r="EZ1" s="192" t="s">
        <v>912</v>
      </c>
      <c r="FA1" s="201"/>
      <c r="FB1" s="192" t="s">
        <v>372</v>
      </c>
      <c r="FC1" s="192" t="s">
        <v>914</v>
      </c>
      <c r="FD1" s="192" t="s">
        <v>916</v>
      </c>
      <c r="FE1" s="192" t="s">
        <v>918</v>
      </c>
      <c r="FF1" s="192" t="s">
        <v>920</v>
      </c>
      <c r="FG1" s="192" t="s">
        <v>373</v>
      </c>
      <c r="FH1" s="192" t="s">
        <v>922</v>
      </c>
      <c r="FI1" s="192" t="s">
        <v>924</v>
      </c>
      <c r="FJ1" s="192" t="s">
        <v>926</v>
      </c>
      <c r="FK1" s="192" t="s">
        <v>928</v>
      </c>
      <c r="FL1" s="192" t="s">
        <v>930</v>
      </c>
      <c r="FM1" s="192" t="s">
        <v>374</v>
      </c>
      <c r="FN1" s="192" t="s">
        <v>933</v>
      </c>
      <c r="FO1" s="192" t="s">
        <v>375</v>
      </c>
      <c r="FP1" s="192" t="s">
        <v>936</v>
      </c>
      <c r="FQ1" s="192" t="s">
        <v>937</v>
      </c>
      <c r="FR1" s="192" t="s">
        <v>939</v>
      </c>
      <c r="FS1" s="192" t="s">
        <v>376</v>
      </c>
      <c r="FT1" s="192" t="s">
        <v>942</v>
      </c>
      <c r="FU1" s="192" t="s">
        <v>943</v>
      </c>
      <c r="FV1" s="192" t="s">
        <v>945</v>
      </c>
      <c r="FW1" s="192" t="s">
        <v>377</v>
      </c>
      <c r="FX1" s="192" t="s">
        <v>948</v>
      </c>
      <c r="FY1" s="192" t="s">
        <v>950</v>
      </c>
      <c r="FZ1" s="192" t="s">
        <v>952</v>
      </c>
      <c r="GA1" s="201"/>
      <c r="GB1" s="192" t="s">
        <v>379</v>
      </c>
      <c r="GC1" s="192" t="s">
        <v>380</v>
      </c>
      <c r="GD1" s="201"/>
      <c r="GE1" s="192" t="s">
        <v>382</v>
      </c>
      <c r="GF1" s="192" t="s">
        <v>975</v>
      </c>
      <c r="GG1" s="192" t="s">
        <v>977</v>
      </c>
      <c r="GH1" s="192" t="s">
        <v>979</v>
      </c>
      <c r="GI1" s="192" t="s">
        <v>981</v>
      </c>
      <c r="GJ1" s="192" t="s">
        <v>983</v>
      </c>
      <c r="GK1" s="201"/>
      <c r="GL1" s="192" t="s">
        <v>384</v>
      </c>
      <c r="GM1" s="192" t="s">
        <v>985</v>
      </c>
      <c r="GN1" s="192" t="s">
        <v>987</v>
      </c>
      <c r="GO1" s="192" t="s">
        <v>989</v>
      </c>
      <c r="GP1" s="192" t="s">
        <v>991</v>
      </c>
      <c r="GQ1" s="192" t="s">
        <v>993</v>
      </c>
      <c r="GR1" s="192" t="s">
        <v>995</v>
      </c>
      <c r="GS1" s="189"/>
      <c r="GT1" s="201"/>
      <c r="GU1" s="192" t="s">
        <v>385</v>
      </c>
      <c r="GV1" s="192" t="s">
        <v>954</v>
      </c>
      <c r="GW1" s="192" t="s">
        <v>956</v>
      </c>
      <c r="GX1" s="192" t="s">
        <v>958</v>
      </c>
      <c r="GY1" s="192" t="s">
        <v>960</v>
      </c>
      <c r="GZ1" s="192" t="s">
        <v>962</v>
      </c>
      <c r="HA1" s="192" t="s">
        <v>964</v>
      </c>
      <c r="HB1" s="201"/>
      <c r="HC1" s="192" t="s">
        <v>386</v>
      </c>
      <c r="HD1" s="192" t="s">
        <v>966</v>
      </c>
      <c r="HE1" s="192" t="s">
        <v>968</v>
      </c>
      <c r="HF1" s="192" t="s">
        <v>969</v>
      </c>
      <c r="HG1" s="192" t="s">
        <v>387</v>
      </c>
      <c r="HH1" s="192" t="s">
        <v>972</v>
      </c>
      <c r="HI1" s="192" t="s">
        <v>973</v>
      </c>
      <c r="HJ1" s="189"/>
      <c r="HK1" s="201"/>
      <c r="HL1" s="192" t="s">
        <v>390</v>
      </c>
      <c r="HM1" s="192" t="s">
        <v>997</v>
      </c>
      <c r="HN1" s="192" t="s">
        <v>999</v>
      </c>
      <c r="HO1" s="192" t="s">
        <v>1001</v>
      </c>
      <c r="HP1" s="192" t="s">
        <v>1003</v>
      </c>
      <c r="HQ1" s="192" t="s">
        <v>391</v>
      </c>
      <c r="HR1" s="192" t="s">
        <v>1006</v>
      </c>
      <c r="HS1" s="201"/>
      <c r="HT1" s="192" t="s">
        <v>1008</v>
      </c>
      <c r="HU1" s="192" t="s">
        <v>1010</v>
      </c>
      <c r="HV1" s="192" t="s">
        <v>393</v>
      </c>
      <c r="HW1" s="192" t="s">
        <v>1013</v>
      </c>
      <c r="HX1" s="192" t="s">
        <v>1015</v>
      </c>
      <c r="HY1" s="192" t="s">
        <v>1016</v>
      </c>
      <c r="HZ1" s="192" t="s">
        <v>1018</v>
      </c>
      <c r="IA1" s="201"/>
      <c r="IB1" s="192" t="s">
        <v>1020</v>
      </c>
      <c r="IC1" s="192" t="s">
        <v>1022</v>
      </c>
      <c r="ID1" s="192" t="s">
        <v>1024</v>
      </c>
      <c r="IE1" s="192" t="s">
        <v>395</v>
      </c>
      <c r="IF1" s="192" t="s">
        <v>1026</v>
      </c>
      <c r="IG1" s="192" t="s">
        <v>1028</v>
      </c>
      <c r="IH1" s="192" t="s">
        <v>396</v>
      </c>
      <c r="II1" s="192" t="s">
        <v>1030</v>
      </c>
      <c r="IJ1" s="192" t="s">
        <v>1032</v>
      </c>
      <c r="IK1" s="192" t="s">
        <v>397</v>
      </c>
      <c r="IL1" s="192" t="s">
        <v>1034</v>
      </c>
      <c r="IM1" s="192" t="s">
        <v>1036</v>
      </c>
      <c r="IN1" s="192" t="s">
        <v>1038</v>
      </c>
      <c r="IO1" s="192" t="s">
        <v>1040</v>
      </c>
      <c r="IP1" s="192" t="s">
        <v>398</v>
      </c>
      <c r="IQ1" s="192" t="s">
        <v>1042</v>
      </c>
      <c r="IR1" s="201"/>
      <c r="IS1" s="192" t="s">
        <v>1050</v>
      </c>
      <c r="IT1" s="192" t="s">
        <v>1052</v>
      </c>
      <c r="IU1" s="192" t="s">
        <v>400</v>
      </c>
      <c r="IV1" s="192" t="s">
        <v>1054</v>
      </c>
      <c r="IW1" s="192" t="s">
        <v>1056</v>
      </c>
      <c r="IX1" s="192" t="s">
        <v>1058</v>
      </c>
      <c r="IY1" s="201"/>
      <c r="IZ1" s="192" t="s">
        <v>1060</v>
      </c>
      <c r="JA1" s="192" t="s">
        <v>402</v>
      </c>
      <c r="JB1" s="192" t="s">
        <v>1063</v>
      </c>
      <c r="JC1" s="192" t="s">
        <v>1065</v>
      </c>
      <c r="JD1" s="192" t="s">
        <v>1067</v>
      </c>
      <c r="JE1" s="192" t="s">
        <v>1069</v>
      </c>
      <c r="JF1" s="192" t="s">
        <v>1071</v>
      </c>
      <c r="JG1" s="192" t="s">
        <v>1073</v>
      </c>
      <c r="JH1" s="192" t="s">
        <v>403</v>
      </c>
      <c r="JI1" s="192" t="s">
        <v>1076</v>
      </c>
      <c r="JJ1" s="192" t="s">
        <v>1078</v>
      </c>
      <c r="JK1" s="192" t="s">
        <v>1080</v>
      </c>
      <c r="JL1" s="192" t="s">
        <v>1082</v>
      </c>
      <c r="JM1" s="192" t="s">
        <v>1084</v>
      </c>
      <c r="JN1" s="192" t="s">
        <v>1086</v>
      </c>
      <c r="JO1" s="192" t="s">
        <v>1088</v>
      </c>
      <c r="JP1" s="192" t="s">
        <v>1090</v>
      </c>
      <c r="JQ1" s="192" t="s">
        <v>404</v>
      </c>
      <c r="JR1" s="192" t="s">
        <v>1093</v>
      </c>
      <c r="JS1" s="192" t="s">
        <v>1095</v>
      </c>
      <c r="JT1" s="192" t="s">
        <v>1097</v>
      </c>
      <c r="JU1" s="192" t="s">
        <v>1099</v>
      </c>
      <c r="JV1" s="192" t="s">
        <v>1100</v>
      </c>
      <c r="JW1" s="192" t="s">
        <v>1102</v>
      </c>
      <c r="JX1" s="192" t="s">
        <v>1104</v>
      </c>
      <c r="JY1" s="192" t="s">
        <v>1106</v>
      </c>
      <c r="JZ1" s="192" t="s">
        <v>1108</v>
      </c>
      <c r="KA1" s="192" t="s">
        <v>1110</v>
      </c>
      <c r="KB1" s="192" t="s">
        <v>1112</v>
      </c>
      <c r="KC1" s="192" t="s">
        <v>1114</v>
      </c>
      <c r="KD1" s="192" t="s">
        <v>1116</v>
      </c>
      <c r="KE1" s="192" t="s">
        <v>1118</v>
      </c>
      <c r="KF1" s="192" t="s">
        <v>1120</v>
      </c>
      <c r="KG1" s="192" t="s">
        <v>1122</v>
      </c>
      <c r="KH1" s="192" t="s">
        <v>1124</v>
      </c>
      <c r="KI1" s="192" t="s">
        <v>1126</v>
      </c>
      <c r="KJ1" s="192" t="s">
        <v>1128</v>
      </c>
      <c r="KK1" s="192" t="s">
        <v>1130</v>
      </c>
      <c r="KL1" s="192" t="s">
        <v>1132</v>
      </c>
      <c r="KM1" s="192" t="s">
        <v>1134</v>
      </c>
      <c r="KN1" s="192" t="s">
        <v>1136</v>
      </c>
      <c r="KO1" s="192" t="s">
        <v>1138</v>
      </c>
      <c r="KP1" s="192" t="s">
        <v>1140</v>
      </c>
      <c r="KQ1" s="192" t="s">
        <v>1142</v>
      </c>
      <c r="KR1" s="201"/>
      <c r="KS1" s="192" t="s">
        <v>1144</v>
      </c>
      <c r="KT1" s="192" t="s">
        <v>406</v>
      </c>
      <c r="KU1" s="192" t="s">
        <v>1147</v>
      </c>
      <c r="KV1" s="192" t="s">
        <v>1149</v>
      </c>
      <c r="KW1" s="192" t="s">
        <v>1151</v>
      </c>
      <c r="KX1" s="192" t="s">
        <v>1153</v>
      </c>
      <c r="KY1" s="192" t="s">
        <v>407</v>
      </c>
      <c r="KZ1" s="192" t="s">
        <v>1156</v>
      </c>
      <c r="LA1" s="192" t="s">
        <v>1158</v>
      </c>
      <c r="LB1" s="192" t="s">
        <v>1160</v>
      </c>
      <c r="LC1" s="192" t="s">
        <v>1162</v>
      </c>
      <c r="LD1" s="192" t="s">
        <v>1164</v>
      </c>
      <c r="LE1" s="192" t="s">
        <v>1166</v>
      </c>
      <c r="LF1" s="192" t="s">
        <v>1168</v>
      </c>
      <c r="LG1" s="189"/>
      <c r="LH1" s="201"/>
      <c r="LI1" s="192" t="s">
        <v>408</v>
      </c>
      <c r="LJ1" s="192" t="s">
        <v>1044</v>
      </c>
      <c r="LK1" s="192" t="s">
        <v>1046</v>
      </c>
      <c r="LL1" s="192" t="s">
        <v>1048</v>
      </c>
      <c r="LM1" s="189"/>
      <c r="LN1" s="201"/>
      <c r="LO1" s="192" t="s">
        <v>411</v>
      </c>
      <c r="LP1" s="192" t="s">
        <v>412</v>
      </c>
      <c r="LQ1" s="201"/>
      <c r="LR1" s="192" t="s">
        <v>414</v>
      </c>
      <c r="LS1" s="192" t="s">
        <v>1188</v>
      </c>
      <c r="LT1" s="192" t="s">
        <v>1190</v>
      </c>
      <c r="LU1" s="192" t="s">
        <v>1191</v>
      </c>
      <c r="LV1" s="192" t="s">
        <v>1193</v>
      </c>
      <c r="LW1" s="192" t="s">
        <v>1194</v>
      </c>
      <c r="LX1" s="192" t="s">
        <v>1196</v>
      </c>
      <c r="LY1" s="192" t="s">
        <v>1198</v>
      </c>
      <c r="LZ1" s="192" t="s">
        <v>1200</v>
      </c>
      <c r="MA1" s="192" t="s">
        <v>1202</v>
      </c>
      <c r="MB1" s="192" t="s">
        <v>415</v>
      </c>
      <c r="MC1" s="192" t="s">
        <v>1205</v>
      </c>
      <c r="MD1" s="192" t="s">
        <v>1206</v>
      </c>
      <c r="ME1" s="192" t="s">
        <v>1208</v>
      </c>
      <c r="MF1" s="192" t="s">
        <v>416</v>
      </c>
      <c r="MG1" s="192" t="s">
        <v>1211</v>
      </c>
      <c r="MH1" s="192" t="s">
        <v>1212</v>
      </c>
      <c r="MI1" s="192" t="s">
        <v>1214</v>
      </c>
      <c r="MJ1" s="192" t="s">
        <v>1216</v>
      </c>
      <c r="MK1" s="192" t="s">
        <v>417</v>
      </c>
      <c r="ML1" s="192" t="s">
        <v>1219</v>
      </c>
      <c r="MM1" s="192" t="s">
        <v>1221</v>
      </c>
      <c r="MN1" s="192" t="s">
        <v>1223</v>
      </c>
      <c r="MO1" s="192" t="s">
        <v>1225</v>
      </c>
      <c r="MP1" s="192" t="s">
        <v>418</v>
      </c>
      <c r="MQ1" s="192" t="s">
        <v>1228</v>
      </c>
      <c r="MR1" s="192" t="s">
        <v>1230</v>
      </c>
      <c r="MS1" s="192" t="s">
        <v>1232</v>
      </c>
      <c r="MT1" s="192" t="s">
        <v>1234</v>
      </c>
      <c r="MU1" s="192" t="s">
        <v>1236</v>
      </c>
      <c r="MV1" s="192" t="s">
        <v>1238</v>
      </c>
      <c r="MW1" s="192" t="s">
        <v>1240</v>
      </c>
      <c r="MX1" s="192" t="s">
        <v>1242</v>
      </c>
      <c r="MY1" s="192" t="s">
        <v>1244</v>
      </c>
      <c r="MZ1" s="192" t="s">
        <v>1246</v>
      </c>
      <c r="NA1" s="192" t="s">
        <v>1248</v>
      </c>
      <c r="NB1" s="192" t="s">
        <v>1249</v>
      </c>
      <c r="NC1" s="201"/>
      <c r="ND1" s="192" t="s">
        <v>420</v>
      </c>
      <c r="NE1" s="192" t="s">
        <v>1251</v>
      </c>
      <c r="NF1" s="192" t="s">
        <v>1253</v>
      </c>
      <c r="NG1" s="192" t="s">
        <v>1255</v>
      </c>
      <c r="NH1" s="192" t="s">
        <v>1257</v>
      </c>
      <c r="NI1" s="201"/>
      <c r="NJ1" s="192" t="s">
        <v>422</v>
      </c>
      <c r="NK1" s="192" t="s">
        <v>1258</v>
      </c>
      <c r="NL1" s="192" t="s">
        <v>423</v>
      </c>
      <c r="NM1" s="192" t="s">
        <v>1260</v>
      </c>
      <c r="NN1" s="192" t="s">
        <v>1262</v>
      </c>
      <c r="NO1" s="192" t="s">
        <v>424</v>
      </c>
      <c r="NP1" s="192" t="s">
        <v>1264</v>
      </c>
      <c r="NQ1" s="192" t="s">
        <v>1266</v>
      </c>
      <c r="NR1" s="189"/>
      <c r="NS1" s="201"/>
      <c r="NT1" s="192" t="s">
        <v>425</v>
      </c>
      <c r="NU1" s="192" t="s">
        <v>1170</v>
      </c>
      <c r="NV1" s="192" t="s">
        <v>1172</v>
      </c>
      <c r="NW1" s="192" t="s">
        <v>1174</v>
      </c>
      <c r="NX1" s="192" t="s">
        <v>1176</v>
      </c>
      <c r="NY1" s="192" t="s">
        <v>426</v>
      </c>
      <c r="NZ1" s="192" t="s">
        <v>1178</v>
      </c>
      <c r="OA1" s="192" t="s">
        <v>427</v>
      </c>
      <c r="OB1" s="192" t="s">
        <v>1180</v>
      </c>
      <c r="OC1" s="201"/>
      <c r="OD1" s="192" t="s">
        <v>1182</v>
      </c>
      <c r="OE1" s="192" t="s">
        <v>428</v>
      </c>
      <c r="OF1" s="189"/>
      <c r="OG1" s="201"/>
      <c r="OH1" s="192" t="s">
        <v>1184</v>
      </c>
      <c r="OI1" s="192" t="s">
        <v>1186</v>
      </c>
      <c r="OJ1" s="192" t="s">
        <v>429</v>
      </c>
      <c r="OK1" s="189"/>
      <c r="OL1" s="201"/>
      <c r="OM1" s="192" t="s">
        <v>432</v>
      </c>
      <c r="ON1" s="192" t="s">
        <v>1268</v>
      </c>
      <c r="OO1" s="192" t="s">
        <v>1270</v>
      </c>
      <c r="OP1" s="192" t="s">
        <v>433</v>
      </c>
      <c r="OQ1" s="192" t="s">
        <v>434</v>
      </c>
      <c r="OR1" s="192" t="s">
        <v>1368</v>
      </c>
      <c r="OS1" s="192" t="s">
        <v>1370</v>
      </c>
      <c r="OT1" s="192" t="s">
        <v>1372</v>
      </c>
      <c r="OU1" s="192" t="s">
        <v>1374</v>
      </c>
      <c r="OV1" s="192" t="s">
        <v>1376</v>
      </c>
      <c r="OW1" s="201"/>
      <c r="OX1" s="192" t="s">
        <v>436</v>
      </c>
      <c r="OY1" s="192" t="s">
        <v>1378</v>
      </c>
      <c r="OZ1" s="192" t="s">
        <v>1380</v>
      </c>
      <c r="PA1" s="192" t="s">
        <v>1382</v>
      </c>
      <c r="PB1" s="192" t="s">
        <v>1384</v>
      </c>
      <c r="PC1" s="192" t="s">
        <v>1386</v>
      </c>
      <c r="PD1" s="192" t="s">
        <v>1388</v>
      </c>
      <c r="PE1" s="201"/>
      <c r="PF1" s="192" t="s">
        <v>1390</v>
      </c>
      <c r="PG1" s="192" t="s">
        <v>438</v>
      </c>
      <c r="PH1" s="201"/>
      <c r="PI1" s="192" t="s">
        <v>440</v>
      </c>
      <c r="PJ1" s="192" t="s">
        <v>1420</v>
      </c>
      <c r="PK1" s="192" t="s">
        <v>1422</v>
      </c>
      <c r="PL1" s="201"/>
      <c r="PM1" s="192" t="s">
        <v>442</v>
      </c>
      <c r="PN1" s="192" t="s">
        <v>1424</v>
      </c>
      <c r="PO1" s="192" t="s">
        <v>1425</v>
      </c>
      <c r="PP1" s="192" t="s">
        <v>1426</v>
      </c>
      <c r="PQ1" s="192" t="s">
        <v>1427</v>
      </c>
      <c r="PR1" s="192" t="s">
        <v>1429</v>
      </c>
      <c r="PS1" s="192" t="s">
        <v>1430</v>
      </c>
      <c r="PT1" s="192" t="s">
        <v>1432</v>
      </c>
      <c r="PU1" s="192" t="s">
        <v>1433</v>
      </c>
      <c r="PV1" s="189"/>
      <c r="PW1" s="201"/>
      <c r="PX1" s="192" t="s">
        <v>443</v>
      </c>
      <c r="PY1" s="192" t="s">
        <v>1272</v>
      </c>
      <c r="PZ1" s="192" t="s">
        <v>1274</v>
      </c>
      <c r="QA1" s="192" t="s">
        <v>1276</v>
      </c>
      <c r="QB1" s="192" t="s">
        <v>1278</v>
      </c>
      <c r="QC1" s="192" t="s">
        <v>1280</v>
      </c>
      <c r="QD1" s="192" t="s">
        <v>1282</v>
      </c>
      <c r="QE1" s="192" t="s">
        <v>1284</v>
      </c>
      <c r="QF1" s="192" t="s">
        <v>1286</v>
      </c>
      <c r="QG1" s="192" t="s">
        <v>1288</v>
      </c>
      <c r="QH1" s="192" t="s">
        <v>1290</v>
      </c>
      <c r="QI1" s="192" t="s">
        <v>1292</v>
      </c>
      <c r="QJ1" s="192" t="s">
        <v>1294</v>
      </c>
      <c r="QK1" s="192" t="s">
        <v>1296</v>
      </c>
      <c r="QL1" s="192" t="s">
        <v>1298</v>
      </c>
      <c r="QM1" s="192" t="s">
        <v>1300</v>
      </c>
      <c r="QN1" s="192" t="s">
        <v>1302</v>
      </c>
      <c r="QO1" s="192" t="s">
        <v>1304</v>
      </c>
      <c r="QP1" s="192" t="s">
        <v>1306</v>
      </c>
      <c r="QQ1" s="192" t="s">
        <v>1308</v>
      </c>
      <c r="QR1" s="192" t="s">
        <v>1310</v>
      </c>
      <c r="QS1" s="192" t="s">
        <v>1312</v>
      </c>
      <c r="QT1" s="192" t="s">
        <v>1314</v>
      </c>
      <c r="QU1" s="192" t="s">
        <v>444</v>
      </c>
      <c r="QV1" s="192" t="s">
        <v>1317</v>
      </c>
      <c r="QW1" s="192" t="s">
        <v>1319</v>
      </c>
      <c r="QX1" s="192" t="s">
        <v>1320</v>
      </c>
      <c r="QY1" s="192" t="s">
        <v>1322</v>
      </c>
      <c r="QZ1" s="192" t="s">
        <v>1324</v>
      </c>
      <c r="RA1" s="192" t="s">
        <v>1326</v>
      </c>
      <c r="RB1" s="192" t="s">
        <v>1328</v>
      </c>
      <c r="RC1" s="192" t="s">
        <v>1330</v>
      </c>
      <c r="RD1" s="192" t="s">
        <v>1332</v>
      </c>
      <c r="RE1" s="192" t="s">
        <v>1334</v>
      </c>
      <c r="RF1" s="192" t="s">
        <v>1336</v>
      </c>
      <c r="RG1" s="192" t="s">
        <v>1338</v>
      </c>
      <c r="RH1" s="192" t="s">
        <v>1340</v>
      </c>
      <c r="RI1" s="192" t="s">
        <v>1342</v>
      </c>
      <c r="RJ1" s="192" t="s">
        <v>1344</v>
      </c>
      <c r="RK1" s="192" t="s">
        <v>1346</v>
      </c>
      <c r="RL1" s="192" t="s">
        <v>1348</v>
      </c>
      <c r="RM1" s="192" t="s">
        <v>1350</v>
      </c>
      <c r="RN1" s="192" t="s">
        <v>1352</v>
      </c>
      <c r="RO1" s="192" t="s">
        <v>1354</v>
      </c>
      <c r="RP1" s="192" t="s">
        <v>1356</v>
      </c>
      <c r="RQ1" s="192" t="s">
        <v>1358</v>
      </c>
      <c r="RR1" s="192" t="s">
        <v>1360</v>
      </c>
      <c r="RS1" s="192" t="s">
        <v>1362</v>
      </c>
      <c r="RT1" s="192" t="s">
        <v>1364</v>
      </c>
      <c r="RU1" s="192" t="s">
        <v>1366</v>
      </c>
      <c r="RV1" s="189"/>
      <c r="RW1" s="201"/>
      <c r="RX1" s="192" t="s">
        <v>445</v>
      </c>
      <c r="RY1" s="192" t="s">
        <v>1392</v>
      </c>
      <c r="RZ1" s="192" t="s">
        <v>1394</v>
      </c>
      <c r="SA1" s="192" t="s">
        <v>1396</v>
      </c>
      <c r="SB1" s="192" t="s">
        <v>1398</v>
      </c>
      <c r="SC1" s="192" t="s">
        <v>1400</v>
      </c>
      <c r="SD1" s="192" t="s">
        <v>1402</v>
      </c>
      <c r="SE1" s="192" t="s">
        <v>1404</v>
      </c>
      <c r="SF1" s="192" t="s">
        <v>1406</v>
      </c>
      <c r="SG1" s="192" t="s">
        <v>1408</v>
      </c>
      <c r="SH1" s="192" t="s">
        <v>1410</v>
      </c>
      <c r="SI1" s="192" t="s">
        <v>1412</v>
      </c>
      <c r="SJ1" s="192" t="s">
        <v>1414</v>
      </c>
      <c r="SK1" s="192" t="s">
        <v>1416</v>
      </c>
      <c r="SL1" s="192" t="s">
        <v>1418</v>
      </c>
      <c r="SM1" s="189"/>
      <c r="SN1" s="201"/>
      <c r="SO1" s="192" t="s">
        <v>448</v>
      </c>
      <c r="SP1" s="192" t="s">
        <v>1435</v>
      </c>
      <c r="SQ1" s="192" t="s">
        <v>1437</v>
      </c>
      <c r="SR1" s="192" t="s">
        <v>449</v>
      </c>
      <c r="SS1" s="192" t="s">
        <v>1439</v>
      </c>
      <c r="ST1" s="192" t="s">
        <v>1441</v>
      </c>
      <c r="SU1" s="192" t="s">
        <v>1443</v>
      </c>
      <c r="SV1" s="192" t="s">
        <v>1445</v>
      </c>
      <c r="SW1" s="201"/>
      <c r="SX1" s="192" t="s">
        <v>451</v>
      </c>
      <c r="SY1" s="192" t="s">
        <v>1447</v>
      </c>
      <c r="SZ1" s="192" t="s">
        <v>1449</v>
      </c>
      <c r="TA1" s="192" t="s">
        <v>1451</v>
      </c>
      <c r="TB1" s="192" t="s">
        <v>1453</v>
      </c>
      <c r="TC1" s="192" t="s">
        <v>1455</v>
      </c>
      <c r="TD1" s="192" t="s">
        <v>1457</v>
      </c>
      <c r="TE1" s="192" t="s">
        <v>1459</v>
      </c>
      <c r="TF1" s="192" t="s">
        <v>1461</v>
      </c>
      <c r="TG1" s="192" t="s">
        <v>1463</v>
      </c>
      <c r="TH1" s="192" t="s">
        <v>1465</v>
      </c>
      <c r="TI1" s="192" t="s">
        <v>1467</v>
      </c>
      <c r="TJ1" s="192" t="s">
        <v>1469</v>
      </c>
      <c r="TK1" s="192" t="s">
        <v>1471</v>
      </c>
      <c r="TL1" s="192" t="s">
        <v>1473</v>
      </c>
      <c r="TM1" s="192" t="s">
        <v>1475</v>
      </c>
      <c r="TN1" s="189"/>
      <c r="TO1" s="201"/>
      <c r="TP1" s="192" t="s">
        <v>454</v>
      </c>
      <c r="TQ1" s="192" t="s">
        <v>1477</v>
      </c>
      <c r="TR1" s="192" t="s">
        <v>1479</v>
      </c>
      <c r="TS1" s="192" t="s">
        <v>1481</v>
      </c>
      <c r="TT1" s="192" t="s">
        <v>1483</v>
      </c>
      <c r="TU1" s="192" t="s">
        <v>1485</v>
      </c>
      <c r="TV1" s="192" t="s">
        <v>455</v>
      </c>
      <c r="TW1" s="192" t="s">
        <v>1487</v>
      </c>
      <c r="TX1" s="192" t="s">
        <v>1489</v>
      </c>
      <c r="TY1" s="192" t="s">
        <v>1491</v>
      </c>
      <c r="TZ1" s="192" t="s">
        <v>1493</v>
      </c>
      <c r="UA1" s="192" t="s">
        <v>1495</v>
      </c>
      <c r="UB1" s="192" t="s">
        <v>1497</v>
      </c>
      <c r="UC1" s="201"/>
      <c r="UD1" s="192" t="s">
        <v>457</v>
      </c>
      <c r="UE1" s="189"/>
      <c r="UF1" s="201"/>
      <c r="UG1" s="192" t="s">
        <v>458</v>
      </c>
      <c r="UH1" s="192" t="s">
        <v>1499</v>
      </c>
      <c r="UI1" s="192" t="s">
        <v>1501</v>
      </c>
      <c r="UJ1" s="192" t="s">
        <v>1502</v>
      </c>
      <c r="UK1" s="192" t="s">
        <v>1504</v>
      </c>
      <c r="UL1" s="192" t="s">
        <v>1506</v>
      </c>
      <c r="UM1" s="192" t="s">
        <v>1508</v>
      </c>
      <c r="UN1" s="192" t="s">
        <v>1510</v>
      </c>
      <c r="UO1" s="192" t="s">
        <v>1512</v>
      </c>
      <c r="UP1" s="192" t="s">
        <v>1514</v>
      </c>
      <c r="UQ1" s="192" t="s">
        <v>1516</v>
      </c>
      <c r="UR1" s="192" t="s">
        <v>1518</v>
      </c>
      <c r="US1" s="192" t="s">
        <v>1520</v>
      </c>
      <c r="UT1" s="192" t="s">
        <v>1522</v>
      </c>
      <c r="UU1" s="192" t="s">
        <v>1524</v>
      </c>
      <c r="UV1" s="192" t="s">
        <v>1526</v>
      </c>
      <c r="UW1" s="192" t="s">
        <v>1528</v>
      </c>
      <c r="UX1" s="189"/>
      <c r="UY1" s="192" t="s">
        <v>1532</v>
      </c>
      <c r="UZ1" s="192" t="s">
        <v>1534</v>
      </c>
      <c r="VA1" s="192" t="s">
        <v>1536</v>
      </c>
      <c r="VB1" s="192" t="s">
        <v>1538</v>
      </c>
      <c r="VC1" s="192" t="s">
        <v>1540</v>
      </c>
      <c r="VD1" s="195"/>
    </row>
    <row r="2" spans="1:576" s="132" customFormat="1" hidden="1" x14ac:dyDescent="0.25">
      <c r="A2" s="132" t="s">
        <v>201</v>
      </c>
      <c r="B2" s="132" t="s">
        <v>187</v>
      </c>
      <c r="C2" s="132" t="s">
        <v>558</v>
      </c>
      <c r="D2" s="170" t="s">
        <v>202</v>
      </c>
      <c r="E2" s="132" t="s">
        <v>166</v>
      </c>
      <c r="F2" s="132" t="s">
        <v>559</v>
      </c>
      <c r="G2" s="132" t="s">
        <v>203</v>
      </c>
      <c r="H2" s="170" t="s">
        <v>560</v>
      </c>
      <c r="I2" s="132" t="s">
        <v>561</v>
      </c>
      <c r="J2" s="132" t="s">
        <v>204</v>
      </c>
      <c r="K2" s="132" t="s">
        <v>562</v>
      </c>
      <c r="R2" s="132" t="s">
        <v>206</v>
      </c>
      <c r="S2" s="132" t="s">
        <v>207</v>
      </c>
      <c r="U2" s="132" t="s">
        <v>475</v>
      </c>
      <c r="V2" s="132" t="s">
        <v>493</v>
      </c>
      <c r="W2" s="132" t="s">
        <v>476</v>
      </c>
      <c r="X2" s="132" t="s">
        <v>477</v>
      </c>
      <c r="Y2" s="132" t="s">
        <v>478</v>
      </c>
      <c r="Z2" s="132" t="s">
        <v>479</v>
      </c>
      <c r="AA2" s="132" t="s">
        <v>480</v>
      </c>
      <c r="AB2" s="132" t="s">
        <v>481</v>
      </c>
      <c r="AC2" s="132" t="s">
        <v>482</v>
      </c>
      <c r="AD2" s="132" t="s">
        <v>483</v>
      </c>
      <c r="AE2" s="132" t="s">
        <v>484</v>
      </c>
      <c r="AF2" s="132" t="s">
        <v>485</v>
      </c>
      <c r="AH2" s="132" t="s">
        <v>504</v>
      </c>
      <c r="AI2" s="132" t="s">
        <v>505</v>
      </c>
      <c r="AJ2" s="132" t="s">
        <v>506</v>
      </c>
      <c r="AK2" s="132" t="s">
        <v>507</v>
      </c>
      <c r="AL2" s="132" t="s">
        <v>508</v>
      </c>
      <c r="AM2" s="132" t="s">
        <v>511</v>
      </c>
      <c r="AN2" s="132" t="s">
        <v>509</v>
      </c>
      <c r="AO2" s="132" t="s">
        <v>510</v>
      </c>
      <c r="AP2" s="132" t="s">
        <v>512</v>
      </c>
      <c r="AQ2" s="132" t="s">
        <v>513</v>
      </c>
      <c r="AR2" s="132" t="s">
        <v>514</v>
      </c>
      <c r="AS2" s="132" t="s">
        <v>515</v>
      </c>
      <c r="AT2" s="132" t="s">
        <v>516</v>
      </c>
      <c r="AU2" s="132" t="s">
        <v>517</v>
      </c>
      <c r="AV2" s="132" t="s">
        <v>518</v>
      </c>
      <c r="AW2" s="132" t="s">
        <v>519</v>
      </c>
      <c r="AX2" s="132" t="s">
        <v>520</v>
      </c>
      <c r="AY2" s="132" t="s">
        <v>521</v>
      </c>
      <c r="AZ2" s="132" t="s">
        <v>522</v>
      </c>
      <c r="BA2" s="132" t="s">
        <v>523</v>
      </c>
      <c r="BB2" s="132" t="s">
        <v>524</v>
      </c>
      <c r="BC2" s="132" t="s">
        <v>525</v>
      </c>
      <c r="BD2" s="132" t="s">
        <v>526</v>
      </c>
      <c r="BE2" s="132" t="s">
        <v>527</v>
      </c>
      <c r="BF2" s="132" t="s">
        <v>528</v>
      </c>
      <c r="BG2" s="132" t="s">
        <v>529</v>
      </c>
      <c r="BH2" s="132" t="s">
        <v>530</v>
      </c>
      <c r="BI2" s="132" t="s">
        <v>531</v>
      </c>
      <c r="BJ2" s="132" t="s">
        <v>532</v>
      </c>
      <c r="BK2" s="132" t="s">
        <v>533</v>
      </c>
      <c r="BL2" s="132" t="s">
        <v>534</v>
      </c>
      <c r="BM2" s="132" t="s">
        <v>535</v>
      </c>
      <c r="BN2" s="132" t="s">
        <v>536</v>
      </c>
      <c r="BO2" s="132" t="s">
        <v>537</v>
      </c>
      <c r="BP2" s="132" t="s">
        <v>538</v>
      </c>
      <c r="BQ2" s="132" t="s">
        <v>539</v>
      </c>
      <c r="BR2" s="132" t="s">
        <v>540</v>
      </c>
      <c r="BS2" s="132" t="s">
        <v>541</v>
      </c>
      <c r="BT2" s="132" t="s">
        <v>542</v>
      </c>
      <c r="BU2" s="132" t="s">
        <v>543</v>
      </c>
      <c r="BZ2" s="95" t="s">
        <v>687</v>
      </c>
      <c r="CA2" s="95" t="s">
        <v>688</v>
      </c>
      <c r="CB2" s="95" t="s">
        <v>689</v>
      </c>
      <c r="CC2" s="95" t="s">
        <v>690</v>
      </c>
      <c r="CD2" s="95" t="s">
        <v>691</v>
      </c>
      <c r="CE2" s="95" t="s">
        <v>692</v>
      </c>
      <c r="CF2" s="95" t="s">
        <v>693</v>
      </c>
      <c r="CG2" s="95" t="s">
        <v>694</v>
      </c>
      <c r="CH2" s="95" t="s">
        <v>695</v>
      </c>
      <c r="CI2" s="95" t="s">
        <v>696</v>
      </c>
      <c r="CJ2" s="95" t="s">
        <v>697</v>
      </c>
      <c r="CK2" s="95" t="s">
        <v>698</v>
      </c>
      <c r="CL2" s="95" t="s">
        <v>699</v>
      </c>
      <c r="CM2" s="95" t="s">
        <v>700</v>
      </c>
    </row>
    <row r="3" spans="1:576" hidden="1" x14ac:dyDescent="0.25">
      <c r="AH3" s="95">
        <v>2500</v>
      </c>
      <c r="AI3" s="95">
        <v>1900</v>
      </c>
      <c r="AJ3" s="95">
        <v>1650</v>
      </c>
      <c r="AK3" s="95">
        <v>1580</v>
      </c>
      <c r="AL3" s="95">
        <v>2250</v>
      </c>
      <c r="AM3" s="95">
        <v>1650</v>
      </c>
      <c r="AN3" s="95">
        <v>1400</v>
      </c>
      <c r="AO3" s="95">
        <v>1340</v>
      </c>
      <c r="AP3" s="95">
        <v>2000</v>
      </c>
      <c r="AQ3" s="95">
        <v>1400</v>
      </c>
      <c r="AR3" s="95">
        <v>1150</v>
      </c>
      <c r="AS3" s="95">
        <v>1100</v>
      </c>
      <c r="AT3" s="95">
        <v>1750</v>
      </c>
      <c r="AU3" s="95">
        <v>1150</v>
      </c>
      <c r="AV3" s="95">
        <v>900</v>
      </c>
      <c r="AW3" s="95">
        <v>860</v>
      </c>
      <c r="AX3" s="95">
        <v>1200</v>
      </c>
      <c r="AY3" s="95">
        <v>900</v>
      </c>
      <c r="AZ3" s="95">
        <v>650</v>
      </c>
      <c r="BA3" s="95">
        <v>620</v>
      </c>
      <c r="BB3" s="95">
        <v>5355</v>
      </c>
      <c r="BC3" s="95">
        <v>4935</v>
      </c>
      <c r="BD3" s="95">
        <v>6300</v>
      </c>
      <c r="BE3" s="95">
        <v>5880</v>
      </c>
      <c r="BF3" s="95">
        <v>4725</v>
      </c>
      <c r="BG3" s="95">
        <v>4305</v>
      </c>
      <c r="BH3" s="95">
        <v>5670</v>
      </c>
      <c r="BI3" s="95">
        <v>5250</v>
      </c>
      <c r="BJ3" s="95">
        <v>4095</v>
      </c>
      <c r="BK3" s="95">
        <v>3780</v>
      </c>
      <c r="BL3" s="95">
        <v>5040</v>
      </c>
      <c r="BM3" s="95">
        <v>4620</v>
      </c>
      <c r="BN3" s="95">
        <v>3465</v>
      </c>
      <c r="BO3" s="95">
        <v>3150</v>
      </c>
      <c r="BP3" s="95">
        <v>4410</v>
      </c>
      <c r="BQ3" s="95">
        <v>4095</v>
      </c>
      <c r="BR3" s="95">
        <v>3045</v>
      </c>
      <c r="BS3" s="95">
        <v>2835</v>
      </c>
      <c r="BT3" s="95">
        <v>3885</v>
      </c>
      <c r="BU3" s="95">
        <v>3570</v>
      </c>
      <c r="BZ3" s="366">
        <v>41436.800000000003</v>
      </c>
      <c r="CA3" s="366">
        <v>37669.82</v>
      </c>
      <c r="CB3" s="366">
        <v>33902.839999999997</v>
      </c>
      <c r="CC3" s="366">
        <v>30135.85</v>
      </c>
      <c r="CD3" s="366">
        <v>28252.36</v>
      </c>
      <c r="CE3" s="366">
        <v>26368.87</v>
      </c>
      <c r="CF3" s="366">
        <v>17893.16</v>
      </c>
      <c r="CG3" s="366">
        <v>16951.419999999998</v>
      </c>
      <c r="CH3" s="366">
        <v>13184.44</v>
      </c>
      <c r="CI3" s="366">
        <v>15032.56</v>
      </c>
      <c r="CJ3" s="366">
        <v>13264.02</v>
      </c>
      <c r="CK3" s="366">
        <v>12379.75</v>
      </c>
      <c r="CL3" s="366">
        <v>439.49</v>
      </c>
      <c r="CM3" s="366">
        <v>1904.46</v>
      </c>
    </row>
    <row r="5" spans="1:576" ht="52.5" x14ac:dyDescent="0.25">
      <c r="C5" s="207" t="s">
        <v>205</v>
      </c>
      <c r="D5" s="179">
        <f>SUMIF(C:C,$C$10,D:D)</f>
        <v>32599226.520000003</v>
      </c>
      <c r="CA5" s="366"/>
    </row>
    <row r="6" spans="1:576" x14ac:dyDescent="0.25">
      <c r="CA6" s="366"/>
    </row>
    <row r="7" spans="1:576" x14ac:dyDescent="0.25">
      <c r="CA7" s="366"/>
    </row>
    <row r="8" spans="1:576" x14ac:dyDescent="0.25">
      <c r="C8" s="69" t="s">
        <v>54</v>
      </c>
      <c r="D8" s="87"/>
      <c r="E8" s="69"/>
      <c r="F8" s="69"/>
      <c r="G8" s="69"/>
      <c r="H8" s="87"/>
      <c r="I8" s="69"/>
      <c r="J8" s="69"/>
      <c r="CA8" s="366"/>
    </row>
    <row r="9" spans="1:576" ht="15.75" thickBot="1" x14ac:dyDescent="0.3">
      <c r="C9" s="104"/>
      <c r="D9" s="87"/>
      <c r="E9" s="104"/>
      <c r="F9" s="104"/>
      <c r="G9" s="104"/>
      <c r="H9" s="87"/>
      <c r="I9" s="104"/>
      <c r="J9" s="131"/>
      <c r="CA9" s="366"/>
    </row>
    <row r="10" spans="1:576" ht="15.75" thickBot="1" x14ac:dyDescent="0.3">
      <c r="C10" s="68" t="s">
        <v>43</v>
      </c>
      <c r="D10" s="30">
        <f>SUM(G17:G82)</f>
        <v>32599226.520000003</v>
      </c>
      <c r="E10" s="103"/>
      <c r="F10" s="103"/>
      <c r="G10" s="103"/>
      <c r="H10" s="84"/>
      <c r="I10" s="84"/>
      <c r="J10" s="84"/>
      <c r="CA10" s="366"/>
    </row>
    <row r="11" spans="1:576" x14ac:dyDescent="0.25">
      <c r="B11" s="188"/>
      <c r="D11" s="31"/>
      <c r="E11" s="103"/>
      <c r="F11" s="103"/>
      <c r="G11" s="103"/>
      <c r="H11" s="84"/>
      <c r="I11" s="84"/>
      <c r="J11" s="84"/>
      <c r="CA11" s="366"/>
    </row>
    <row r="12" spans="1:576" x14ac:dyDescent="0.25">
      <c r="B12" s="188"/>
      <c r="D12" s="31"/>
      <c r="E12" s="103"/>
      <c r="F12" s="103"/>
      <c r="G12" s="103"/>
      <c r="H12" s="84"/>
      <c r="I12" s="84"/>
      <c r="J12" s="84"/>
      <c r="CA12" s="366"/>
    </row>
    <row r="13" spans="1:576" ht="15.75" x14ac:dyDescent="0.25">
      <c r="C13" s="217" t="s">
        <v>471</v>
      </c>
      <c r="D13" s="218" t="s">
        <v>472</v>
      </c>
      <c r="E13" s="103"/>
      <c r="F13" s="103"/>
      <c r="G13" s="103"/>
      <c r="H13" s="84"/>
      <c r="I13" s="84"/>
      <c r="J13" s="84"/>
      <c r="CA13" s="366"/>
    </row>
    <row r="14" spans="1:576" ht="18.75" x14ac:dyDescent="0.25">
      <c r="C14" s="220" t="e">
        <f>IFERROR(VLOOKUP(D13,#REF!,2,FALSE),IFERROR(VLOOKUP(D13,#REF!,2,FALSE),IFERROR(VLOOKUP(D13,#REF!,2,FALSE),IFERROR(VLOOKUP(D13,'Docencia y Recursos Humanos '!$F:$G,2,FALSE),IFERROR(VLOOKUP(D13,Estudiantes!$E:$F,2,FALSE),IFERROR(VLOOKUP(D13,'Gestion Administrativa'!$E:$F,2,FALSE),IFERROR(VLOOKUP(D13,#REF!,2,FALSE),IFERROR(VLOOKUP(D13,#REF!,2,FALSE),IFERROR(VLOOKUP(D13,#REF!,2,FALSE),IFERROR(VLOOKUP(D13,#REF!,2,FALSE),IFERROR(VLOOKUP(D13,#REF!,2,FALSE),VLOOKUP(D13,#REF!,2,0))))))))))))</f>
        <v>#REF!</v>
      </c>
      <c r="D14" s="31"/>
      <c r="E14" s="103"/>
      <c r="F14" s="103"/>
      <c r="G14" s="103"/>
      <c r="H14" s="84"/>
      <c r="I14" s="84"/>
      <c r="J14" s="84"/>
      <c r="CA14" s="366"/>
    </row>
    <row r="15" spans="1:576" ht="15.75" thickBot="1" x14ac:dyDescent="0.3">
      <c r="C15" s="104"/>
      <c r="D15" s="31"/>
      <c r="E15" s="103"/>
      <c r="F15" s="103"/>
      <c r="G15" s="103"/>
      <c r="H15" s="84"/>
      <c r="I15" s="84"/>
      <c r="J15" s="84"/>
      <c r="CA15" s="366"/>
    </row>
    <row r="16" spans="1:576" ht="30.75" thickBot="1" x14ac:dyDescent="0.3">
      <c r="C16" s="144" t="s">
        <v>44</v>
      </c>
      <c r="D16" s="148" t="s">
        <v>55</v>
      </c>
      <c r="E16" s="181" t="s">
        <v>56</v>
      </c>
      <c r="F16" s="148" t="s">
        <v>57</v>
      </c>
      <c r="G16" s="145" t="s">
        <v>27</v>
      </c>
      <c r="H16" s="143" t="s">
        <v>208</v>
      </c>
      <c r="I16" s="146" t="s">
        <v>46</v>
      </c>
      <c r="J16" s="146" t="s">
        <v>209</v>
      </c>
      <c r="K16" s="146" t="s">
        <v>491</v>
      </c>
      <c r="L16" s="146" t="s">
        <v>492</v>
      </c>
      <c r="CA16" s="366"/>
    </row>
    <row r="17" spans="3:79" ht="15.75" thickBot="1" x14ac:dyDescent="0.3">
      <c r="C17" s="147" t="s">
        <v>687</v>
      </c>
      <c r="D17" s="214"/>
      <c r="E17" s="162">
        <v>12</v>
      </c>
      <c r="F17" s="367">
        <f>HLOOKUP($C17,$BZ$2:$CM$3,2,0)</f>
        <v>41436.800000000003</v>
      </c>
      <c r="G17" s="123">
        <f>D17*E17*F17</f>
        <v>0</v>
      </c>
      <c r="H17" s="176" t="s">
        <v>206</v>
      </c>
      <c r="I17" s="124" t="s">
        <v>332</v>
      </c>
      <c r="J17" s="124" t="str">
        <f>VLOOKUP(I17,Presupuesto!$B$8:$C$583,2,0)</f>
        <v>SUELDOS Y SALARIOS BASICOS (11100-00)</v>
      </c>
      <c r="K17" s="231" t="s">
        <v>201</v>
      </c>
      <c r="L17" s="108" t="s">
        <v>475</v>
      </c>
      <c r="CA17" s="366"/>
    </row>
    <row r="18" spans="3:79" x14ac:dyDescent="0.25">
      <c r="C18" s="182" t="s">
        <v>58</v>
      </c>
      <c r="D18" s="173"/>
      <c r="E18" s="164">
        <v>0</v>
      </c>
      <c r="F18" s="110">
        <f>IF(E17=0,"",(G17/E17)/12*E17)</f>
        <v>0</v>
      </c>
      <c r="G18" s="107">
        <f>F18</f>
        <v>0</v>
      </c>
      <c r="H18" s="174" t="s">
        <v>207</v>
      </c>
      <c r="I18" s="126" t="s">
        <v>333</v>
      </c>
      <c r="J18" s="126" t="str">
        <f>VLOOKUP(I18,Presupuesto!$B$8:$C$583,2,0)</f>
        <v>RESTRIBUCIONES A PERSONAL DIRECTIVO Y DE CONTROL (11300-00)</v>
      </c>
      <c r="K18" s="108" t="str">
        <f>$K$17</f>
        <v>Desarrollo Curricular</v>
      </c>
      <c r="L18" s="108" t="s">
        <v>475</v>
      </c>
      <c r="CA18" s="366"/>
    </row>
    <row r="19" spans="3:79" ht="15.75" thickBot="1" x14ac:dyDescent="0.3">
      <c r="C19" s="183" t="s">
        <v>59</v>
      </c>
      <c r="D19" s="173"/>
      <c r="E19" s="164">
        <v>0</v>
      </c>
      <c r="F19" s="127">
        <f>IF(E17&lt;6,"",((E17-6)/12)*(G17/E17))</f>
        <v>0</v>
      </c>
      <c r="G19" s="107">
        <f>F19</f>
        <v>0</v>
      </c>
      <c r="H19" s="174" t="s">
        <v>207</v>
      </c>
      <c r="I19" s="111">
        <v>11500.02</v>
      </c>
      <c r="J19" s="111" t="e">
        <f>VLOOKUP(I19,Presupuesto!$B$8:$C$583,2,0)</f>
        <v>#N/A</v>
      </c>
      <c r="K19" s="108" t="str">
        <f t="shared" ref="K19:K64" si="0">$K$17</f>
        <v>Desarrollo Curricular</v>
      </c>
      <c r="L19" s="108" t="s">
        <v>475</v>
      </c>
      <c r="CA19" s="366"/>
    </row>
    <row r="20" spans="3:79" ht="15.75" thickBot="1" x14ac:dyDescent="0.3">
      <c r="C20" s="147" t="s">
        <v>688</v>
      </c>
      <c r="D20" s="214"/>
      <c r="E20" s="162">
        <v>12</v>
      </c>
      <c r="F20" s="367">
        <f>HLOOKUP($C20,$BZ$2:$CM$3,2,0)</f>
        <v>37669.82</v>
      </c>
      <c r="G20" s="123">
        <f>D20*E20*F20</f>
        <v>0</v>
      </c>
      <c r="H20" s="176"/>
      <c r="I20" s="124">
        <v>11100.01</v>
      </c>
      <c r="J20" s="124" t="e">
        <f>VLOOKUP(I20,Presupuesto!$B$8:$C$583,2,0)</f>
        <v>#N/A</v>
      </c>
      <c r="K20" s="108" t="s">
        <v>562</v>
      </c>
      <c r="L20" s="108" t="s">
        <v>475</v>
      </c>
    </row>
    <row r="21" spans="3:79" x14ac:dyDescent="0.25">
      <c r="C21" s="182" t="s">
        <v>58</v>
      </c>
      <c r="D21" s="173"/>
      <c r="E21" s="164">
        <v>0</v>
      </c>
      <c r="F21" s="110">
        <f>IF(E20=0,"",(G20/E20)/12*E20)</f>
        <v>0</v>
      </c>
      <c r="G21" s="107">
        <f>F21</f>
        <v>0</v>
      </c>
      <c r="H21" s="174"/>
      <c r="I21" s="126">
        <v>11500</v>
      </c>
      <c r="J21" s="126" t="e">
        <f>VLOOKUP(I21,Presupuesto!$B$8:$C$583,2,0)</f>
        <v>#N/A</v>
      </c>
      <c r="K21" s="108" t="str">
        <f t="shared" si="0"/>
        <v>Desarrollo Curricular</v>
      </c>
      <c r="L21" s="108" t="s">
        <v>475</v>
      </c>
    </row>
    <row r="22" spans="3:79" ht="15.75" thickBot="1" x14ac:dyDescent="0.3">
      <c r="C22" s="183" t="s">
        <v>59</v>
      </c>
      <c r="D22" s="173"/>
      <c r="E22" s="164">
        <v>0</v>
      </c>
      <c r="F22" s="127">
        <f>IF(E20&lt;6,"",((E20-6)/12)*(G20/E20))</f>
        <v>0</v>
      </c>
      <c r="G22" s="107">
        <f>F22</f>
        <v>0</v>
      </c>
      <c r="H22" s="174"/>
      <c r="I22" s="111">
        <v>11500.02</v>
      </c>
      <c r="J22" s="111" t="e">
        <f>VLOOKUP(I22,Presupuesto!$B$8:$C$583,2,0)</f>
        <v>#N/A</v>
      </c>
      <c r="K22" s="108" t="str">
        <f t="shared" si="0"/>
        <v>Desarrollo Curricular</v>
      </c>
      <c r="L22" s="108" t="s">
        <v>475</v>
      </c>
    </row>
    <row r="23" spans="3:79" ht="15.75" thickBot="1" x14ac:dyDescent="0.3">
      <c r="C23" s="147" t="s">
        <v>689</v>
      </c>
      <c r="D23" s="214">
        <v>4</v>
      </c>
      <c r="E23" s="162">
        <v>12</v>
      </c>
      <c r="F23" s="367">
        <f>HLOOKUP($C23,$BZ$2:$CM$3,2,0)</f>
        <v>33902.839999999997</v>
      </c>
      <c r="G23" s="123">
        <f>D23*E23*F23</f>
        <v>1627336.3199999998</v>
      </c>
      <c r="H23" s="176" t="s">
        <v>207</v>
      </c>
      <c r="I23" s="124" t="s">
        <v>701</v>
      </c>
      <c r="J23" s="124" t="str">
        <f>VLOOKUP(I23,Presupuesto!$B$8:$C$583,2,0)</f>
        <v>SUELDOS Y SALARIOS PERMANENTES</v>
      </c>
      <c r="K23" s="108" t="s">
        <v>202</v>
      </c>
      <c r="L23" s="108" t="s">
        <v>475</v>
      </c>
      <c r="M23" s="95" t="s">
        <v>1919</v>
      </c>
    </row>
    <row r="24" spans="3:79" ht="15.75" thickBot="1" x14ac:dyDescent="0.3">
      <c r="C24" s="182" t="s">
        <v>58</v>
      </c>
      <c r="D24" s="173"/>
      <c r="E24" s="164">
        <v>0</v>
      </c>
      <c r="F24" s="110">
        <f>IF(E23=0,"",(G23/E23)/12*E23)</f>
        <v>135611.35999999999</v>
      </c>
      <c r="G24" s="107">
        <f>F24</f>
        <v>135611.35999999999</v>
      </c>
      <c r="H24" s="174" t="s">
        <v>207</v>
      </c>
      <c r="I24" s="126" t="s">
        <v>335</v>
      </c>
      <c r="J24" s="126" t="str">
        <f>VLOOKUP(I24,Presupuesto!$B$8:$C$583,2,0)</f>
        <v>AGUINALDO Y DECIMOCUARTO MES (11500-00)</v>
      </c>
      <c r="K24" s="108" t="s">
        <v>202</v>
      </c>
      <c r="L24" s="108" t="s">
        <v>475</v>
      </c>
    </row>
    <row r="25" spans="3:79" ht="15.75" thickBot="1" x14ac:dyDescent="0.3">
      <c r="C25" s="183" t="s">
        <v>59</v>
      </c>
      <c r="D25" s="173"/>
      <c r="E25" s="164">
        <v>0</v>
      </c>
      <c r="F25" s="127">
        <f>IF(E23&lt;6,"",((E23-6)/12)*(G23/E23))</f>
        <v>67805.679999999993</v>
      </c>
      <c r="G25" s="107">
        <f>F25</f>
        <v>67805.679999999993</v>
      </c>
      <c r="H25" s="174" t="s">
        <v>207</v>
      </c>
      <c r="I25" s="126" t="s">
        <v>335</v>
      </c>
      <c r="J25" s="111" t="str">
        <f>VLOOKUP(I25,Presupuesto!$B$8:$C$583,2,0)</f>
        <v>AGUINALDO Y DECIMOCUARTO MES (11500-00)</v>
      </c>
      <c r="K25" s="108" t="s">
        <v>202</v>
      </c>
      <c r="L25" s="108" t="s">
        <v>475</v>
      </c>
    </row>
    <row r="26" spans="3:79" ht="15.75" thickBot="1" x14ac:dyDescent="0.3">
      <c r="C26" s="147" t="s">
        <v>690</v>
      </c>
      <c r="D26" s="214">
        <v>19</v>
      </c>
      <c r="E26" s="162">
        <v>12</v>
      </c>
      <c r="F26" s="367">
        <f>HLOOKUP($C26,$BZ$2:$CM$3,2,0)</f>
        <v>30135.85</v>
      </c>
      <c r="G26" s="123">
        <f>D26*E26*F26</f>
        <v>6870973.7999999998</v>
      </c>
      <c r="H26" s="176" t="s">
        <v>207</v>
      </c>
      <c r="I26" s="124" t="s">
        <v>701</v>
      </c>
      <c r="J26" s="124" t="str">
        <f>VLOOKUP(I26,Presupuesto!$B$8:$C$583,2,0)</f>
        <v>SUELDOS Y SALARIOS PERMANENTES</v>
      </c>
      <c r="K26" s="108" t="s">
        <v>562</v>
      </c>
      <c r="L26" s="108" t="s">
        <v>475</v>
      </c>
      <c r="M26" s="95" t="s">
        <v>1987</v>
      </c>
    </row>
    <row r="27" spans="3:79" ht="15.75" thickBot="1" x14ac:dyDescent="0.3">
      <c r="C27" s="182" t="s">
        <v>58</v>
      </c>
      <c r="D27" s="173"/>
      <c r="E27" s="164">
        <v>0</v>
      </c>
      <c r="F27" s="110">
        <f>IF(E26=0,"",(G26/E26)/12*E26)</f>
        <v>572581.15</v>
      </c>
      <c r="G27" s="107">
        <f>F27</f>
        <v>572581.15</v>
      </c>
      <c r="H27" s="174" t="s">
        <v>207</v>
      </c>
      <c r="I27" s="126" t="s">
        <v>335</v>
      </c>
      <c r="J27" s="126" t="str">
        <f>VLOOKUP(I27,Presupuesto!$B$8:$C$583,2,0)</f>
        <v>AGUINALDO Y DECIMOCUARTO MES (11500-00)</v>
      </c>
      <c r="K27" s="108" t="str">
        <f t="shared" si="0"/>
        <v>Desarrollo Curricular</v>
      </c>
      <c r="L27" s="108" t="s">
        <v>475</v>
      </c>
    </row>
    <row r="28" spans="3:79" ht="15.75" thickBot="1" x14ac:dyDescent="0.3">
      <c r="C28" s="183" t="s">
        <v>59</v>
      </c>
      <c r="D28" s="173"/>
      <c r="E28" s="164">
        <v>0</v>
      </c>
      <c r="F28" s="127">
        <f>IF(E26&lt;6,"",((E26-6)/12)*(G26/E26))</f>
        <v>286290.57500000001</v>
      </c>
      <c r="G28" s="107">
        <f>F28</f>
        <v>286290.57500000001</v>
      </c>
      <c r="H28" s="174" t="s">
        <v>207</v>
      </c>
      <c r="I28" s="126" t="s">
        <v>335</v>
      </c>
      <c r="J28" s="111" t="str">
        <f>VLOOKUP(I28,Presupuesto!$B$8:$C$583,2,0)</f>
        <v>AGUINALDO Y DECIMOCUARTO MES (11500-00)</v>
      </c>
      <c r="K28" s="108" t="str">
        <f t="shared" si="0"/>
        <v>Desarrollo Curricular</v>
      </c>
      <c r="L28" s="108" t="s">
        <v>475</v>
      </c>
    </row>
    <row r="29" spans="3:79" ht="15.75" thickBot="1" x14ac:dyDescent="0.3">
      <c r="C29" s="147" t="s">
        <v>691</v>
      </c>
      <c r="D29" s="214"/>
      <c r="E29" s="162">
        <v>12</v>
      </c>
      <c r="F29" s="367">
        <f>HLOOKUP($C29,$BZ$2:$CM$3,2,0)</f>
        <v>28252.36</v>
      </c>
      <c r="G29" s="123">
        <f>D29*E29*F29</f>
        <v>0</v>
      </c>
      <c r="H29" s="176"/>
      <c r="I29" s="124">
        <v>11100.01</v>
      </c>
      <c r="J29" s="124" t="e">
        <f>VLOOKUP(I29,Presupuesto!$B$8:$C$583,2,0)</f>
        <v>#N/A</v>
      </c>
      <c r="K29" s="108" t="s">
        <v>562</v>
      </c>
      <c r="L29" s="108" t="s">
        <v>475</v>
      </c>
    </row>
    <row r="30" spans="3:79" x14ac:dyDescent="0.25">
      <c r="C30" s="182" t="s">
        <v>58</v>
      </c>
      <c r="D30" s="173"/>
      <c r="E30" s="164">
        <v>0</v>
      </c>
      <c r="F30" s="110">
        <f>IF(E29=0,"",(G29/E29)/12*E29)</f>
        <v>0</v>
      </c>
      <c r="G30" s="107">
        <f>F30</f>
        <v>0</v>
      </c>
      <c r="H30" s="174"/>
      <c r="I30" s="126">
        <v>11500</v>
      </c>
      <c r="J30" s="126" t="e">
        <f>VLOOKUP(I30,Presupuesto!$B$8:$C$583,2,0)</f>
        <v>#N/A</v>
      </c>
      <c r="K30" s="108" t="str">
        <f t="shared" si="0"/>
        <v>Desarrollo Curricular</v>
      </c>
      <c r="L30" s="108" t="s">
        <v>475</v>
      </c>
    </row>
    <row r="31" spans="3:79" ht="15.75" thickBot="1" x14ac:dyDescent="0.3">
      <c r="C31" s="183" t="s">
        <v>59</v>
      </c>
      <c r="D31" s="173"/>
      <c r="E31" s="164">
        <v>0</v>
      </c>
      <c r="F31" s="127">
        <f>IF(E29&lt;6,"",((E29-6)/12)*(G29/E29))</f>
        <v>0</v>
      </c>
      <c r="G31" s="107">
        <f>F31</f>
        <v>0</v>
      </c>
      <c r="H31" s="174"/>
      <c r="I31" s="111">
        <v>11500.02</v>
      </c>
      <c r="J31" s="111" t="e">
        <f>VLOOKUP(I31,Presupuesto!$B$8:$C$583,2,0)</f>
        <v>#N/A</v>
      </c>
      <c r="K31" s="108" t="str">
        <f t="shared" si="0"/>
        <v>Desarrollo Curricular</v>
      </c>
      <c r="L31" s="108" t="s">
        <v>475</v>
      </c>
    </row>
    <row r="32" spans="3:79" ht="15.75" thickBot="1" x14ac:dyDescent="0.3">
      <c r="C32" s="147" t="s">
        <v>692</v>
      </c>
      <c r="D32" s="214">
        <v>36</v>
      </c>
      <c r="E32" s="162">
        <v>12</v>
      </c>
      <c r="F32" s="367">
        <f>HLOOKUP($C32,$BZ$2:$CM$3,2,0)</f>
        <v>26368.87</v>
      </c>
      <c r="G32" s="123">
        <f>D32*E32*F32</f>
        <v>11391351.84</v>
      </c>
      <c r="H32" s="176" t="s">
        <v>207</v>
      </c>
      <c r="I32" s="124" t="s">
        <v>701</v>
      </c>
      <c r="J32" s="124" t="str">
        <f>VLOOKUP(I32,Presupuesto!$B$8:$C$583,2,0)</f>
        <v>SUELDOS Y SALARIOS PERMANENTES</v>
      </c>
      <c r="K32" s="108" t="s">
        <v>202</v>
      </c>
      <c r="L32" s="108" t="s">
        <v>475</v>
      </c>
      <c r="M32" s="95" t="s">
        <v>2058</v>
      </c>
    </row>
    <row r="33" spans="3:13" ht="15.75" thickBot="1" x14ac:dyDescent="0.3">
      <c r="C33" s="182" t="s">
        <v>58</v>
      </c>
      <c r="D33" s="173"/>
      <c r="E33" s="164">
        <v>0</v>
      </c>
      <c r="F33" s="110">
        <f>IF(E32=0,"",(G32/E32)/12*E32)</f>
        <v>949279.32000000007</v>
      </c>
      <c r="G33" s="107">
        <f>F33</f>
        <v>949279.32000000007</v>
      </c>
      <c r="H33" s="174" t="s">
        <v>207</v>
      </c>
      <c r="I33" s="126" t="s">
        <v>335</v>
      </c>
      <c r="J33" s="126" t="str">
        <f>VLOOKUP(I33,Presupuesto!$B$8:$C$583,2,0)</f>
        <v>AGUINALDO Y DECIMOCUARTO MES (11500-00)</v>
      </c>
      <c r="K33" s="108" t="s">
        <v>202</v>
      </c>
      <c r="L33" s="108" t="s">
        <v>475</v>
      </c>
    </row>
    <row r="34" spans="3:13" ht="15.75" thickBot="1" x14ac:dyDescent="0.3">
      <c r="C34" s="183" t="s">
        <v>59</v>
      </c>
      <c r="D34" s="173"/>
      <c r="E34" s="164">
        <v>0</v>
      </c>
      <c r="F34" s="127">
        <f>IF(E32&lt;6,"",((E32-6)/12)*(G32/E32))</f>
        <v>474639.66</v>
      </c>
      <c r="G34" s="107">
        <f>F34</f>
        <v>474639.66</v>
      </c>
      <c r="H34" s="174" t="s">
        <v>207</v>
      </c>
      <c r="I34" s="126" t="s">
        <v>335</v>
      </c>
      <c r="J34" s="111" t="str">
        <f>VLOOKUP(I34,Presupuesto!$B$8:$C$583,2,0)</f>
        <v>AGUINALDO Y DECIMOCUARTO MES (11500-00)</v>
      </c>
      <c r="K34" s="108" t="s">
        <v>202</v>
      </c>
      <c r="L34" s="108" t="s">
        <v>475</v>
      </c>
    </row>
    <row r="35" spans="3:13" ht="15.75" thickBot="1" x14ac:dyDescent="0.3">
      <c r="C35" s="147" t="s">
        <v>693</v>
      </c>
      <c r="D35" s="214"/>
      <c r="E35" s="162">
        <v>12</v>
      </c>
      <c r="F35" s="367">
        <f>HLOOKUP($C35,$BZ$2:$CM$3,2,0)</f>
        <v>17893.16</v>
      </c>
      <c r="G35" s="123">
        <f>D35*E35*F35</f>
        <v>0</v>
      </c>
      <c r="H35" s="176"/>
      <c r="I35" s="124">
        <v>11100.01</v>
      </c>
      <c r="J35" s="124" t="e">
        <f>VLOOKUP(I35,Presupuesto!$B$8:$C$583,2,0)</f>
        <v>#N/A</v>
      </c>
      <c r="K35" s="108" t="s">
        <v>562</v>
      </c>
      <c r="L35" s="108" t="s">
        <v>475</v>
      </c>
    </row>
    <row r="36" spans="3:13" x14ac:dyDescent="0.25">
      <c r="C36" s="182" t="s">
        <v>58</v>
      </c>
      <c r="D36" s="173"/>
      <c r="E36" s="164">
        <v>0</v>
      </c>
      <c r="F36" s="110">
        <f>IF(E35=0,"",(G35/E35)/12*E35)</f>
        <v>0</v>
      </c>
      <c r="G36" s="107">
        <f>F36</f>
        <v>0</v>
      </c>
      <c r="H36" s="174"/>
      <c r="I36" s="126">
        <v>11500</v>
      </c>
      <c r="J36" s="126" t="e">
        <f>VLOOKUP(I36,Presupuesto!$B$8:$C$583,2,0)</f>
        <v>#N/A</v>
      </c>
      <c r="K36" s="108" t="str">
        <f t="shared" si="0"/>
        <v>Desarrollo Curricular</v>
      </c>
      <c r="L36" s="108" t="s">
        <v>475</v>
      </c>
    </row>
    <row r="37" spans="3:13" ht="15.75" thickBot="1" x14ac:dyDescent="0.3">
      <c r="C37" s="183" t="s">
        <v>59</v>
      </c>
      <c r="D37" s="173"/>
      <c r="E37" s="164">
        <v>0</v>
      </c>
      <c r="F37" s="127">
        <f>IF(E35&lt;6,"",((E35-6)/12)*(G35/E35))</f>
        <v>0</v>
      </c>
      <c r="G37" s="107">
        <f>F37</f>
        <v>0</v>
      </c>
      <c r="H37" s="174"/>
      <c r="I37" s="111">
        <v>11500.02</v>
      </c>
      <c r="J37" s="111" t="e">
        <f>VLOOKUP(I37,Presupuesto!$B$8:$C$583,2,0)</f>
        <v>#N/A</v>
      </c>
      <c r="K37" s="108" t="str">
        <f t="shared" si="0"/>
        <v>Desarrollo Curricular</v>
      </c>
      <c r="L37" s="108" t="s">
        <v>475</v>
      </c>
    </row>
    <row r="38" spans="3:13" ht="15.75" thickBot="1" x14ac:dyDescent="0.3">
      <c r="C38" s="147" t="s">
        <v>694</v>
      </c>
      <c r="D38" s="214">
        <v>8</v>
      </c>
      <c r="E38" s="162">
        <v>12</v>
      </c>
      <c r="F38" s="367">
        <f>HLOOKUP($C38,$BZ$2:$CM$3,2,0)</f>
        <v>16951.419999999998</v>
      </c>
      <c r="G38" s="123">
        <f>D38*E38*F38</f>
        <v>1627336.3199999998</v>
      </c>
      <c r="H38" s="176" t="s">
        <v>207</v>
      </c>
      <c r="I38" s="124" t="s">
        <v>701</v>
      </c>
      <c r="J38" s="124" t="str">
        <f>VLOOKUP(I38,Presupuesto!$B$8:$C$583,2,0)</f>
        <v>SUELDOS Y SALARIOS PERMANENTES</v>
      </c>
      <c r="K38" s="108" t="s">
        <v>202</v>
      </c>
      <c r="L38" s="108" t="s">
        <v>475</v>
      </c>
      <c r="M38" s="95" t="s">
        <v>2039</v>
      </c>
    </row>
    <row r="39" spans="3:13" ht="15.75" thickBot="1" x14ac:dyDescent="0.3">
      <c r="C39" s="182" t="s">
        <v>58</v>
      </c>
      <c r="D39" s="173"/>
      <c r="E39" s="164">
        <v>0</v>
      </c>
      <c r="F39" s="110">
        <f>IF(E38=0,"",(G38/E38)/12*E38)</f>
        <v>135611.35999999999</v>
      </c>
      <c r="G39" s="107">
        <f>F39</f>
        <v>135611.35999999999</v>
      </c>
      <c r="H39" s="174" t="s">
        <v>207</v>
      </c>
      <c r="I39" s="126" t="s">
        <v>335</v>
      </c>
      <c r="J39" s="126" t="str">
        <f>VLOOKUP(I39,Presupuesto!$B$8:$C$583,2,0)</f>
        <v>AGUINALDO Y DECIMOCUARTO MES (11500-00)</v>
      </c>
      <c r="K39" s="108" t="s">
        <v>202</v>
      </c>
      <c r="L39" s="108" t="s">
        <v>475</v>
      </c>
    </row>
    <row r="40" spans="3:13" ht="15.75" thickBot="1" x14ac:dyDescent="0.3">
      <c r="C40" s="183" t="s">
        <v>59</v>
      </c>
      <c r="D40" s="173"/>
      <c r="E40" s="164">
        <v>0</v>
      </c>
      <c r="F40" s="127">
        <f>IF(E38&lt;6,"",((E38-6)/12)*(G38/E38))</f>
        <v>67805.679999999993</v>
      </c>
      <c r="G40" s="107">
        <f>F40</f>
        <v>67805.679999999993</v>
      </c>
      <c r="H40" s="174" t="s">
        <v>207</v>
      </c>
      <c r="I40" s="126" t="s">
        <v>335</v>
      </c>
      <c r="J40" s="111" t="str">
        <f>VLOOKUP(I40,Presupuesto!$B$8:$C$583,2,0)</f>
        <v>AGUINALDO Y DECIMOCUARTO MES (11500-00)</v>
      </c>
      <c r="K40" s="108" t="s">
        <v>202</v>
      </c>
      <c r="L40" s="108" t="s">
        <v>475</v>
      </c>
    </row>
    <row r="41" spans="3:13" ht="15.75" thickBot="1" x14ac:dyDescent="0.3">
      <c r="C41" s="147" t="s">
        <v>695</v>
      </c>
      <c r="D41" s="214">
        <v>1</v>
      </c>
      <c r="E41" s="162">
        <v>12</v>
      </c>
      <c r="F41" s="367">
        <f>HLOOKUP($C41,$BZ$2:$CM$3,2,0)</f>
        <v>13184.44</v>
      </c>
      <c r="G41" s="123">
        <f>D41*E41*F41</f>
        <v>158213.28</v>
      </c>
      <c r="H41" s="176" t="s">
        <v>207</v>
      </c>
      <c r="I41" s="124" t="s">
        <v>701</v>
      </c>
      <c r="J41" s="124" t="str">
        <f>VLOOKUP(I41,Presupuesto!$B$8:$C$583,2,0)</f>
        <v>SUELDOS Y SALARIOS PERMANENTES</v>
      </c>
      <c r="K41" s="108" t="s">
        <v>562</v>
      </c>
      <c r="L41" s="108" t="s">
        <v>475</v>
      </c>
      <c r="M41" s="95" t="s">
        <v>2007</v>
      </c>
    </row>
    <row r="42" spans="3:13" ht="15.75" thickBot="1" x14ac:dyDescent="0.3">
      <c r="C42" s="182" t="s">
        <v>58</v>
      </c>
      <c r="D42" s="173"/>
      <c r="E42" s="164">
        <v>0</v>
      </c>
      <c r="F42" s="110">
        <f>IF(E41=0,"",(G41/E41)/12*E41)</f>
        <v>13184.44</v>
      </c>
      <c r="G42" s="107">
        <f>F42</f>
        <v>13184.44</v>
      </c>
      <c r="H42" s="174" t="s">
        <v>207</v>
      </c>
      <c r="I42" s="126" t="s">
        <v>335</v>
      </c>
      <c r="J42" s="126" t="str">
        <f>VLOOKUP(I42,Presupuesto!$B$8:$C$583,2,0)</f>
        <v>AGUINALDO Y DECIMOCUARTO MES (11500-00)</v>
      </c>
      <c r="K42" s="108" t="str">
        <f t="shared" si="0"/>
        <v>Desarrollo Curricular</v>
      </c>
      <c r="L42" s="108" t="s">
        <v>475</v>
      </c>
    </row>
    <row r="43" spans="3:13" ht="15.75" thickBot="1" x14ac:dyDescent="0.3">
      <c r="C43" s="183" t="s">
        <v>59</v>
      </c>
      <c r="D43" s="173"/>
      <c r="E43" s="164">
        <v>0</v>
      </c>
      <c r="F43" s="127">
        <f>IF(E41&lt;6,"",((E41-6)/12)*(G41/E41))</f>
        <v>6592.22</v>
      </c>
      <c r="G43" s="107">
        <f>F43</f>
        <v>6592.22</v>
      </c>
      <c r="H43" s="174" t="s">
        <v>207</v>
      </c>
      <c r="I43" s="126" t="s">
        <v>335</v>
      </c>
      <c r="J43" s="111" t="str">
        <f>VLOOKUP(I43,Presupuesto!$B$8:$C$583,2,0)</f>
        <v>AGUINALDO Y DECIMOCUARTO MES (11500-00)</v>
      </c>
      <c r="K43" s="108" t="str">
        <f t="shared" si="0"/>
        <v>Desarrollo Curricular</v>
      </c>
      <c r="L43" s="108" t="s">
        <v>475</v>
      </c>
    </row>
    <row r="44" spans="3:13" ht="15.75" thickBot="1" x14ac:dyDescent="0.3">
      <c r="C44" s="147" t="s">
        <v>696</v>
      </c>
      <c r="D44" s="214">
        <v>2</v>
      </c>
      <c r="E44" s="162">
        <v>12</v>
      </c>
      <c r="F44" s="367">
        <f>HLOOKUP($C44,$BZ$2:$CM$3,2,0)</f>
        <v>15032.56</v>
      </c>
      <c r="G44" s="123">
        <f>D44*E44*F44</f>
        <v>360781.44</v>
      </c>
      <c r="H44" s="176" t="s">
        <v>207</v>
      </c>
      <c r="I44" s="124" t="s">
        <v>701</v>
      </c>
      <c r="J44" s="124" t="str">
        <f>VLOOKUP(I44,Presupuesto!$B$8:$C$583,2,0)</f>
        <v>SUELDOS Y SALARIOS PERMANENTES</v>
      </c>
      <c r="K44" s="108" t="s">
        <v>562</v>
      </c>
      <c r="L44" s="108" t="s">
        <v>475</v>
      </c>
      <c r="M44" s="95" t="s">
        <v>2008</v>
      </c>
    </row>
    <row r="45" spans="3:13" ht="15.75" thickBot="1" x14ac:dyDescent="0.3">
      <c r="C45" s="182" t="s">
        <v>58</v>
      </c>
      <c r="D45" s="173"/>
      <c r="E45" s="164">
        <v>0</v>
      </c>
      <c r="F45" s="110">
        <f>IF(E44=0,"",(G44/E44)/12*E44)</f>
        <v>30065.120000000003</v>
      </c>
      <c r="G45" s="107">
        <f>F45</f>
        <v>30065.120000000003</v>
      </c>
      <c r="H45" s="174" t="s">
        <v>207</v>
      </c>
      <c r="I45" s="126" t="s">
        <v>335</v>
      </c>
      <c r="J45" s="126" t="str">
        <f>VLOOKUP(I45,Presupuesto!$B$8:$C$583,2,0)</f>
        <v>AGUINALDO Y DECIMOCUARTO MES (11500-00)</v>
      </c>
      <c r="K45" s="108" t="str">
        <f t="shared" si="0"/>
        <v>Desarrollo Curricular</v>
      </c>
      <c r="L45" s="108" t="s">
        <v>475</v>
      </c>
    </row>
    <row r="46" spans="3:13" ht="15.75" thickBot="1" x14ac:dyDescent="0.3">
      <c r="C46" s="183" t="s">
        <v>59</v>
      </c>
      <c r="D46" s="173"/>
      <c r="E46" s="164">
        <v>0</v>
      </c>
      <c r="F46" s="127">
        <f>IF(E44&lt;6,"",((E44-6)/12)*(G44/E44))</f>
        <v>15032.56</v>
      </c>
      <c r="G46" s="107">
        <f>F46</f>
        <v>15032.56</v>
      </c>
      <c r="H46" s="174" t="s">
        <v>207</v>
      </c>
      <c r="I46" s="126" t="s">
        <v>335</v>
      </c>
      <c r="J46" s="111" t="str">
        <f>VLOOKUP(I46,Presupuesto!$B$8:$C$583,2,0)</f>
        <v>AGUINALDO Y DECIMOCUARTO MES (11500-00)</v>
      </c>
      <c r="K46" s="108" t="str">
        <f t="shared" si="0"/>
        <v>Desarrollo Curricular</v>
      </c>
      <c r="L46" s="108" t="s">
        <v>475</v>
      </c>
    </row>
    <row r="47" spans="3:13" ht="15.75" thickBot="1" x14ac:dyDescent="0.3">
      <c r="C47" s="147" t="s">
        <v>697</v>
      </c>
      <c r="D47" s="214"/>
      <c r="E47" s="162">
        <v>12</v>
      </c>
      <c r="F47" s="367">
        <f>HLOOKUP($C47,$BZ$2:$CM$3,2,0)</f>
        <v>13264.02</v>
      </c>
      <c r="G47" s="123">
        <f>D47*E47*F47</f>
        <v>0</v>
      </c>
      <c r="H47" s="176"/>
      <c r="I47" s="124">
        <v>11100.01</v>
      </c>
      <c r="J47" s="124" t="e">
        <f>VLOOKUP(I47,Presupuesto!$B$8:$C$583,2,0)</f>
        <v>#N/A</v>
      </c>
      <c r="K47" s="108" t="s">
        <v>562</v>
      </c>
      <c r="L47" s="108" t="s">
        <v>475</v>
      </c>
    </row>
    <row r="48" spans="3:13" x14ac:dyDescent="0.25">
      <c r="C48" s="182" t="s">
        <v>58</v>
      </c>
      <c r="D48" s="173"/>
      <c r="E48" s="164">
        <v>0</v>
      </c>
      <c r="F48" s="110">
        <f>IF(E47=0,"",(G47/E47)/12*E47)</f>
        <v>0</v>
      </c>
      <c r="G48" s="107">
        <f>F48</f>
        <v>0</v>
      </c>
      <c r="H48" s="174"/>
      <c r="I48" s="126">
        <v>11500</v>
      </c>
      <c r="J48" s="126" t="e">
        <f>VLOOKUP(I48,Presupuesto!$B$8:$C$583,2,0)</f>
        <v>#N/A</v>
      </c>
      <c r="K48" s="108" t="str">
        <f t="shared" si="0"/>
        <v>Desarrollo Curricular</v>
      </c>
      <c r="L48" s="108" t="s">
        <v>475</v>
      </c>
    </row>
    <row r="49" spans="3:13" ht="15.75" thickBot="1" x14ac:dyDescent="0.3">
      <c r="C49" s="183" t="s">
        <v>59</v>
      </c>
      <c r="D49" s="173"/>
      <c r="E49" s="164">
        <v>0</v>
      </c>
      <c r="F49" s="127">
        <f>IF(E47&lt;6,"",((E47-6)/12)*(G47/E47))</f>
        <v>0</v>
      </c>
      <c r="G49" s="107">
        <f>F49</f>
        <v>0</v>
      </c>
      <c r="H49" s="174"/>
      <c r="I49" s="111">
        <v>11500.02</v>
      </c>
      <c r="J49" s="111" t="e">
        <f>VLOOKUP(I49,Presupuesto!$B$8:$C$583,2,0)</f>
        <v>#N/A</v>
      </c>
      <c r="K49" s="108" t="str">
        <f t="shared" si="0"/>
        <v>Desarrollo Curricular</v>
      </c>
      <c r="L49" s="108" t="s">
        <v>475</v>
      </c>
    </row>
    <row r="50" spans="3:13" ht="15.75" thickBot="1" x14ac:dyDescent="0.3">
      <c r="C50" s="147" t="s">
        <v>698</v>
      </c>
      <c r="D50" s="214">
        <v>14</v>
      </c>
      <c r="E50" s="162">
        <v>12</v>
      </c>
      <c r="F50" s="367">
        <f>HLOOKUP($C50,$BZ$2:$CM$3,2,0)</f>
        <v>12379.75</v>
      </c>
      <c r="G50" s="123">
        <f>D50*E50*F50</f>
        <v>2079798</v>
      </c>
      <c r="H50" s="176" t="s">
        <v>207</v>
      </c>
      <c r="I50" s="124" t="s">
        <v>701</v>
      </c>
      <c r="J50" s="124" t="str">
        <f>VLOOKUP(I50,Presupuesto!$B$8:$C$583,2,0)</f>
        <v>SUELDOS Y SALARIOS PERMANENTES</v>
      </c>
      <c r="K50" s="108" t="s">
        <v>202</v>
      </c>
      <c r="L50" s="108" t="s">
        <v>475</v>
      </c>
      <c r="M50" s="95" t="s">
        <v>2059</v>
      </c>
    </row>
    <row r="51" spans="3:13" ht="15.75" thickBot="1" x14ac:dyDescent="0.3">
      <c r="C51" s="182" t="s">
        <v>58</v>
      </c>
      <c r="D51" s="173"/>
      <c r="E51" s="164">
        <v>0</v>
      </c>
      <c r="F51" s="110">
        <f>IF(E50=0,"",(G50/E50)/12*E50)</f>
        <v>173316.5</v>
      </c>
      <c r="G51" s="107">
        <f>F51</f>
        <v>173316.5</v>
      </c>
      <c r="H51" s="174" t="s">
        <v>207</v>
      </c>
      <c r="I51" s="126" t="s">
        <v>335</v>
      </c>
      <c r="J51" s="126" t="str">
        <f>VLOOKUP(I51,Presupuesto!$B$8:$C$583,2,0)</f>
        <v>AGUINALDO Y DECIMOCUARTO MES (11500-00)</v>
      </c>
      <c r="K51" s="108" t="s">
        <v>202</v>
      </c>
      <c r="L51" s="108" t="s">
        <v>475</v>
      </c>
    </row>
    <row r="52" spans="3:13" ht="15.75" thickBot="1" x14ac:dyDescent="0.3">
      <c r="C52" s="183" t="s">
        <v>59</v>
      </c>
      <c r="D52" s="173"/>
      <c r="E52" s="164">
        <v>0</v>
      </c>
      <c r="F52" s="127">
        <f>IF(E50&lt;6,"",((E50-6)/12)*(G50/E50))</f>
        <v>86658.25</v>
      </c>
      <c r="G52" s="107">
        <f>F52</f>
        <v>86658.25</v>
      </c>
      <c r="H52" s="174" t="s">
        <v>207</v>
      </c>
      <c r="I52" s="126" t="s">
        <v>335</v>
      </c>
      <c r="J52" s="111" t="str">
        <f>VLOOKUP(I52,Presupuesto!$B$8:$C$583,2,0)</f>
        <v>AGUINALDO Y DECIMOCUARTO MES (11500-00)</v>
      </c>
      <c r="K52" s="108" t="s">
        <v>202</v>
      </c>
      <c r="L52" s="108" t="s">
        <v>475</v>
      </c>
    </row>
    <row r="53" spans="3:13" ht="15.75" thickBot="1" x14ac:dyDescent="0.3">
      <c r="C53" s="147" t="s">
        <v>699</v>
      </c>
      <c r="D53" s="214">
        <v>23</v>
      </c>
      <c r="E53" s="162">
        <v>12</v>
      </c>
      <c r="F53" s="367">
        <f>HLOOKUP($C53,$BZ$2:$CM$3,2,0)</f>
        <v>439.49</v>
      </c>
      <c r="G53" s="123">
        <f>D53*E53*F53</f>
        <v>121299.24</v>
      </c>
      <c r="H53" s="176" t="s">
        <v>207</v>
      </c>
      <c r="I53" s="124" t="s">
        <v>749</v>
      </c>
      <c r="J53" s="124" t="str">
        <f>VLOOKUP(I53,Presupuesto!$B$8:$C$583,2,0)</f>
        <v>SUELDOS BASICOS</v>
      </c>
      <c r="K53" s="108" t="s">
        <v>202</v>
      </c>
      <c r="L53" s="108" t="s">
        <v>475</v>
      </c>
      <c r="M53" s="95" t="s">
        <v>2038</v>
      </c>
    </row>
    <row r="54" spans="3:13" ht="15.75" thickBot="1" x14ac:dyDescent="0.3">
      <c r="C54" s="182" t="s">
        <v>58</v>
      </c>
      <c r="D54" s="173"/>
      <c r="E54" s="164">
        <v>0</v>
      </c>
      <c r="F54" s="110">
        <f>IF(E53=0,"",(G53/E53)/12*E53)</f>
        <v>10108.27</v>
      </c>
      <c r="G54" s="107">
        <f>F54</f>
        <v>10108.27</v>
      </c>
      <c r="H54" s="176" t="s">
        <v>207</v>
      </c>
      <c r="I54" s="126" t="s">
        <v>335</v>
      </c>
      <c r="J54" s="126" t="str">
        <f>VLOOKUP(I54,Presupuesto!$B$8:$C$583,2,0)</f>
        <v>AGUINALDO Y DECIMOCUARTO MES (11500-00)</v>
      </c>
      <c r="K54" s="108" t="s">
        <v>202</v>
      </c>
      <c r="L54" s="108" t="s">
        <v>475</v>
      </c>
    </row>
    <row r="55" spans="3:13" ht="15.75" thickBot="1" x14ac:dyDescent="0.3">
      <c r="C55" s="183" t="s">
        <v>59</v>
      </c>
      <c r="D55" s="173"/>
      <c r="E55" s="164">
        <v>0</v>
      </c>
      <c r="F55" s="127">
        <f>IF(E53&lt;6,"",((E53-6)/12)*(G53/E53))</f>
        <v>5054.1350000000002</v>
      </c>
      <c r="G55" s="107">
        <f>F55</f>
        <v>5054.1350000000002</v>
      </c>
      <c r="H55" s="176" t="s">
        <v>207</v>
      </c>
      <c r="I55" s="111" t="s">
        <v>724</v>
      </c>
      <c r="J55" s="111" t="str">
        <f>VLOOKUP(I55,Presupuesto!$B$8:$C$583,2,0)</f>
        <v>DECIMOCUARTO MES</v>
      </c>
      <c r="K55" s="108" t="s">
        <v>202</v>
      </c>
      <c r="L55" s="108" t="s">
        <v>475</v>
      </c>
    </row>
    <row r="56" spans="3:13" ht="15.75" thickBot="1" x14ac:dyDescent="0.3">
      <c r="C56" s="147" t="s">
        <v>700</v>
      </c>
      <c r="D56" s="214"/>
      <c r="E56" s="162">
        <v>12</v>
      </c>
      <c r="F56" s="367">
        <f>HLOOKUP($C56,$BZ$2:$CM$3,2,0)</f>
        <v>1904.46</v>
      </c>
      <c r="G56" s="123">
        <f>D56*E56*F56</f>
        <v>0</v>
      </c>
      <c r="H56" s="176"/>
      <c r="I56" s="124">
        <v>11100.01</v>
      </c>
      <c r="J56" s="124" t="e">
        <f>VLOOKUP(I56,Presupuesto!$B$8:$C$583,2,0)</f>
        <v>#N/A</v>
      </c>
      <c r="K56" s="108" t="s">
        <v>562</v>
      </c>
      <c r="L56" s="108" t="s">
        <v>475</v>
      </c>
    </row>
    <row r="57" spans="3:13" x14ac:dyDescent="0.25">
      <c r="C57" s="182" t="s">
        <v>58</v>
      </c>
      <c r="D57" s="173"/>
      <c r="E57" s="164">
        <v>0</v>
      </c>
      <c r="F57" s="110">
        <f>IF(E56=0,"",(G56/E56)/12*E56)</f>
        <v>0</v>
      </c>
      <c r="G57" s="107">
        <f>F57</f>
        <v>0</v>
      </c>
      <c r="H57" s="174"/>
      <c r="I57" s="126">
        <v>11500</v>
      </c>
      <c r="J57" s="126" t="e">
        <f>VLOOKUP(I57,Presupuesto!$B$8:$C$583,2,0)</f>
        <v>#N/A</v>
      </c>
      <c r="K57" s="108" t="str">
        <f t="shared" si="0"/>
        <v>Desarrollo Curricular</v>
      </c>
      <c r="L57" s="108" t="s">
        <v>475</v>
      </c>
    </row>
    <row r="58" spans="3:13" ht="15.75" thickBot="1" x14ac:dyDescent="0.3">
      <c r="C58" s="183" t="s">
        <v>59</v>
      </c>
      <c r="D58" s="173"/>
      <c r="E58" s="164">
        <v>0</v>
      </c>
      <c r="F58" s="127">
        <f>IF(E56&lt;6,"",((E56-6)/12)*(G56/E56))</f>
        <v>0</v>
      </c>
      <c r="G58" s="107">
        <f>F58</f>
        <v>0</v>
      </c>
      <c r="H58" s="174"/>
      <c r="I58" s="111">
        <v>11500.02</v>
      </c>
      <c r="J58" s="111" t="e">
        <f>VLOOKUP(I58,Presupuesto!$B$8:$C$583,2,0)</f>
        <v>#N/A</v>
      </c>
      <c r="K58" s="108" t="str">
        <f t="shared" si="0"/>
        <v>Desarrollo Curricular</v>
      </c>
      <c r="L58" s="108" t="s">
        <v>475</v>
      </c>
    </row>
    <row r="59" spans="3:13" ht="15.75" thickBot="1" x14ac:dyDescent="0.3">
      <c r="C59" s="150" t="s">
        <v>84</v>
      </c>
      <c r="D59" s="214"/>
      <c r="E59" s="162">
        <v>12</v>
      </c>
      <c r="F59" s="149">
        <v>30000</v>
      </c>
      <c r="G59" s="123">
        <f>D59*E59*F59</f>
        <v>0</v>
      </c>
      <c r="H59" s="176"/>
      <c r="I59" s="124">
        <v>12910.14</v>
      </c>
      <c r="J59" s="124" t="e">
        <f>VLOOKUP(I59,Presupuesto!$B$8:$C$583,2,0)</f>
        <v>#N/A</v>
      </c>
      <c r="K59" s="108" t="str">
        <f t="shared" si="0"/>
        <v>Desarrollo Curricular</v>
      </c>
      <c r="L59" s="108" t="s">
        <v>475</v>
      </c>
    </row>
    <row r="60" spans="3:13" x14ac:dyDescent="0.25">
      <c r="C60" s="182" t="s">
        <v>58</v>
      </c>
      <c r="D60" s="173"/>
      <c r="E60" s="164">
        <v>0</v>
      </c>
      <c r="F60" s="127">
        <f>IF(E59=0,"",(G59/E59)/12*E59)</f>
        <v>0</v>
      </c>
      <c r="G60" s="107">
        <f>F60</f>
        <v>0</v>
      </c>
      <c r="H60" s="174"/>
      <c r="I60" s="111">
        <v>12910.14</v>
      </c>
      <c r="J60" s="111" t="e">
        <f>VLOOKUP(I60,Presupuesto!$B$8:$C$583,2,0)</f>
        <v>#N/A</v>
      </c>
      <c r="K60" s="108" t="str">
        <f t="shared" si="0"/>
        <v>Desarrollo Curricular</v>
      </c>
      <c r="L60" s="108" t="s">
        <v>475</v>
      </c>
    </row>
    <row r="61" spans="3:13" ht="15.75" thickBot="1" x14ac:dyDescent="0.3">
      <c r="C61" s="183" t="s">
        <v>59</v>
      </c>
      <c r="D61" s="173"/>
      <c r="E61" s="164">
        <v>0</v>
      </c>
      <c r="F61" s="110">
        <f>IF(E59&lt;6,"",((E59-6)/12)*(G59/E59))</f>
        <v>0</v>
      </c>
      <c r="G61" s="107">
        <f>F61</f>
        <v>0</v>
      </c>
      <c r="H61" s="174"/>
      <c r="I61" s="111">
        <v>12910.14</v>
      </c>
      <c r="J61" s="111" t="e">
        <f>VLOOKUP(I61,Presupuesto!$B$8:$C$583,2,0)</f>
        <v>#N/A</v>
      </c>
      <c r="K61" s="108" t="str">
        <f t="shared" si="0"/>
        <v>Desarrollo Curricular</v>
      </c>
      <c r="L61" s="108" t="s">
        <v>475</v>
      </c>
    </row>
    <row r="62" spans="3:13" ht="15.75" thickBot="1" x14ac:dyDescent="0.3">
      <c r="C62" s="150" t="s">
        <v>60</v>
      </c>
      <c r="D62" s="214"/>
      <c r="E62" s="162">
        <v>12</v>
      </c>
      <c r="F62" s="128">
        <v>30000</v>
      </c>
      <c r="G62" s="123">
        <f>D62*E62*F62</f>
        <v>0</v>
      </c>
      <c r="H62" s="176"/>
      <c r="I62" s="124">
        <v>24900</v>
      </c>
      <c r="J62" s="124" t="e">
        <f>VLOOKUP(I62,Presupuesto!$B$8:$C$583,2,0)</f>
        <v>#N/A</v>
      </c>
      <c r="K62" s="108" t="str">
        <f t="shared" si="0"/>
        <v>Desarrollo Curricular</v>
      </c>
      <c r="L62" s="108" t="s">
        <v>475</v>
      </c>
    </row>
    <row r="63" spans="3:13" x14ac:dyDescent="0.25">
      <c r="C63" s="182" t="s">
        <v>58</v>
      </c>
      <c r="D63" s="173"/>
      <c r="E63" s="164">
        <v>0</v>
      </c>
      <c r="F63" s="110">
        <v>0</v>
      </c>
      <c r="G63" s="107">
        <f>F63</f>
        <v>0</v>
      </c>
      <c r="H63" s="174"/>
      <c r="I63" s="111">
        <v>24900</v>
      </c>
      <c r="J63" s="111" t="e">
        <f>VLOOKUP(I63,Presupuesto!$B$8:$C$583,2,0)</f>
        <v>#N/A</v>
      </c>
      <c r="K63" s="108" t="str">
        <f t="shared" si="0"/>
        <v>Desarrollo Curricular</v>
      </c>
      <c r="L63" s="108" t="s">
        <v>475</v>
      </c>
    </row>
    <row r="64" spans="3:13" ht="15.75" thickBot="1" x14ac:dyDescent="0.3">
      <c r="C64" s="183" t="s">
        <v>59</v>
      </c>
      <c r="D64" s="173"/>
      <c r="E64" s="164">
        <v>0</v>
      </c>
      <c r="F64" s="110">
        <v>0</v>
      </c>
      <c r="G64" s="107">
        <f>F64</f>
        <v>0</v>
      </c>
      <c r="H64" s="174"/>
      <c r="I64" s="111"/>
      <c r="J64" s="111" t="e">
        <f>VLOOKUP(I64,Presupuesto!$B$8:$C$583,2,0)</f>
        <v>#N/A</v>
      </c>
      <c r="K64" s="108" t="str">
        <f t="shared" si="0"/>
        <v>Desarrollo Curricular</v>
      </c>
      <c r="L64" s="108" t="s">
        <v>475</v>
      </c>
    </row>
    <row r="65" spans="3:13" ht="15.75" thickBot="1" x14ac:dyDescent="0.3">
      <c r="C65" s="150" t="s">
        <v>61</v>
      </c>
      <c r="D65" s="214">
        <v>4</v>
      </c>
      <c r="E65" s="162">
        <v>12</v>
      </c>
      <c r="F65" s="128">
        <v>10000</v>
      </c>
      <c r="G65" s="123">
        <f>D65*E65*F65</f>
        <v>480000</v>
      </c>
      <c r="H65" s="176" t="s">
        <v>207</v>
      </c>
      <c r="I65" s="124" t="s">
        <v>701</v>
      </c>
      <c r="J65" s="124" t="str">
        <f>VLOOKUP(I65,Presupuesto!$B$8:$C$583,2,0)</f>
        <v>SUELDOS Y SALARIOS PERMANENTES</v>
      </c>
      <c r="K65" s="108" t="s">
        <v>559</v>
      </c>
      <c r="L65" s="108" t="s">
        <v>475</v>
      </c>
      <c r="M65" s="95" t="s">
        <v>2068</v>
      </c>
    </row>
    <row r="66" spans="3:13" ht="15.75" thickBot="1" x14ac:dyDescent="0.3">
      <c r="C66" s="182" t="s">
        <v>58</v>
      </c>
      <c r="D66" s="180"/>
      <c r="E66" s="141"/>
      <c r="F66" s="129">
        <f>IF(E65=0,"",(G65/E65)/12*E65)</f>
        <v>40000</v>
      </c>
      <c r="G66" s="130">
        <f>F66</f>
        <v>40000</v>
      </c>
      <c r="H66" s="174" t="s">
        <v>207</v>
      </c>
      <c r="I66" s="126" t="s">
        <v>335</v>
      </c>
      <c r="J66" s="111" t="str">
        <f>VLOOKUP(I66,Presupuesto!$B$8:$C$583,2,0)</f>
        <v>AGUINALDO Y DECIMOCUARTO MES (11500-00)</v>
      </c>
      <c r="K66" s="108" t="s">
        <v>559</v>
      </c>
      <c r="L66" s="108" t="s">
        <v>475</v>
      </c>
    </row>
    <row r="67" spans="3:13" ht="15.75" thickBot="1" x14ac:dyDescent="0.3">
      <c r="C67" s="184" t="s">
        <v>59</v>
      </c>
      <c r="D67" s="172"/>
      <c r="E67" s="142">
        <v>0</v>
      </c>
      <c r="F67" s="115">
        <f>IF(E65&lt;6,"",((E65-6)/12)*(G65/E65))</f>
        <v>20000</v>
      </c>
      <c r="G67" s="115">
        <f>F67</f>
        <v>20000</v>
      </c>
      <c r="H67" s="172" t="s">
        <v>207</v>
      </c>
      <c r="I67" s="126" t="s">
        <v>335</v>
      </c>
      <c r="J67" s="134" t="str">
        <f>VLOOKUP(I67,Presupuesto!$B$8:$C$583,2,0)</f>
        <v>AGUINALDO Y DECIMOCUARTO MES (11500-00)</v>
      </c>
      <c r="K67" s="116" t="s">
        <v>559</v>
      </c>
      <c r="L67" s="108" t="s">
        <v>475</v>
      </c>
    </row>
    <row r="68" spans="3:13" ht="15.75" thickBot="1" x14ac:dyDescent="0.3">
      <c r="C68" s="150" t="s">
        <v>61</v>
      </c>
      <c r="D68" s="214">
        <v>1</v>
      </c>
      <c r="E68" s="162">
        <v>12</v>
      </c>
      <c r="F68" s="128">
        <v>20000</v>
      </c>
      <c r="G68" s="123">
        <f>D68*E68*F68</f>
        <v>240000</v>
      </c>
      <c r="H68" s="176" t="s">
        <v>207</v>
      </c>
      <c r="I68" s="124" t="s">
        <v>701</v>
      </c>
      <c r="J68" s="124" t="str">
        <f>VLOOKUP(I68,Presupuesto!$B$8:$C$583,2,0)</f>
        <v>SUELDOS Y SALARIOS PERMANENTES</v>
      </c>
      <c r="K68" s="108" t="s">
        <v>559</v>
      </c>
      <c r="L68" s="108" t="s">
        <v>475</v>
      </c>
      <c r="M68" s="95" t="s">
        <v>1734</v>
      </c>
    </row>
    <row r="69" spans="3:13" ht="15.75" thickBot="1" x14ac:dyDescent="0.3">
      <c r="C69" s="182" t="s">
        <v>58</v>
      </c>
      <c r="D69" s="180"/>
      <c r="E69" s="141"/>
      <c r="F69" s="129">
        <f>IF(E68=0,"",(G68/E68)/12*E68)</f>
        <v>20000</v>
      </c>
      <c r="G69" s="130">
        <f>F69</f>
        <v>20000</v>
      </c>
      <c r="H69" s="174" t="s">
        <v>207</v>
      </c>
      <c r="I69" s="126" t="s">
        <v>335</v>
      </c>
      <c r="J69" s="111" t="str">
        <f>VLOOKUP(I69,Presupuesto!$B$8:$C$583,2,0)</f>
        <v>AGUINALDO Y DECIMOCUARTO MES (11500-00)</v>
      </c>
      <c r="K69" s="108" t="s">
        <v>559</v>
      </c>
      <c r="L69" s="108" t="s">
        <v>475</v>
      </c>
    </row>
    <row r="70" spans="3:13" ht="15.75" thickBot="1" x14ac:dyDescent="0.3">
      <c r="C70" s="184" t="s">
        <v>59</v>
      </c>
      <c r="D70" s="172"/>
      <c r="E70" s="142">
        <v>0</v>
      </c>
      <c r="F70" s="115">
        <f>IF(E68&lt;6,"",((E68-6)/12)*(G68/E68))</f>
        <v>10000</v>
      </c>
      <c r="G70" s="115">
        <f>F70</f>
        <v>10000</v>
      </c>
      <c r="H70" s="172" t="s">
        <v>207</v>
      </c>
      <c r="I70" s="126" t="s">
        <v>335</v>
      </c>
      <c r="J70" s="134" t="str">
        <f>VLOOKUP(I70,Presupuesto!$B$8:$C$583,2,0)</f>
        <v>AGUINALDO Y DECIMOCUARTO MES (11500-00)</v>
      </c>
      <c r="K70" s="116" t="s">
        <v>559</v>
      </c>
      <c r="L70" s="108" t="s">
        <v>475</v>
      </c>
    </row>
    <row r="71" spans="3:13" ht="15.75" thickBot="1" x14ac:dyDescent="0.3">
      <c r="C71" s="150" t="s">
        <v>61</v>
      </c>
      <c r="D71" s="214">
        <v>3</v>
      </c>
      <c r="E71" s="162">
        <v>12</v>
      </c>
      <c r="F71" s="128">
        <v>20000</v>
      </c>
      <c r="G71" s="123">
        <f>D71*E71*F71</f>
        <v>720000</v>
      </c>
      <c r="H71" s="176" t="s">
        <v>207</v>
      </c>
      <c r="I71" s="124" t="s">
        <v>701</v>
      </c>
      <c r="J71" s="124" t="str">
        <f>VLOOKUP(I71,Presupuesto!$B$8:$C$583,2,0)</f>
        <v>SUELDOS Y SALARIOS PERMANENTES</v>
      </c>
      <c r="K71" s="108" t="s">
        <v>559</v>
      </c>
      <c r="L71" s="108" t="s">
        <v>475</v>
      </c>
      <c r="M71" s="95" t="s">
        <v>1798</v>
      </c>
    </row>
    <row r="72" spans="3:13" ht="15.75" thickBot="1" x14ac:dyDescent="0.3">
      <c r="C72" s="182" t="s">
        <v>58</v>
      </c>
      <c r="D72" s="180"/>
      <c r="E72" s="141"/>
      <c r="F72" s="129">
        <f>IF(E71=0,"",(G71/E71)/12*E71)</f>
        <v>60000</v>
      </c>
      <c r="G72" s="130">
        <f>F72</f>
        <v>60000</v>
      </c>
      <c r="H72" s="174" t="s">
        <v>207</v>
      </c>
      <c r="I72" s="126" t="s">
        <v>335</v>
      </c>
      <c r="J72" s="111" t="str">
        <f>VLOOKUP(I72,Presupuesto!$B$8:$C$583,2,0)</f>
        <v>AGUINALDO Y DECIMOCUARTO MES (11500-00)</v>
      </c>
      <c r="K72" s="108" t="s">
        <v>559</v>
      </c>
      <c r="L72" s="108" t="s">
        <v>475</v>
      </c>
    </row>
    <row r="73" spans="3:13" ht="15.75" thickBot="1" x14ac:dyDescent="0.3">
      <c r="C73" s="184" t="s">
        <v>59</v>
      </c>
      <c r="D73" s="172"/>
      <c r="E73" s="142">
        <v>0</v>
      </c>
      <c r="F73" s="115">
        <f>IF(E71&lt;6,"",((E71-6)/12)*(G71/E71))</f>
        <v>30000</v>
      </c>
      <c r="G73" s="115">
        <f>F73</f>
        <v>30000</v>
      </c>
      <c r="H73" s="172" t="s">
        <v>207</v>
      </c>
      <c r="I73" s="126" t="s">
        <v>335</v>
      </c>
      <c r="J73" s="134" t="str">
        <f>VLOOKUP(I73,Presupuesto!$B$8:$C$583,2,0)</f>
        <v>AGUINALDO Y DECIMOCUARTO MES (11500-00)</v>
      </c>
      <c r="K73" s="116" t="s">
        <v>559</v>
      </c>
      <c r="L73" s="108" t="s">
        <v>475</v>
      </c>
    </row>
    <row r="74" spans="3:13" ht="15.75" thickBot="1" x14ac:dyDescent="0.3">
      <c r="C74" s="150" t="s">
        <v>61</v>
      </c>
      <c r="D74" s="214">
        <v>5</v>
      </c>
      <c r="E74" s="162">
        <v>12</v>
      </c>
      <c r="F74" s="128">
        <v>28000</v>
      </c>
      <c r="G74" s="123">
        <f>D74*E74*F74</f>
        <v>1680000</v>
      </c>
      <c r="H74" s="176" t="s">
        <v>207</v>
      </c>
      <c r="I74" s="124" t="s">
        <v>701</v>
      </c>
      <c r="J74" s="124" t="str">
        <f>VLOOKUP(I74,Presupuesto!$B$8:$C$583,2,0)</f>
        <v>SUELDOS Y SALARIOS PERMANENTES</v>
      </c>
      <c r="K74" s="108" t="s">
        <v>559</v>
      </c>
      <c r="L74" s="108" t="s">
        <v>475</v>
      </c>
      <c r="M74" s="95" t="s">
        <v>2000</v>
      </c>
    </row>
    <row r="75" spans="3:13" ht="15.75" thickBot="1" x14ac:dyDescent="0.3">
      <c r="C75" s="182" t="s">
        <v>58</v>
      </c>
      <c r="D75" s="180"/>
      <c r="E75" s="141"/>
      <c r="F75" s="129">
        <f>IF(E74=0,"",(G74/E74)/12*E74)</f>
        <v>140000</v>
      </c>
      <c r="G75" s="130">
        <f>F75</f>
        <v>140000</v>
      </c>
      <c r="H75" s="174" t="s">
        <v>207</v>
      </c>
      <c r="I75" s="126" t="s">
        <v>335</v>
      </c>
      <c r="J75" s="111" t="str">
        <f>VLOOKUP(I75,Presupuesto!$B$8:$C$583,2,0)</f>
        <v>AGUINALDO Y DECIMOCUARTO MES (11500-00)</v>
      </c>
      <c r="K75" s="108" t="s">
        <v>559</v>
      </c>
      <c r="L75" s="108" t="s">
        <v>475</v>
      </c>
    </row>
    <row r="76" spans="3:13" ht="15.75" thickBot="1" x14ac:dyDescent="0.3">
      <c r="C76" s="184" t="s">
        <v>59</v>
      </c>
      <c r="D76" s="172"/>
      <c r="E76" s="142">
        <v>0</v>
      </c>
      <c r="F76" s="115">
        <f>IF(E74&lt;6,"",((E74-6)/12)*(G74/E74))</f>
        <v>70000</v>
      </c>
      <c r="G76" s="115">
        <f>F76</f>
        <v>70000</v>
      </c>
      <c r="H76" s="172" t="s">
        <v>207</v>
      </c>
      <c r="I76" s="126" t="s">
        <v>335</v>
      </c>
      <c r="J76" s="134" t="str">
        <f>VLOOKUP(I76,Presupuesto!$B$8:$C$583,2,0)</f>
        <v>AGUINALDO Y DECIMOCUARTO MES (11500-00)</v>
      </c>
      <c r="K76" s="116" t="s">
        <v>559</v>
      </c>
      <c r="L76" s="108" t="s">
        <v>475</v>
      </c>
    </row>
    <row r="77" spans="3:13" ht="15.75" thickBot="1" x14ac:dyDescent="0.3">
      <c r="C77" s="150" t="s">
        <v>61</v>
      </c>
      <c r="D77" s="214">
        <v>1</v>
      </c>
      <c r="E77" s="162">
        <v>12</v>
      </c>
      <c r="F77" s="128">
        <v>15000</v>
      </c>
      <c r="G77" s="123">
        <f>D77*E77*F77</f>
        <v>180000</v>
      </c>
      <c r="H77" s="176" t="s">
        <v>207</v>
      </c>
      <c r="I77" s="124" t="s">
        <v>701</v>
      </c>
      <c r="J77" s="124" t="str">
        <f>VLOOKUP(I77,Presupuesto!$B$8:$C$583,2,0)</f>
        <v>SUELDOS Y SALARIOS PERMANENTES</v>
      </c>
      <c r="K77" s="108" t="s">
        <v>559</v>
      </c>
      <c r="L77" s="108" t="s">
        <v>475</v>
      </c>
      <c r="M77" s="95" t="s">
        <v>2060</v>
      </c>
    </row>
    <row r="78" spans="3:13" ht="15.75" thickBot="1" x14ac:dyDescent="0.3">
      <c r="C78" s="182" t="s">
        <v>58</v>
      </c>
      <c r="D78" s="180"/>
      <c r="E78" s="141"/>
      <c r="F78" s="129">
        <f>IF(E77=0,"",(G77/E77)/12*E77)</f>
        <v>15000</v>
      </c>
      <c r="G78" s="130">
        <f>F78</f>
        <v>15000</v>
      </c>
      <c r="H78" s="174" t="s">
        <v>207</v>
      </c>
      <c r="I78" s="126" t="s">
        <v>335</v>
      </c>
      <c r="J78" s="111" t="str">
        <f>VLOOKUP(I78,Presupuesto!$B$8:$C$583,2,0)</f>
        <v>AGUINALDO Y DECIMOCUARTO MES (11500-00)</v>
      </c>
      <c r="K78" s="108" t="s">
        <v>559</v>
      </c>
      <c r="L78" s="108" t="s">
        <v>475</v>
      </c>
    </row>
    <row r="79" spans="3:13" ht="15.75" thickBot="1" x14ac:dyDescent="0.3">
      <c r="C79" s="184" t="s">
        <v>59</v>
      </c>
      <c r="D79" s="172"/>
      <c r="E79" s="142">
        <v>0</v>
      </c>
      <c r="F79" s="115">
        <f>IF(E77&lt;6,"",((E77-6)/12)*(G77/E77))</f>
        <v>7500</v>
      </c>
      <c r="G79" s="115">
        <f>F79</f>
        <v>7500</v>
      </c>
      <c r="H79" s="172" t="s">
        <v>207</v>
      </c>
      <c r="I79" s="126" t="s">
        <v>335</v>
      </c>
      <c r="J79" s="134" t="str">
        <f>VLOOKUP(I79,Presupuesto!$B$8:$C$583,2,0)</f>
        <v>AGUINALDO Y DECIMOCUARTO MES (11500-00)</v>
      </c>
      <c r="K79" s="116" t="s">
        <v>559</v>
      </c>
      <c r="L79" s="108" t="s">
        <v>475</v>
      </c>
    </row>
    <row r="80" spans="3:13" ht="15.75" thickBot="1" x14ac:dyDescent="0.3">
      <c r="C80" s="150" t="s">
        <v>61</v>
      </c>
      <c r="D80" s="214">
        <v>3</v>
      </c>
      <c r="E80" s="162">
        <v>12</v>
      </c>
      <c r="F80" s="128">
        <v>40000</v>
      </c>
      <c r="G80" s="123">
        <f>D80*E80*F80</f>
        <v>1440000</v>
      </c>
      <c r="H80" s="176" t="s">
        <v>207</v>
      </c>
      <c r="I80" s="124" t="s">
        <v>701</v>
      </c>
      <c r="J80" s="124" t="str">
        <f>VLOOKUP(I80,Presupuesto!$B$8:$C$583,2,0)</f>
        <v>SUELDOS Y SALARIOS PERMANENTES</v>
      </c>
      <c r="K80" s="108" t="s">
        <v>559</v>
      </c>
      <c r="L80" s="108" t="s">
        <v>475</v>
      </c>
      <c r="M80" s="95" t="s">
        <v>2069</v>
      </c>
    </row>
    <row r="81" spans="3:12" ht="15.75" thickBot="1" x14ac:dyDescent="0.3">
      <c r="C81" s="182" t="s">
        <v>58</v>
      </c>
      <c r="D81" s="180"/>
      <c r="E81" s="141"/>
      <c r="F81" s="129">
        <f>IF(E80=0,"",(G80/E80)/12*E80)</f>
        <v>120000</v>
      </c>
      <c r="G81" s="130">
        <f>F81</f>
        <v>120000</v>
      </c>
      <c r="H81" s="174" t="s">
        <v>207</v>
      </c>
      <c r="I81" s="126" t="s">
        <v>335</v>
      </c>
      <c r="J81" s="111" t="str">
        <f>VLOOKUP(I81,Presupuesto!$B$8:$C$583,2,0)</f>
        <v>AGUINALDO Y DECIMOCUARTO MES (11500-00)</v>
      </c>
      <c r="K81" s="108" t="s">
        <v>559</v>
      </c>
      <c r="L81" s="108" t="s">
        <v>475</v>
      </c>
    </row>
    <row r="82" spans="3:12" ht="15.75" thickBot="1" x14ac:dyDescent="0.3">
      <c r="C82" s="184" t="s">
        <v>59</v>
      </c>
      <c r="D82" s="172"/>
      <c r="E82" s="142">
        <v>0</v>
      </c>
      <c r="F82" s="115">
        <f>IF(E80&lt;6,"",((E80-6)/12)*(G80/E80))</f>
        <v>60000</v>
      </c>
      <c r="G82" s="115">
        <f>F82</f>
        <v>60000</v>
      </c>
      <c r="H82" s="172" t="s">
        <v>207</v>
      </c>
      <c r="I82" s="126" t="s">
        <v>335</v>
      </c>
      <c r="J82" s="134" t="str">
        <f>VLOOKUP(I82,Presupuesto!$B$8:$C$583,2,0)</f>
        <v>AGUINALDO Y DECIMOCUARTO MES (11500-00)</v>
      </c>
      <c r="K82" s="116" t="s">
        <v>559</v>
      </c>
      <c r="L82" s="108" t="s">
        <v>475</v>
      </c>
    </row>
  </sheetData>
  <conditionalFormatting sqref="E56">
    <cfRule type="cellIs" dxfId="5"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82">
      <formula1>$R$2:$S$2</formula1>
    </dataValidation>
    <dataValidation type="list" allowBlank="1" showInputMessage="1" showErrorMessage="1" errorTitle="¡Ingreso Inválido!" error="Verifique el valor ingresado." sqref="I17:I82">
      <formula1>$A$1:$VD$1</formula1>
    </dataValidation>
    <dataValidation type="list" allowBlank="1" showInputMessage="1" showErrorMessage="1" errorTitle="¡Ingreso Inválido!" error="Seleccione una opción de la lista." promptTitle="Dimensión Estratégica" prompt="Seleccione una opción de la lista." sqref="K17:K82">
      <formula1>$A$2:$K$2</formula1>
    </dataValidation>
    <dataValidation type="list" allowBlank="1" showInputMessage="1" showErrorMessage="1" errorTitle="¡Ingreso Inválido!" error="Seleccione una opción de la lista" promptTitle="Mes Requerido" prompt="Seleccione el mes en el que requiere el recurso." sqref="L17:L82">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610"/>
  <sheetViews>
    <sheetView showGridLines="0" topLeftCell="A583" zoomScale="68" zoomScaleNormal="68" workbookViewId="0">
      <selection activeCell="D455" sqref="D455"/>
    </sheetView>
  </sheetViews>
  <sheetFormatPr baseColWidth="10" defaultColWidth="11.5703125" defaultRowHeight="15" x14ac:dyDescent="0.25"/>
  <cols>
    <col min="1" max="1" width="1.85546875" style="95" customWidth="1"/>
    <col min="2" max="2" width="17" style="95" customWidth="1"/>
    <col min="3" max="3" width="50" style="95" bestFit="1" customWidth="1"/>
    <col min="4" max="4" width="32.140625" style="95" customWidth="1"/>
    <col min="5" max="5" width="10.140625" style="95" customWidth="1"/>
    <col min="6" max="7" width="13.85546875" style="95" customWidth="1"/>
    <col min="8" max="8" width="13.85546875" style="85" customWidth="1"/>
    <col min="9" max="9" width="39.42578125" style="95" bestFit="1" customWidth="1"/>
    <col min="10" max="10" width="58.28515625" style="95" bestFit="1" customWidth="1"/>
    <col min="11" max="11" width="51.7109375" style="95" bestFit="1" customWidth="1"/>
    <col min="12" max="12" width="14.42578125" style="95" customWidth="1"/>
    <col min="13" max="33" width="11.5703125" style="95"/>
    <col min="34" max="34" width="45.42578125" style="95" bestFit="1" customWidth="1"/>
    <col min="35" max="35" width="35.28515625" style="95" bestFit="1" customWidth="1"/>
    <col min="36" max="36" width="35.7109375" style="95" bestFit="1" customWidth="1"/>
    <col min="37" max="41" width="46" style="95" customWidth="1"/>
    <col min="42" max="45" width="46.5703125" style="95" bestFit="1" customWidth="1"/>
    <col min="46" max="49" width="46.7109375" style="95" bestFit="1" customWidth="1"/>
    <col min="50" max="53" width="46.140625" style="95" bestFit="1" customWidth="1"/>
    <col min="54" max="56" width="45.42578125" style="95" bestFit="1" customWidth="1"/>
    <col min="57" max="57" width="49.28515625" style="95" bestFit="1" customWidth="1"/>
    <col min="58" max="61" width="46" style="95" bestFit="1" customWidth="1"/>
    <col min="62" max="65" width="46.5703125" style="95" bestFit="1" customWidth="1"/>
    <col min="66" max="69" width="46.7109375" style="95" bestFit="1" customWidth="1"/>
    <col min="70" max="73" width="46.140625" style="95" bestFit="1" customWidth="1"/>
    <col min="74" max="77" width="12.7109375" style="95" bestFit="1" customWidth="1"/>
    <col min="78" max="78" width="11.5703125" style="95"/>
    <col min="79" max="79" width="12.7109375" style="95" bestFit="1" customWidth="1"/>
    <col min="80" max="80" width="11.5703125" style="95"/>
    <col min="81" max="83" width="12.7109375" style="95" bestFit="1" customWidth="1"/>
    <col min="84" max="16384" width="11.5703125" style="95"/>
  </cols>
  <sheetData>
    <row r="1" spans="1:576" ht="26.25" hidden="1" x14ac:dyDescent="0.25">
      <c r="A1" s="198"/>
      <c r="B1" s="201"/>
      <c r="C1" s="192" t="s">
        <v>332</v>
      </c>
      <c r="D1" s="192" t="s">
        <v>701</v>
      </c>
      <c r="E1" s="192" t="s">
        <v>703</v>
      </c>
      <c r="F1" s="192" t="s">
        <v>705</v>
      </c>
      <c r="G1" s="192" t="s">
        <v>707</v>
      </c>
      <c r="H1" s="192" t="s">
        <v>709</v>
      </c>
      <c r="I1" s="192" t="s">
        <v>711</v>
      </c>
      <c r="J1" s="192" t="s">
        <v>333</v>
      </c>
      <c r="K1" s="192" t="s">
        <v>714</v>
      </c>
      <c r="L1" s="192" t="s">
        <v>334</v>
      </c>
      <c r="M1" s="192" t="s">
        <v>716</v>
      </c>
      <c r="N1" s="192" t="s">
        <v>718</v>
      </c>
      <c r="O1" s="192" t="s">
        <v>720</v>
      </c>
      <c r="P1" s="192" t="s">
        <v>335</v>
      </c>
      <c r="Q1" s="192" t="s">
        <v>721</v>
      </c>
      <c r="R1" s="192" t="s">
        <v>724</v>
      </c>
      <c r="S1" s="192" t="s">
        <v>336</v>
      </c>
      <c r="T1" s="192" t="s">
        <v>726</v>
      </c>
      <c r="U1" s="192" t="s">
        <v>337</v>
      </c>
      <c r="V1" s="192" t="s">
        <v>727</v>
      </c>
      <c r="W1" s="192" t="s">
        <v>728</v>
      </c>
      <c r="X1" s="192" t="s">
        <v>732</v>
      </c>
      <c r="Y1" s="192" t="s">
        <v>329</v>
      </c>
      <c r="Z1" s="192" t="s">
        <v>747</v>
      </c>
      <c r="AA1" s="201"/>
      <c r="AB1" s="192" t="s">
        <v>749</v>
      </c>
      <c r="AC1" s="192" t="s">
        <v>339</v>
      </c>
      <c r="AD1" s="192" t="s">
        <v>751</v>
      </c>
      <c r="AE1" s="192" t="s">
        <v>753</v>
      </c>
      <c r="AF1" s="192" t="s">
        <v>340</v>
      </c>
      <c r="AG1" s="192" t="s">
        <v>755</v>
      </c>
      <c r="AH1" s="192" t="s">
        <v>757</v>
      </c>
      <c r="AI1" s="192" t="s">
        <v>341</v>
      </c>
      <c r="AJ1" s="192" t="s">
        <v>758</v>
      </c>
      <c r="AK1" s="192" t="s">
        <v>760</v>
      </c>
      <c r="AL1" s="192" t="s">
        <v>761</v>
      </c>
      <c r="AM1" s="192" t="s">
        <v>762</v>
      </c>
      <c r="AN1" s="192" t="s">
        <v>764</v>
      </c>
      <c r="AO1" s="192" t="s">
        <v>766</v>
      </c>
      <c r="AP1" s="192" t="s">
        <v>767</v>
      </c>
      <c r="AQ1" s="192" t="s">
        <v>342</v>
      </c>
      <c r="AR1" s="192" t="s">
        <v>769</v>
      </c>
      <c r="AS1" s="192" t="s">
        <v>771</v>
      </c>
      <c r="AT1" s="192" t="s">
        <v>773</v>
      </c>
      <c r="AU1" s="192" t="s">
        <v>775</v>
      </c>
      <c r="AV1" s="192" t="s">
        <v>777</v>
      </c>
      <c r="AW1" s="192" t="s">
        <v>779</v>
      </c>
      <c r="AX1" s="192" t="s">
        <v>781</v>
      </c>
      <c r="AY1" s="192" t="s">
        <v>783</v>
      </c>
      <c r="AZ1" s="201"/>
      <c r="BA1" s="192" t="s">
        <v>344</v>
      </c>
      <c r="BB1" s="192" t="s">
        <v>805</v>
      </c>
      <c r="BC1" s="192" t="s">
        <v>345</v>
      </c>
      <c r="BD1" s="192" t="s">
        <v>807</v>
      </c>
      <c r="BE1" s="192" t="s">
        <v>809</v>
      </c>
      <c r="BF1" s="201"/>
      <c r="BG1" s="192" t="s">
        <v>347</v>
      </c>
      <c r="BH1" s="192" t="s">
        <v>811</v>
      </c>
      <c r="BI1" s="192" t="s">
        <v>348</v>
      </c>
      <c r="BJ1" s="192" t="s">
        <v>813</v>
      </c>
      <c r="BK1" s="192" t="s">
        <v>815</v>
      </c>
      <c r="BL1" s="192" t="s">
        <v>817</v>
      </c>
      <c r="BM1" s="201"/>
      <c r="BN1" s="192" t="s">
        <v>823</v>
      </c>
      <c r="BO1" s="192" t="s">
        <v>825</v>
      </c>
      <c r="BP1" s="192" t="s">
        <v>350</v>
      </c>
      <c r="BQ1" s="192" t="s">
        <v>819</v>
      </c>
      <c r="BR1" s="192" t="s">
        <v>821</v>
      </c>
      <c r="BS1" s="192" t="s">
        <v>351</v>
      </c>
      <c r="BT1" s="192" t="s">
        <v>827</v>
      </c>
      <c r="BU1" s="192" t="s">
        <v>352</v>
      </c>
      <c r="BV1" s="192" t="s">
        <v>828</v>
      </c>
      <c r="BW1" s="189"/>
      <c r="BX1" s="201"/>
      <c r="BY1" s="192" t="s">
        <v>353</v>
      </c>
      <c r="BZ1" s="192" t="s">
        <v>733</v>
      </c>
      <c r="CA1" s="192" t="s">
        <v>735</v>
      </c>
      <c r="CB1" s="192" t="s">
        <v>737</v>
      </c>
      <c r="CC1" s="192" t="s">
        <v>354</v>
      </c>
      <c r="CD1" s="192" t="s">
        <v>739</v>
      </c>
      <c r="CE1" s="192" t="s">
        <v>741</v>
      </c>
      <c r="CF1" s="192" t="s">
        <v>743</v>
      </c>
      <c r="CG1" s="192" t="s">
        <v>745</v>
      </c>
      <c r="CH1" s="189"/>
      <c r="CI1" s="201"/>
      <c r="CJ1" s="192" t="s">
        <v>355</v>
      </c>
      <c r="CK1" s="192" t="s">
        <v>785</v>
      </c>
      <c r="CL1" s="192" t="s">
        <v>787</v>
      </c>
      <c r="CM1" s="192" t="s">
        <v>789</v>
      </c>
      <c r="CN1" s="192" t="s">
        <v>791</v>
      </c>
      <c r="CO1" s="192" t="s">
        <v>793</v>
      </c>
      <c r="CP1" s="192" t="s">
        <v>795</v>
      </c>
      <c r="CQ1" s="192" t="s">
        <v>797</v>
      </c>
      <c r="CR1" s="192" t="s">
        <v>799</v>
      </c>
      <c r="CS1" s="192" t="s">
        <v>801</v>
      </c>
      <c r="CT1" s="192" t="s">
        <v>803</v>
      </c>
      <c r="CU1" s="189"/>
      <c r="CV1" s="201"/>
      <c r="CW1" s="192" t="s">
        <v>829</v>
      </c>
      <c r="CX1" s="192" t="s">
        <v>830</v>
      </c>
      <c r="CY1" s="192" t="s">
        <v>832</v>
      </c>
      <c r="CZ1" s="192" t="s">
        <v>358</v>
      </c>
      <c r="DA1" s="192" t="s">
        <v>834</v>
      </c>
      <c r="DB1" s="192" t="s">
        <v>836</v>
      </c>
      <c r="DC1" s="192" t="s">
        <v>838</v>
      </c>
      <c r="DD1" s="192" t="s">
        <v>840</v>
      </c>
      <c r="DE1" s="192" t="s">
        <v>842</v>
      </c>
      <c r="DF1" s="192" t="s">
        <v>844</v>
      </c>
      <c r="DG1" s="201"/>
      <c r="DH1" s="192" t="s">
        <v>360</v>
      </c>
      <c r="DI1" s="192" t="s">
        <v>846</v>
      </c>
      <c r="DJ1" s="192" t="s">
        <v>361</v>
      </c>
      <c r="DK1" s="192" t="s">
        <v>848</v>
      </c>
      <c r="DL1" s="192" t="s">
        <v>850</v>
      </c>
      <c r="DM1" s="192" t="s">
        <v>852</v>
      </c>
      <c r="DN1" s="192" t="s">
        <v>854</v>
      </c>
      <c r="DO1" s="192" t="s">
        <v>856</v>
      </c>
      <c r="DP1" s="192" t="s">
        <v>858</v>
      </c>
      <c r="DQ1" s="192" t="s">
        <v>860</v>
      </c>
      <c r="DR1" s="192" t="s">
        <v>362</v>
      </c>
      <c r="DS1" s="192" t="s">
        <v>862</v>
      </c>
      <c r="DT1" s="192" t="s">
        <v>864</v>
      </c>
      <c r="DU1" s="192" t="s">
        <v>866</v>
      </c>
      <c r="DV1" s="201"/>
      <c r="DW1" s="192" t="s">
        <v>868</v>
      </c>
      <c r="DX1" s="192" t="s">
        <v>364</v>
      </c>
      <c r="DY1" s="192" t="s">
        <v>870</v>
      </c>
      <c r="DZ1" s="192" t="s">
        <v>365</v>
      </c>
      <c r="EA1" s="192" t="s">
        <v>872</v>
      </c>
      <c r="EB1" s="192" t="s">
        <v>874</v>
      </c>
      <c r="EC1" s="192" t="s">
        <v>876</v>
      </c>
      <c r="ED1" s="192" t="s">
        <v>878</v>
      </c>
      <c r="EE1" s="192" t="s">
        <v>880</v>
      </c>
      <c r="EF1" s="192" t="s">
        <v>882</v>
      </c>
      <c r="EG1" s="192" t="s">
        <v>884</v>
      </c>
      <c r="EH1" s="192" t="s">
        <v>886</v>
      </c>
      <c r="EI1" s="192" t="s">
        <v>888</v>
      </c>
      <c r="EJ1" s="192" t="s">
        <v>890</v>
      </c>
      <c r="EK1" s="192" t="s">
        <v>892</v>
      </c>
      <c r="EL1" s="201"/>
      <c r="EM1" s="192" t="s">
        <v>894</v>
      </c>
      <c r="EN1" s="192" t="s">
        <v>367</v>
      </c>
      <c r="EO1" s="192" t="s">
        <v>896</v>
      </c>
      <c r="EP1" s="192" t="s">
        <v>898</v>
      </c>
      <c r="EQ1" s="192" t="s">
        <v>368</v>
      </c>
      <c r="ER1" s="192" t="s">
        <v>900</v>
      </c>
      <c r="ES1" s="192" t="s">
        <v>902</v>
      </c>
      <c r="ET1" s="192" t="s">
        <v>369</v>
      </c>
      <c r="EU1" s="192" t="s">
        <v>904</v>
      </c>
      <c r="EV1" s="192" t="s">
        <v>906</v>
      </c>
      <c r="EW1" s="192" t="s">
        <v>908</v>
      </c>
      <c r="EX1" s="192" t="s">
        <v>370</v>
      </c>
      <c r="EY1" s="192" t="s">
        <v>910</v>
      </c>
      <c r="EZ1" s="192" t="s">
        <v>912</v>
      </c>
      <c r="FA1" s="201"/>
      <c r="FB1" s="192" t="s">
        <v>372</v>
      </c>
      <c r="FC1" s="192" t="s">
        <v>914</v>
      </c>
      <c r="FD1" s="192" t="s">
        <v>916</v>
      </c>
      <c r="FE1" s="192" t="s">
        <v>918</v>
      </c>
      <c r="FF1" s="192" t="s">
        <v>920</v>
      </c>
      <c r="FG1" s="192" t="s">
        <v>373</v>
      </c>
      <c r="FH1" s="192" t="s">
        <v>922</v>
      </c>
      <c r="FI1" s="192" t="s">
        <v>924</v>
      </c>
      <c r="FJ1" s="192" t="s">
        <v>926</v>
      </c>
      <c r="FK1" s="192" t="s">
        <v>928</v>
      </c>
      <c r="FL1" s="192" t="s">
        <v>930</v>
      </c>
      <c r="FM1" s="192" t="s">
        <v>374</v>
      </c>
      <c r="FN1" s="192" t="s">
        <v>933</v>
      </c>
      <c r="FO1" s="192" t="s">
        <v>375</v>
      </c>
      <c r="FP1" s="192" t="s">
        <v>936</v>
      </c>
      <c r="FQ1" s="192" t="s">
        <v>937</v>
      </c>
      <c r="FR1" s="192" t="s">
        <v>939</v>
      </c>
      <c r="FS1" s="192" t="s">
        <v>376</v>
      </c>
      <c r="FT1" s="192" t="s">
        <v>942</v>
      </c>
      <c r="FU1" s="192" t="s">
        <v>943</v>
      </c>
      <c r="FV1" s="192" t="s">
        <v>945</v>
      </c>
      <c r="FW1" s="192" t="s">
        <v>377</v>
      </c>
      <c r="FX1" s="192" t="s">
        <v>948</v>
      </c>
      <c r="FY1" s="192" t="s">
        <v>950</v>
      </c>
      <c r="FZ1" s="192" t="s">
        <v>952</v>
      </c>
      <c r="GA1" s="201"/>
      <c r="GB1" s="192" t="s">
        <v>379</v>
      </c>
      <c r="GC1" s="192" t="s">
        <v>380</v>
      </c>
      <c r="GD1" s="201"/>
      <c r="GE1" s="192" t="s">
        <v>382</v>
      </c>
      <c r="GF1" s="192" t="s">
        <v>975</v>
      </c>
      <c r="GG1" s="192" t="s">
        <v>977</v>
      </c>
      <c r="GH1" s="192" t="s">
        <v>979</v>
      </c>
      <c r="GI1" s="192" t="s">
        <v>981</v>
      </c>
      <c r="GJ1" s="192" t="s">
        <v>983</v>
      </c>
      <c r="GK1" s="201"/>
      <c r="GL1" s="192" t="s">
        <v>384</v>
      </c>
      <c r="GM1" s="192" t="s">
        <v>985</v>
      </c>
      <c r="GN1" s="192" t="s">
        <v>987</v>
      </c>
      <c r="GO1" s="192" t="s">
        <v>989</v>
      </c>
      <c r="GP1" s="192" t="s">
        <v>991</v>
      </c>
      <c r="GQ1" s="192" t="s">
        <v>993</v>
      </c>
      <c r="GR1" s="192" t="s">
        <v>995</v>
      </c>
      <c r="GS1" s="189"/>
      <c r="GT1" s="201"/>
      <c r="GU1" s="192" t="s">
        <v>385</v>
      </c>
      <c r="GV1" s="192" t="s">
        <v>954</v>
      </c>
      <c r="GW1" s="192" t="s">
        <v>956</v>
      </c>
      <c r="GX1" s="192" t="s">
        <v>958</v>
      </c>
      <c r="GY1" s="192" t="s">
        <v>960</v>
      </c>
      <c r="GZ1" s="192" t="s">
        <v>962</v>
      </c>
      <c r="HA1" s="192" t="s">
        <v>964</v>
      </c>
      <c r="HB1" s="201"/>
      <c r="HC1" s="192" t="s">
        <v>386</v>
      </c>
      <c r="HD1" s="192" t="s">
        <v>966</v>
      </c>
      <c r="HE1" s="192" t="s">
        <v>968</v>
      </c>
      <c r="HF1" s="192" t="s">
        <v>969</v>
      </c>
      <c r="HG1" s="192" t="s">
        <v>387</v>
      </c>
      <c r="HH1" s="192" t="s">
        <v>972</v>
      </c>
      <c r="HI1" s="192" t="s">
        <v>973</v>
      </c>
      <c r="HJ1" s="189"/>
      <c r="HK1" s="201"/>
      <c r="HL1" s="192" t="s">
        <v>390</v>
      </c>
      <c r="HM1" s="192" t="s">
        <v>997</v>
      </c>
      <c r="HN1" s="192" t="s">
        <v>999</v>
      </c>
      <c r="HO1" s="192" t="s">
        <v>1001</v>
      </c>
      <c r="HP1" s="192" t="s">
        <v>1003</v>
      </c>
      <c r="HQ1" s="192" t="s">
        <v>391</v>
      </c>
      <c r="HR1" s="192" t="s">
        <v>1006</v>
      </c>
      <c r="HS1" s="201"/>
      <c r="HT1" s="192" t="s">
        <v>1008</v>
      </c>
      <c r="HU1" s="192" t="s">
        <v>1010</v>
      </c>
      <c r="HV1" s="192" t="s">
        <v>393</v>
      </c>
      <c r="HW1" s="192" t="s">
        <v>1013</v>
      </c>
      <c r="HX1" s="192" t="s">
        <v>1015</v>
      </c>
      <c r="HY1" s="192" t="s">
        <v>1016</v>
      </c>
      <c r="HZ1" s="192" t="s">
        <v>1018</v>
      </c>
      <c r="IA1" s="201"/>
      <c r="IB1" s="192" t="s">
        <v>1020</v>
      </c>
      <c r="IC1" s="192" t="s">
        <v>1022</v>
      </c>
      <c r="ID1" s="192" t="s">
        <v>1024</v>
      </c>
      <c r="IE1" s="192" t="s">
        <v>395</v>
      </c>
      <c r="IF1" s="192" t="s">
        <v>1026</v>
      </c>
      <c r="IG1" s="192" t="s">
        <v>1028</v>
      </c>
      <c r="IH1" s="192" t="s">
        <v>396</v>
      </c>
      <c r="II1" s="192" t="s">
        <v>1030</v>
      </c>
      <c r="IJ1" s="192" t="s">
        <v>1032</v>
      </c>
      <c r="IK1" s="192" t="s">
        <v>397</v>
      </c>
      <c r="IL1" s="192" t="s">
        <v>1034</v>
      </c>
      <c r="IM1" s="192" t="s">
        <v>1036</v>
      </c>
      <c r="IN1" s="192" t="s">
        <v>1038</v>
      </c>
      <c r="IO1" s="192" t="s">
        <v>1040</v>
      </c>
      <c r="IP1" s="192" t="s">
        <v>398</v>
      </c>
      <c r="IQ1" s="192" t="s">
        <v>1042</v>
      </c>
      <c r="IR1" s="201"/>
      <c r="IS1" s="192" t="s">
        <v>1050</v>
      </c>
      <c r="IT1" s="192" t="s">
        <v>1052</v>
      </c>
      <c r="IU1" s="192" t="s">
        <v>400</v>
      </c>
      <c r="IV1" s="192" t="s">
        <v>1054</v>
      </c>
      <c r="IW1" s="192" t="s">
        <v>1056</v>
      </c>
      <c r="IX1" s="192" t="s">
        <v>1058</v>
      </c>
      <c r="IY1" s="201"/>
      <c r="IZ1" s="192" t="s">
        <v>1060</v>
      </c>
      <c r="JA1" s="192" t="s">
        <v>402</v>
      </c>
      <c r="JB1" s="192" t="s">
        <v>1063</v>
      </c>
      <c r="JC1" s="192" t="s">
        <v>1065</v>
      </c>
      <c r="JD1" s="192" t="s">
        <v>1067</v>
      </c>
      <c r="JE1" s="192" t="s">
        <v>1069</v>
      </c>
      <c r="JF1" s="192" t="s">
        <v>1071</v>
      </c>
      <c r="JG1" s="192" t="s">
        <v>1073</v>
      </c>
      <c r="JH1" s="192" t="s">
        <v>403</v>
      </c>
      <c r="JI1" s="192" t="s">
        <v>1076</v>
      </c>
      <c r="JJ1" s="192" t="s">
        <v>1078</v>
      </c>
      <c r="JK1" s="192" t="s">
        <v>1080</v>
      </c>
      <c r="JL1" s="192" t="s">
        <v>1082</v>
      </c>
      <c r="JM1" s="192" t="s">
        <v>1084</v>
      </c>
      <c r="JN1" s="192" t="s">
        <v>1086</v>
      </c>
      <c r="JO1" s="192" t="s">
        <v>1088</v>
      </c>
      <c r="JP1" s="192" t="s">
        <v>1090</v>
      </c>
      <c r="JQ1" s="192" t="s">
        <v>404</v>
      </c>
      <c r="JR1" s="192" t="s">
        <v>1093</v>
      </c>
      <c r="JS1" s="192" t="s">
        <v>1095</v>
      </c>
      <c r="JT1" s="192" t="s">
        <v>1097</v>
      </c>
      <c r="JU1" s="192" t="s">
        <v>1099</v>
      </c>
      <c r="JV1" s="192" t="s">
        <v>1100</v>
      </c>
      <c r="JW1" s="192" t="s">
        <v>1102</v>
      </c>
      <c r="JX1" s="192" t="s">
        <v>1104</v>
      </c>
      <c r="JY1" s="192" t="s">
        <v>1106</v>
      </c>
      <c r="JZ1" s="192" t="s">
        <v>1108</v>
      </c>
      <c r="KA1" s="192" t="s">
        <v>1110</v>
      </c>
      <c r="KB1" s="192" t="s">
        <v>1112</v>
      </c>
      <c r="KC1" s="192" t="s">
        <v>1114</v>
      </c>
      <c r="KD1" s="192" t="s">
        <v>1116</v>
      </c>
      <c r="KE1" s="192" t="s">
        <v>1118</v>
      </c>
      <c r="KF1" s="192" t="s">
        <v>1120</v>
      </c>
      <c r="KG1" s="192" t="s">
        <v>1122</v>
      </c>
      <c r="KH1" s="192" t="s">
        <v>1124</v>
      </c>
      <c r="KI1" s="192" t="s">
        <v>1126</v>
      </c>
      <c r="KJ1" s="192" t="s">
        <v>1128</v>
      </c>
      <c r="KK1" s="192" t="s">
        <v>1130</v>
      </c>
      <c r="KL1" s="192" t="s">
        <v>1132</v>
      </c>
      <c r="KM1" s="192" t="s">
        <v>1134</v>
      </c>
      <c r="KN1" s="192" t="s">
        <v>1136</v>
      </c>
      <c r="KO1" s="192" t="s">
        <v>1138</v>
      </c>
      <c r="KP1" s="192" t="s">
        <v>1140</v>
      </c>
      <c r="KQ1" s="192" t="s">
        <v>1142</v>
      </c>
      <c r="KR1" s="201"/>
      <c r="KS1" s="192" t="s">
        <v>1144</v>
      </c>
      <c r="KT1" s="192" t="s">
        <v>406</v>
      </c>
      <c r="KU1" s="192" t="s">
        <v>1147</v>
      </c>
      <c r="KV1" s="192" t="s">
        <v>1149</v>
      </c>
      <c r="KW1" s="192" t="s">
        <v>1151</v>
      </c>
      <c r="KX1" s="192" t="s">
        <v>1153</v>
      </c>
      <c r="KY1" s="192" t="s">
        <v>407</v>
      </c>
      <c r="KZ1" s="192" t="s">
        <v>1156</v>
      </c>
      <c r="LA1" s="192" t="s">
        <v>1158</v>
      </c>
      <c r="LB1" s="192" t="s">
        <v>1160</v>
      </c>
      <c r="LC1" s="192" t="s">
        <v>1162</v>
      </c>
      <c r="LD1" s="192" t="s">
        <v>1164</v>
      </c>
      <c r="LE1" s="192" t="s">
        <v>1166</v>
      </c>
      <c r="LF1" s="192" t="s">
        <v>1168</v>
      </c>
      <c r="LG1" s="189"/>
      <c r="LH1" s="201"/>
      <c r="LI1" s="192" t="s">
        <v>408</v>
      </c>
      <c r="LJ1" s="192" t="s">
        <v>1044</v>
      </c>
      <c r="LK1" s="192" t="s">
        <v>1046</v>
      </c>
      <c r="LL1" s="192" t="s">
        <v>1048</v>
      </c>
      <c r="LM1" s="189"/>
      <c r="LN1" s="201"/>
      <c r="LO1" s="192" t="s">
        <v>411</v>
      </c>
      <c r="LP1" s="192" t="s">
        <v>412</v>
      </c>
      <c r="LQ1" s="201"/>
      <c r="LR1" s="192" t="s">
        <v>414</v>
      </c>
      <c r="LS1" s="192" t="s">
        <v>1188</v>
      </c>
      <c r="LT1" s="192" t="s">
        <v>1190</v>
      </c>
      <c r="LU1" s="192" t="s">
        <v>1191</v>
      </c>
      <c r="LV1" s="192" t="s">
        <v>1193</v>
      </c>
      <c r="LW1" s="192" t="s">
        <v>1194</v>
      </c>
      <c r="LX1" s="192" t="s">
        <v>1196</v>
      </c>
      <c r="LY1" s="192" t="s">
        <v>1198</v>
      </c>
      <c r="LZ1" s="192" t="s">
        <v>1200</v>
      </c>
      <c r="MA1" s="192" t="s">
        <v>1202</v>
      </c>
      <c r="MB1" s="192" t="s">
        <v>415</v>
      </c>
      <c r="MC1" s="192" t="s">
        <v>1205</v>
      </c>
      <c r="MD1" s="192" t="s">
        <v>1206</v>
      </c>
      <c r="ME1" s="192" t="s">
        <v>1208</v>
      </c>
      <c r="MF1" s="192" t="s">
        <v>416</v>
      </c>
      <c r="MG1" s="192" t="s">
        <v>1211</v>
      </c>
      <c r="MH1" s="192" t="s">
        <v>1212</v>
      </c>
      <c r="MI1" s="192" t="s">
        <v>1214</v>
      </c>
      <c r="MJ1" s="192" t="s">
        <v>1216</v>
      </c>
      <c r="MK1" s="192" t="s">
        <v>417</v>
      </c>
      <c r="ML1" s="192" t="s">
        <v>1219</v>
      </c>
      <c r="MM1" s="192" t="s">
        <v>1221</v>
      </c>
      <c r="MN1" s="192" t="s">
        <v>1223</v>
      </c>
      <c r="MO1" s="192" t="s">
        <v>1225</v>
      </c>
      <c r="MP1" s="192" t="s">
        <v>418</v>
      </c>
      <c r="MQ1" s="192" t="s">
        <v>1228</v>
      </c>
      <c r="MR1" s="192" t="s">
        <v>1230</v>
      </c>
      <c r="MS1" s="192" t="s">
        <v>1232</v>
      </c>
      <c r="MT1" s="192" t="s">
        <v>1234</v>
      </c>
      <c r="MU1" s="192" t="s">
        <v>1236</v>
      </c>
      <c r="MV1" s="192" t="s">
        <v>1238</v>
      </c>
      <c r="MW1" s="192" t="s">
        <v>1240</v>
      </c>
      <c r="MX1" s="192" t="s">
        <v>1242</v>
      </c>
      <c r="MY1" s="192" t="s">
        <v>1244</v>
      </c>
      <c r="MZ1" s="192" t="s">
        <v>1246</v>
      </c>
      <c r="NA1" s="192" t="s">
        <v>1248</v>
      </c>
      <c r="NB1" s="192" t="s">
        <v>1249</v>
      </c>
      <c r="NC1" s="201"/>
      <c r="ND1" s="192" t="s">
        <v>420</v>
      </c>
      <c r="NE1" s="192" t="s">
        <v>1251</v>
      </c>
      <c r="NF1" s="192" t="s">
        <v>1253</v>
      </c>
      <c r="NG1" s="192" t="s">
        <v>1255</v>
      </c>
      <c r="NH1" s="192" t="s">
        <v>1257</v>
      </c>
      <c r="NI1" s="201"/>
      <c r="NJ1" s="192" t="s">
        <v>422</v>
      </c>
      <c r="NK1" s="192" t="s">
        <v>1258</v>
      </c>
      <c r="NL1" s="192" t="s">
        <v>423</v>
      </c>
      <c r="NM1" s="192" t="s">
        <v>1260</v>
      </c>
      <c r="NN1" s="192" t="s">
        <v>1262</v>
      </c>
      <c r="NO1" s="192" t="s">
        <v>424</v>
      </c>
      <c r="NP1" s="192" t="s">
        <v>1264</v>
      </c>
      <c r="NQ1" s="192" t="s">
        <v>1266</v>
      </c>
      <c r="NR1" s="189"/>
      <c r="NS1" s="201"/>
      <c r="NT1" s="192" t="s">
        <v>425</v>
      </c>
      <c r="NU1" s="192" t="s">
        <v>1170</v>
      </c>
      <c r="NV1" s="192" t="s">
        <v>1172</v>
      </c>
      <c r="NW1" s="192" t="s">
        <v>1174</v>
      </c>
      <c r="NX1" s="192" t="s">
        <v>1176</v>
      </c>
      <c r="NY1" s="192" t="s">
        <v>426</v>
      </c>
      <c r="NZ1" s="192" t="s">
        <v>1178</v>
      </c>
      <c r="OA1" s="192" t="s">
        <v>427</v>
      </c>
      <c r="OB1" s="192" t="s">
        <v>1180</v>
      </c>
      <c r="OC1" s="201"/>
      <c r="OD1" s="192" t="s">
        <v>1182</v>
      </c>
      <c r="OE1" s="192" t="s">
        <v>428</v>
      </c>
      <c r="OF1" s="189"/>
      <c r="OG1" s="201"/>
      <c r="OH1" s="192" t="s">
        <v>1184</v>
      </c>
      <c r="OI1" s="192" t="s">
        <v>1186</v>
      </c>
      <c r="OJ1" s="192" t="s">
        <v>429</v>
      </c>
      <c r="OK1" s="189"/>
      <c r="OL1" s="201"/>
      <c r="OM1" s="192" t="s">
        <v>432</v>
      </c>
      <c r="ON1" s="192" t="s">
        <v>1268</v>
      </c>
      <c r="OO1" s="192" t="s">
        <v>1270</v>
      </c>
      <c r="OP1" s="192" t="s">
        <v>433</v>
      </c>
      <c r="OQ1" s="192" t="s">
        <v>434</v>
      </c>
      <c r="OR1" s="192" t="s">
        <v>1368</v>
      </c>
      <c r="OS1" s="192" t="s">
        <v>1370</v>
      </c>
      <c r="OT1" s="192" t="s">
        <v>1372</v>
      </c>
      <c r="OU1" s="192" t="s">
        <v>1374</v>
      </c>
      <c r="OV1" s="192" t="s">
        <v>1376</v>
      </c>
      <c r="OW1" s="201"/>
      <c r="OX1" s="192" t="s">
        <v>436</v>
      </c>
      <c r="OY1" s="192" t="s">
        <v>1378</v>
      </c>
      <c r="OZ1" s="192" t="s">
        <v>1380</v>
      </c>
      <c r="PA1" s="192" t="s">
        <v>1382</v>
      </c>
      <c r="PB1" s="192" t="s">
        <v>1384</v>
      </c>
      <c r="PC1" s="192" t="s">
        <v>1386</v>
      </c>
      <c r="PD1" s="192" t="s">
        <v>1388</v>
      </c>
      <c r="PE1" s="201"/>
      <c r="PF1" s="192" t="s">
        <v>1390</v>
      </c>
      <c r="PG1" s="192" t="s">
        <v>438</v>
      </c>
      <c r="PH1" s="201"/>
      <c r="PI1" s="192" t="s">
        <v>440</v>
      </c>
      <c r="PJ1" s="192" t="s">
        <v>1420</v>
      </c>
      <c r="PK1" s="192" t="s">
        <v>1422</v>
      </c>
      <c r="PL1" s="201"/>
      <c r="PM1" s="192" t="s">
        <v>442</v>
      </c>
      <c r="PN1" s="192" t="s">
        <v>1424</v>
      </c>
      <c r="PO1" s="192" t="s">
        <v>1425</v>
      </c>
      <c r="PP1" s="192" t="s">
        <v>1426</v>
      </c>
      <c r="PQ1" s="192" t="s">
        <v>1427</v>
      </c>
      <c r="PR1" s="192" t="s">
        <v>1429</v>
      </c>
      <c r="PS1" s="192" t="s">
        <v>1430</v>
      </c>
      <c r="PT1" s="192" t="s">
        <v>1432</v>
      </c>
      <c r="PU1" s="192" t="s">
        <v>1433</v>
      </c>
      <c r="PV1" s="189"/>
      <c r="PW1" s="201"/>
      <c r="PX1" s="192" t="s">
        <v>443</v>
      </c>
      <c r="PY1" s="192" t="s">
        <v>1272</v>
      </c>
      <c r="PZ1" s="192" t="s">
        <v>1274</v>
      </c>
      <c r="QA1" s="192" t="s">
        <v>1276</v>
      </c>
      <c r="QB1" s="192" t="s">
        <v>1278</v>
      </c>
      <c r="QC1" s="192" t="s">
        <v>1280</v>
      </c>
      <c r="QD1" s="192" t="s">
        <v>1282</v>
      </c>
      <c r="QE1" s="192" t="s">
        <v>1284</v>
      </c>
      <c r="QF1" s="192" t="s">
        <v>1286</v>
      </c>
      <c r="QG1" s="192" t="s">
        <v>1288</v>
      </c>
      <c r="QH1" s="192" t="s">
        <v>1290</v>
      </c>
      <c r="QI1" s="192" t="s">
        <v>1292</v>
      </c>
      <c r="QJ1" s="192" t="s">
        <v>1294</v>
      </c>
      <c r="QK1" s="192" t="s">
        <v>1296</v>
      </c>
      <c r="QL1" s="192" t="s">
        <v>1298</v>
      </c>
      <c r="QM1" s="192" t="s">
        <v>1300</v>
      </c>
      <c r="QN1" s="192" t="s">
        <v>1302</v>
      </c>
      <c r="QO1" s="192" t="s">
        <v>1304</v>
      </c>
      <c r="QP1" s="192" t="s">
        <v>1306</v>
      </c>
      <c r="QQ1" s="192" t="s">
        <v>1308</v>
      </c>
      <c r="QR1" s="192" t="s">
        <v>1310</v>
      </c>
      <c r="QS1" s="192" t="s">
        <v>1312</v>
      </c>
      <c r="QT1" s="192" t="s">
        <v>1314</v>
      </c>
      <c r="QU1" s="192" t="s">
        <v>444</v>
      </c>
      <c r="QV1" s="192" t="s">
        <v>1317</v>
      </c>
      <c r="QW1" s="192" t="s">
        <v>1319</v>
      </c>
      <c r="QX1" s="192" t="s">
        <v>1320</v>
      </c>
      <c r="QY1" s="192" t="s">
        <v>1322</v>
      </c>
      <c r="QZ1" s="192" t="s">
        <v>1324</v>
      </c>
      <c r="RA1" s="192" t="s">
        <v>1326</v>
      </c>
      <c r="RB1" s="192" t="s">
        <v>1328</v>
      </c>
      <c r="RC1" s="192" t="s">
        <v>1330</v>
      </c>
      <c r="RD1" s="192" t="s">
        <v>1332</v>
      </c>
      <c r="RE1" s="192" t="s">
        <v>1334</v>
      </c>
      <c r="RF1" s="192" t="s">
        <v>1336</v>
      </c>
      <c r="RG1" s="192" t="s">
        <v>1338</v>
      </c>
      <c r="RH1" s="192" t="s">
        <v>1340</v>
      </c>
      <c r="RI1" s="192" t="s">
        <v>1342</v>
      </c>
      <c r="RJ1" s="192" t="s">
        <v>1344</v>
      </c>
      <c r="RK1" s="192" t="s">
        <v>1346</v>
      </c>
      <c r="RL1" s="192" t="s">
        <v>1348</v>
      </c>
      <c r="RM1" s="192" t="s">
        <v>1350</v>
      </c>
      <c r="RN1" s="192" t="s">
        <v>1352</v>
      </c>
      <c r="RO1" s="192" t="s">
        <v>1354</v>
      </c>
      <c r="RP1" s="192" t="s">
        <v>1356</v>
      </c>
      <c r="RQ1" s="192" t="s">
        <v>1358</v>
      </c>
      <c r="RR1" s="192" t="s">
        <v>1360</v>
      </c>
      <c r="RS1" s="192" t="s">
        <v>1362</v>
      </c>
      <c r="RT1" s="192" t="s">
        <v>1364</v>
      </c>
      <c r="RU1" s="192" t="s">
        <v>1366</v>
      </c>
      <c r="RV1" s="189"/>
      <c r="RW1" s="201"/>
      <c r="RX1" s="192" t="s">
        <v>445</v>
      </c>
      <c r="RY1" s="192" t="s">
        <v>1392</v>
      </c>
      <c r="RZ1" s="192" t="s">
        <v>1394</v>
      </c>
      <c r="SA1" s="192" t="s">
        <v>1396</v>
      </c>
      <c r="SB1" s="192" t="s">
        <v>1398</v>
      </c>
      <c r="SC1" s="192" t="s">
        <v>1400</v>
      </c>
      <c r="SD1" s="192" t="s">
        <v>1402</v>
      </c>
      <c r="SE1" s="192" t="s">
        <v>1404</v>
      </c>
      <c r="SF1" s="192" t="s">
        <v>1406</v>
      </c>
      <c r="SG1" s="192" t="s">
        <v>1408</v>
      </c>
      <c r="SH1" s="192" t="s">
        <v>1410</v>
      </c>
      <c r="SI1" s="192" t="s">
        <v>1412</v>
      </c>
      <c r="SJ1" s="192" t="s">
        <v>1414</v>
      </c>
      <c r="SK1" s="192" t="s">
        <v>1416</v>
      </c>
      <c r="SL1" s="192" t="s">
        <v>1418</v>
      </c>
      <c r="SM1" s="189"/>
      <c r="SN1" s="201"/>
      <c r="SO1" s="192" t="s">
        <v>448</v>
      </c>
      <c r="SP1" s="192" t="s">
        <v>1435</v>
      </c>
      <c r="SQ1" s="192" t="s">
        <v>1437</v>
      </c>
      <c r="SR1" s="192" t="s">
        <v>449</v>
      </c>
      <c r="SS1" s="192" t="s">
        <v>1439</v>
      </c>
      <c r="ST1" s="192" t="s">
        <v>1441</v>
      </c>
      <c r="SU1" s="192" t="s">
        <v>1443</v>
      </c>
      <c r="SV1" s="192" t="s">
        <v>1445</v>
      </c>
      <c r="SW1" s="201"/>
      <c r="SX1" s="192" t="s">
        <v>451</v>
      </c>
      <c r="SY1" s="192" t="s">
        <v>1447</v>
      </c>
      <c r="SZ1" s="192" t="s">
        <v>1449</v>
      </c>
      <c r="TA1" s="192" t="s">
        <v>1451</v>
      </c>
      <c r="TB1" s="192" t="s">
        <v>1453</v>
      </c>
      <c r="TC1" s="192" t="s">
        <v>1455</v>
      </c>
      <c r="TD1" s="192" t="s">
        <v>1457</v>
      </c>
      <c r="TE1" s="192" t="s">
        <v>1459</v>
      </c>
      <c r="TF1" s="192" t="s">
        <v>1461</v>
      </c>
      <c r="TG1" s="192" t="s">
        <v>1463</v>
      </c>
      <c r="TH1" s="192" t="s">
        <v>1465</v>
      </c>
      <c r="TI1" s="192" t="s">
        <v>1467</v>
      </c>
      <c r="TJ1" s="192" t="s">
        <v>1469</v>
      </c>
      <c r="TK1" s="192" t="s">
        <v>1471</v>
      </c>
      <c r="TL1" s="192" t="s">
        <v>1473</v>
      </c>
      <c r="TM1" s="192" t="s">
        <v>1475</v>
      </c>
      <c r="TN1" s="189"/>
      <c r="TO1" s="201"/>
      <c r="TP1" s="192" t="s">
        <v>454</v>
      </c>
      <c r="TQ1" s="192" t="s">
        <v>1477</v>
      </c>
      <c r="TR1" s="192" t="s">
        <v>1479</v>
      </c>
      <c r="TS1" s="192" t="s">
        <v>1481</v>
      </c>
      <c r="TT1" s="192" t="s">
        <v>1483</v>
      </c>
      <c r="TU1" s="192" t="s">
        <v>1485</v>
      </c>
      <c r="TV1" s="192" t="s">
        <v>455</v>
      </c>
      <c r="TW1" s="192" t="s">
        <v>1487</v>
      </c>
      <c r="TX1" s="192" t="s">
        <v>1489</v>
      </c>
      <c r="TY1" s="192" t="s">
        <v>1491</v>
      </c>
      <c r="TZ1" s="192" t="s">
        <v>1493</v>
      </c>
      <c r="UA1" s="192" t="s">
        <v>1495</v>
      </c>
      <c r="UB1" s="192" t="s">
        <v>1497</v>
      </c>
      <c r="UC1" s="201"/>
      <c r="UD1" s="192" t="s">
        <v>457</v>
      </c>
      <c r="UE1" s="189"/>
      <c r="UF1" s="201"/>
      <c r="UG1" s="192" t="s">
        <v>458</v>
      </c>
      <c r="UH1" s="192" t="s">
        <v>1499</v>
      </c>
      <c r="UI1" s="192" t="s">
        <v>1501</v>
      </c>
      <c r="UJ1" s="192" t="s">
        <v>1502</v>
      </c>
      <c r="UK1" s="192" t="s">
        <v>1504</v>
      </c>
      <c r="UL1" s="192" t="s">
        <v>1506</v>
      </c>
      <c r="UM1" s="192" t="s">
        <v>1508</v>
      </c>
      <c r="UN1" s="192" t="s">
        <v>1510</v>
      </c>
      <c r="UO1" s="192" t="s">
        <v>1512</v>
      </c>
      <c r="UP1" s="192" t="s">
        <v>1514</v>
      </c>
      <c r="UQ1" s="192" t="s">
        <v>1516</v>
      </c>
      <c r="UR1" s="192" t="s">
        <v>1518</v>
      </c>
      <c r="US1" s="192" t="s">
        <v>1520</v>
      </c>
      <c r="UT1" s="192" t="s">
        <v>1522</v>
      </c>
      <c r="UU1" s="192" t="s">
        <v>1524</v>
      </c>
      <c r="UV1" s="192" t="s">
        <v>1526</v>
      </c>
      <c r="UW1" s="192" t="s">
        <v>1528</v>
      </c>
      <c r="UX1" s="189"/>
      <c r="UY1" s="192" t="s">
        <v>1532</v>
      </c>
      <c r="UZ1" s="192" t="s">
        <v>1534</v>
      </c>
      <c r="VA1" s="192" t="s">
        <v>1536</v>
      </c>
      <c r="VB1" s="192" t="s">
        <v>1538</v>
      </c>
      <c r="VC1" s="192" t="s">
        <v>1540</v>
      </c>
      <c r="VD1" s="195"/>
    </row>
    <row r="2" spans="1:576" s="132" customFormat="1" hidden="1" x14ac:dyDescent="0.25">
      <c r="A2" s="135" t="s">
        <v>201</v>
      </c>
      <c r="B2" s="135" t="s">
        <v>187</v>
      </c>
      <c r="C2" s="135" t="s">
        <v>558</v>
      </c>
      <c r="D2" s="135" t="s">
        <v>202</v>
      </c>
      <c r="E2" s="135" t="s">
        <v>166</v>
      </c>
      <c r="F2" s="135" t="s">
        <v>559</v>
      </c>
      <c r="G2" s="209" t="s">
        <v>203</v>
      </c>
      <c r="H2" s="209" t="s">
        <v>560</v>
      </c>
      <c r="I2" s="209" t="s">
        <v>561</v>
      </c>
      <c r="J2" s="209" t="s">
        <v>204</v>
      </c>
      <c r="K2" s="209" t="s">
        <v>562</v>
      </c>
      <c r="R2" s="132" t="s">
        <v>206</v>
      </c>
      <c r="S2" s="132" t="s">
        <v>207</v>
      </c>
      <c r="U2" s="132" t="s">
        <v>475</v>
      </c>
      <c r="V2" s="132" t="s">
        <v>493</v>
      </c>
      <c r="W2" s="132" t="s">
        <v>476</v>
      </c>
      <c r="X2" s="132" t="s">
        <v>477</v>
      </c>
      <c r="Y2" s="132" t="s">
        <v>478</v>
      </c>
      <c r="Z2" s="132" t="s">
        <v>479</v>
      </c>
      <c r="AA2" s="132" t="s">
        <v>480</v>
      </c>
      <c r="AB2" s="132" t="s">
        <v>481</v>
      </c>
      <c r="AC2" s="132" t="s">
        <v>482</v>
      </c>
      <c r="AD2" s="132" t="s">
        <v>483</v>
      </c>
      <c r="AE2" s="132" t="s">
        <v>484</v>
      </c>
      <c r="AF2" s="132" t="s">
        <v>485</v>
      </c>
      <c r="AH2" s="225" t="s">
        <v>504</v>
      </c>
      <c r="AI2" s="225" t="s">
        <v>505</v>
      </c>
      <c r="AJ2" s="225" t="s">
        <v>506</v>
      </c>
      <c r="AK2" s="225" t="s">
        <v>507</v>
      </c>
      <c r="AL2" s="225" t="s">
        <v>508</v>
      </c>
      <c r="AM2" s="225" t="s">
        <v>511</v>
      </c>
      <c r="AN2" s="225" t="s">
        <v>509</v>
      </c>
      <c r="AO2" s="225" t="s">
        <v>510</v>
      </c>
      <c r="AP2" s="225" t="s">
        <v>512</v>
      </c>
      <c r="AQ2" s="225" t="s">
        <v>513</v>
      </c>
      <c r="AR2" s="225" t="s">
        <v>514</v>
      </c>
      <c r="AS2" s="225" t="s">
        <v>515</v>
      </c>
      <c r="AT2" s="225" t="s">
        <v>516</v>
      </c>
      <c r="AU2" s="225" t="s">
        <v>517</v>
      </c>
      <c r="AV2" s="225" t="s">
        <v>518</v>
      </c>
      <c r="AW2" s="225" t="s">
        <v>519</v>
      </c>
      <c r="AX2" s="225" t="s">
        <v>520</v>
      </c>
      <c r="AY2" s="225" t="s">
        <v>521</v>
      </c>
      <c r="AZ2" s="225" t="s">
        <v>522</v>
      </c>
      <c r="BA2" s="225" t="s">
        <v>523</v>
      </c>
      <c r="BB2" s="225" t="s">
        <v>524</v>
      </c>
      <c r="BC2" s="225" t="s">
        <v>525</v>
      </c>
      <c r="BD2" s="225" t="s">
        <v>526</v>
      </c>
      <c r="BE2" s="225" t="s">
        <v>527</v>
      </c>
      <c r="BF2" s="225" t="s">
        <v>528</v>
      </c>
      <c r="BG2" s="225" t="s">
        <v>529</v>
      </c>
      <c r="BH2" s="225" t="s">
        <v>530</v>
      </c>
      <c r="BI2" s="225" t="s">
        <v>531</v>
      </c>
      <c r="BJ2" s="225" t="s">
        <v>532</v>
      </c>
      <c r="BK2" s="225" t="s">
        <v>533</v>
      </c>
      <c r="BL2" s="225" t="s">
        <v>534</v>
      </c>
      <c r="BM2" s="225" t="s">
        <v>535</v>
      </c>
      <c r="BN2" s="225" t="s">
        <v>536</v>
      </c>
      <c r="BO2" s="225" t="s">
        <v>537</v>
      </c>
      <c r="BP2" s="225" t="s">
        <v>538</v>
      </c>
      <c r="BQ2" s="225" t="s">
        <v>539</v>
      </c>
      <c r="BR2" s="225" t="s">
        <v>540</v>
      </c>
      <c r="BS2" s="225" t="s">
        <v>541</v>
      </c>
      <c r="BT2" s="225" t="s">
        <v>542</v>
      </c>
      <c r="BU2" s="225" t="s">
        <v>543</v>
      </c>
    </row>
    <row r="3" spans="1:576" s="132" customFormat="1" hidden="1" x14ac:dyDescent="0.25">
      <c r="A3" s="163"/>
      <c r="B3" s="163"/>
      <c r="C3" s="163"/>
      <c r="D3" s="163"/>
      <c r="E3" s="163"/>
      <c r="F3" s="163"/>
      <c r="G3" s="165"/>
      <c r="H3" s="165"/>
      <c r="I3" s="165"/>
      <c r="J3" s="165"/>
      <c r="K3" s="165"/>
      <c r="AH3" s="226">
        <v>2500</v>
      </c>
      <c r="AI3" s="226">
        <v>1900</v>
      </c>
      <c r="AJ3" s="226">
        <v>1650</v>
      </c>
      <c r="AK3" s="226">
        <v>1580</v>
      </c>
      <c r="AL3" s="226">
        <v>2250</v>
      </c>
      <c r="AM3" s="226">
        <v>1650</v>
      </c>
      <c r="AN3" s="226">
        <v>1400</v>
      </c>
      <c r="AO3" s="227">
        <v>1340</v>
      </c>
      <c r="AP3" s="227">
        <v>2000</v>
      </c>
      <c r="AQ3" s="227">
        <v>1400</v>
      </c>
      <c r="AR3" s="227">
        <v>1150</v>
      </c>
      <c r="AS3" s="227">
        <v>1100</v>
      </c>
      <c r="AT3" s="227">
        <v>1750</v>
      </c>
      <c r="AU3" s="227">
        <v>1150</v>
      </c>
      <c r="AV3" s="227">
        <v>900</v>
      </c>
      <c r="AW3" s="227">
        <v>860</v>
      </c>
      <c r="AX3" s="227">
        <v>1200</v>
      </c>
      <c r="AY3" s="132">
        <v>900</v>
      </c>
      <c r="AZ3" s="132">
        <v>650</v>
      </c>
      <c r="BA3" s="132">
        <v>620</v>
      </c>
      <c r="BB3" s="226">
        <v>5355</v>
      </c>
      <c r="BC3" s="226">
        <v>4935</v>
      </c>
      <c r="BD3" s="226">
        <v>6300</v>
      </c>
      <c r="BE3" s="226">
        <v>5880</v>
      </c>
      <c r="BF3" s="226">
        <v>4725</v>
      </c>
      <c r="BG3" s="226">
        <v>4305</v>
      </c>
      <c r="BH3" s="226">
        <v>5670</v>
      </c>
      <c r="BI3" s="227">
        <v>5250</v>
      </c>
      <c r="BJ3" s="227">
        <v>4095</v>
      </c>
      <c r="BK3" s="227">
        <v>3780</v>
      </c>
      <c r="BL3" s="227">
        <v>5040</v>
      </c>
      <c r="BM3" s="227">
        <v>4620</v>
      </c>
      <c r="BN3" s="227">
        <v>3465</v>
      </c>
      <c r="BO3" s="227">
        <v>3150</v>
      </c>
      <c r="BP3" s="227">
        <v>4410</v>
      </c>
      <c r="BQ3" s="227">
        <v>4095</v>
      </c>
      <c r="BR3" s="227">
        <v>3045</v>
      </c>
      <c r="BS3" s="132">
        <v>2835</v>
      </c>
      <c r="BT3" s="132">
        <v>3885</v>
      </c>
      <c r="BU3" s="132">
        <v>3570</v>
      </c>
    </row>
    <row r="5" spans="1:576" ht="60" customHeight="1" x14ac:dyDescent="0.25">
      <c r="C5" s="207" t="s">
        <v>328</v>
      </c>
      <c r="D5" s="179">
        <f>SUMIF(C:C,$C$10,D:D)</f>
        <v>1266176</v>
      </c>
    </row>
    <row r="6" spans="1:576" x14ac:dyDescent="0.25">
      <c r="C6" s="69"/>
      <c r="D6" s="69"/>
      <c r="E6" s="69"/>
      <c r="F6" s="69"/>
      <c r="G6" s="69"/>
      <c r="H6" s="87"/>
      <c r="I6" s="69"/>
      <c r="J6" s="69"/>
    </row>
    <row r="7" spans="1:576" x14ac:dyDescent="0.25">
      <c r="C7" s="69" t="s">
        <v>41</v>
      </c>
      <c r="D7" s="69"/>
      <c r="E7" s="69"/>
      <c r="F7" s="69"/>
      <c r="G7" s="69"/>
      <c r="H7" s="87"/>
      <c r="I7" s="69"/>
      <c r="J7" s="69"/>
    </row>
    <row r="8" spans="1:576" x14ac:dyDescent="0.25">
      <c r="C8" s="69" t="s">
        <v>42</v>
      </c>
      <c r="D8" s="69"/>
      <c r="E8" s="69"/>
      <c r="F8" s="69"/>
      <c r="G8" s="69"/>
      <c r="H8" s="87"/>
      <c r="I8" s="69"/>
      <c r="J8" s="69"/>
    </row>
    <row r="9" spans="1:576" ht="15.75" thickBot="1" x14ac:dyDescent="0.3">
      <c r="B9" s="103"/>
      <c r="C9" s="188"/>
      <c r="D9" s="188"/>
      <c r="E9" s="188"/>
      <c r="F9" s="188"/>
      <c r="G9" s="188"/>
      <c r="H9" s="87"/>
      <c r="I9" s="188"/>
      <c r="J9" s="188"/>
      <c r="K9" s="122"/>
    </row>
    <row r="10" spans="1:576" ht="15.75" thickBot="1" x14ac:dyDescent="0.3">
      <c r="B10" s="103"/>
      <c r="C10" s="29" t="s">
        <v>43</v>
      </c>
      <c r="D10" s="30">
        <f>SUM(G17:G26)</f>
        <v>40000</v>
      </c>
      <c r="E10" s="103"/>
      <c r="F10" s="103"/>
      <c r="G10" s="103"/>
      <c r="H10" s="84"/>
      <c r="I10" s="84"/>
      <c r="J10" s="84"/>
      <c r="K10" s="122"/>
    </row>
    <row r="11" spans="1:576" x14ac:dyDescent="0.25">
      <c r="B11" s="103"/>
      <c r="C11" s="69"/>
      <c r="D11" s="31"/>
      <c r="E11" s="103"/>
      <c r="F11" s="103"/>
      <c r="G11" s="103"/>
      <c r="H11" s="84"/>
      <c r="I11" s="84"/>
      <c r="J11" s="84"/>
      <c r="K11" s="122"/>
    </row>
    <row r="12" spans="1:576" x14ac:dyDescent="0.25">
      <c r="B12" s="103"/>
      <c r="C12" s="69"/>
      <c r="D12" s="31"/>
      <c r="E12" s="103"/>
      <c r="F12" s="103"/>
      <c r="G12" s="103"/>
      <c r="H12" s="84"/>
      <c r="I12" s="84"/>
      <c r="J12" s="84"/>
      <c r="K12" s="122"/>
    </row>
    <row r="13" spans="1:576" ht="15.75" x14ac:dyDescent="0.25">
      <c r="B13" s="103"/>
      <c r="C13" s="217" t="s">
        <v>471</v>
      </c>
      <c r="D13" s="218"/>
      <c r="E13" s="103"/>
      <c r="F13" s="103"/>
      <c r="G13" s="192" t="s">
        <v>997</v>
      </c>
      <c r="H13" s="84"/>
      <c r="I13" s="84"/>
      <c r="J13" s="84"/>
      <c r="K13" s="122"/>
    </row>
    <row r="14" spans="1:576" ht="18.75" x14ac:dyDescent="0.25">
      <c r="B14" s="103"/>
      <c r="C14" s="220" t="e">
        <f>IFERROR(VLOOKUP(D13,#REF!,2,FALSE),IFERROR(VLOOKUP(D13,#REF!,2,FALSE),IFERROR(VLOOKUP(D13,#REF!,2,FALSE),IFERROR(VLOOKUP(D13,'Docencia y Recursos Humanos '!$F:$G,2,FALSE),IFERROR(VLOOKUP(D13,Estudiantes!$E:$F,2,FALSE),IFERROR(VLOOKUP(D13,'Gestion Administrativa'!$E:$F,2,FALSE),IFERROR(VLOOKUP(D13,#REF!,2,FALSE),IFERROR(VLOOKUP(D13,#REF!,2,FALSE),IFERROR(VLOOKUP(D13,#REF!,2,FALSE),IFERROR(VLOOKUP(D13,#REF!,2,FALSE),IFERROR(VLOOKUP(D13,#REF!,2,FALSE),VLOOKUP(D13,#REF!,2,0))))))))))))</f>
        <v>#REF!</v>
      </c>
      <c r="D14" s="31"/>
      <c r="E14" s="103"/>
      <c r="F14" s="103"/>
      <c r="G14" s="103"/>
      <c r="H14" s="84"/>
      <c r="I14" s="84"/>
      <c r="J14" s="84"/>
      <c r="K14" s="122"/>
    </row>
    <row r="15" spans="1:576" ht="15.75" thickBot="1" x14ac:dyDescent="0.3">
      <c r="B15" s="103"/>
      <c r="C15" s="69" t="s">
        <v>1657</v>
      </c>
      <c r="D15" s="31"/>
      <c r="E15" s="103"/>
      <c r="F15" s="103"/>
      <c r="G15" s="103"/>
      <c r="H15" s="84"/>
      <c r="I15" s="84"/>
      <c r="J15" s="84"/>
      <c r="K15" s="122"/>
    </row>
    <row r="16" spans="1:576" ht="32.25" customHeight="1" thickBot="1" x14ac:dyDescent="0.3">
      <c r="B16" s="103"/>
      <c r="C16" s="136" t="s">
        <v>44</v>
      </c>
      <c r="D16" s="139" t="s">
        <v>45</v>
      </c>
      <c r="E16" s="138" t="s">
        <v>55</v>
      </c>
      <c r="F16" s="138" t="s">
        <v>57</v>
      </c>
      <c r="G16" s="137" t="s">
        <v>27</v>
      </c>
      <c r="H16" s="143" t="s">
        <v>208</v>
      </c>
      <c r="I16" s="138" t="s">
        <v>46</v>
      </c>
      <c r="J16" s="138" t="s">
        <v>209</v>
      </c>
      <c r="K16" s="138" t="s">
        <v>491</v>
      </c>
      <c r="L16" s="138" t="s">
        <v>492</v>
      </c>
    </row>
    <row r="17" spans="2:12" x14ac:dyDescent="0.25">
      <c r="B17" s="103"/>
      <c r="C17" s="105" t="s">
        <v>47</v>
      </c>
      <c r="D17" s="789">
        <v>400</v>
      </c>
      <c r="E17" s="168"/>
      <c r="F17" s="125">
        <v>20000</v>
      </c>
      <c r="G17" s="107">
        <f t="shared" ref="G17:G25" si="0">E17*F17</f>
        <v>0</v>
      </c>
      <c r="H17" s="171" t="s">
        <v>206</v>
      </c>
      <c r="I17" s="108" t="s">
        <v>355</v>
      </c>
      <c r="J17" s="108" t="str">
        <f>VLOOKUP(I17,Presupuesto!$B$8:$C$584,2,0)</f>
        <v>OTROS SERVICIOS PERSONALES (NUEVA)</v>
      </c>
      <c r="K17" s="231" t="s">
        <v>166</v>
      </c>
      <c r="L17" s="108" t="s">
        <v>475</v>
      </c>
    </row>
    <row r="18" spans="2:12" x14ac:dyDescent="0.25">
      <c r="B18" s="103"/>
      <c r="C18" s="109" t="s">
        <v>48</v>
      </c>
      <c r="D18" s="790"/>
      <c r="E18" s="215"/>
      <c r="F18" s="110">
        <v>50</v>
      </c>
      <c r="G18" s="107">
        <f t="shared" si="0"/>
        <v>0</v>
      </c>
      <c r="H18" s="171" t="s">
        <v>206</v>
      </c>
      <c r="I18" s="108" t="s">
        <v>1540</v>
      </c>
      <c r="J18" s="108" t="str">
        <f>VLOOKUP(I18,Presupuesto!$B$8:$C$584,2,0)</f>
        <v>OTROS INTERESES</v>
      </c>
      <c r="K18" s="108" t="str">
        <f>$K$17</f>
        <v>Estudiantes</v>
      </c>
      <c r="L18" s="108" t="s">
        <v>493</v>
      </c>
    </row>
    <row r="19" spans="2:12" x14ac:dyDescent="0.25">
      <c r="B19" s="103"/>
      <c r="C19" s="109" t="s">
        <v>49</v>
      </c>
      <c r="D19" s="790"/>
      <c r="E19" s="215">
        <v>400</v>
      </c>
      <c r="F19" s="110">
        <v>100</v>
      </c>
      <c r="G19" s="107">
        <f t="shared" si="0"/>
        <v>40000</v>
      </c>
      <c r="H19" s="171" t="s">
        <v>207</v>
      </c>
      <c r="I19" s="108" t="s">
        <v>997</v>
      </c>
      <c r="J19" s="108" t="str">
        <f>VLOOKUP(I19,Presupuesto!$B$8:$C$584,2,0)</f>
        <v>ALIMENTOS B EBIDAS PARA PERSONAS</v>
      </c>
      <c r="K19" s="108" t="s">
        <v>201</v>
      </c>
      <c r="L19" s="108" t="s">
        <v>477</v>
      </c>
    </row>
    <row r="20" spans="2:12" x14ac:dyDescent="0.25">
      <c r="B20" s="103"/>
      <c r="C20" s="109" t="s">
        <v>50</v>
      </c>
      <c r="D20" s="790"/>
      <c r="E20" s="161"/>
      <c r="F20" s="128">
        <v>980</v>
      </c>
      <c r="G20" s="107">
        <f t="shared" si="0"/>
        <v>0</v>
      </c>
      <c r="H20" s="171"/>
      <c r="I20" s="108" t="s">
        <v>1540</v>
      </c>
      <c r="J20" s="108" t="str">
        <f>VLOOKUP(I20,Presupuesto!$B$8:$C$584,2,0)</f>
        <v>OTROS INTERESES</v>
      </c>
      <c r="K20" s="108" t="str">
        <f t="shared" ref="K20:K26" si="1">$K$17</f>
        <v>Estudiantes</v>
      </c>
      <c r="L20" s="108" t="s">
        <v>493</v>
      </c>
    </row>
    <row r="21" spans="2:12" x14ac:dyDescent="0.25">
      <c r="B21" s="103"/>
      <c r="C21" s="109" t="s">
        <v>501</v>
      </c>
      <c r="D21" s="790"/>
      <c r="E21" s="161"/>
      <c r="F21" s="128">
        <v>250</v>
      </c>
      <c r="G21" s="107">
        <f t="shared" si="0"/>
        <v>0</v>
      </c>
      <c r="H21" s="171"/>
      <c r="I21" s="108" t="s">
        <v>1540</v>
      </c>
      <c r="J21" s="108" t="str">
        <f>VLOOKUP(I21,Presupuesto!$B$8:$C$584,2,0)</f>
        <v>OTROS INTERESES</v>
      </c>
      <c r="K21" s="108" t="str">
        <f t="shared" si="1"/>
        <v>Estudiantes</v>
      </c>
      <c r="L21" s="108" t="s">
        <v>493</v>
      </c>
    </row>
    <row r="22" spans="2:12" x14ac:dyDescent="0.25">
      <c r="B22" s="103"/>
      <c r="C22" s="109" t="s">
        <v>51</v>
      </c>
      <c r="D22" s="790"/>
      <c r="E22" s="215"/>
      <c r="F22" s="110">
        <v>85</v>
      </c>
      <c r="G22" s="107">
        <f t="shared" si="0"/>
        <v>0</v>
      </c>
      <c r="H22" s="171"/>
      <c r="I22" s="108" t="s">
        <v>1540</v>
      </c>
      <c r="J22" s="108" t="str">
        <f>VLOOKUP(I22,Presupuesto!$B$8:$C$584,2,0)</f>
        <v>OTROS INTERESES</v>
      </c>
      <c r="K22" s="108" t="str">
        <f t="shared" si="1"/>
        <v>Estudiantes</v>
      </c>
      <c r="L22" s="108" t="s">
        <v>493</v>
      </c>
    </row>
    <row r="23" spans="2:12" x14ac:dyDescent="0.25">
      <c r="B23" s="103"/>
      <c r="C23" s="109" t="s">
        <v>189</v>
      </c>
      <c r="D23" s="790"/>
      <c r="E23" s="215"/>
      <c r="F23" s="110">
        <v>36</v>
      </c>
      <c r="G23" s="107">
        <f t="shared" si="0"/>
        <v>0</v>
      </c>
      <c r="H23" s="171"/>
      <c r="I23" s="108" t="s">
        <v>1540</v>
      </c>
      <c r="J23" s="108" t="str">
        <f>VLOOKUP(I23,Presupuesto!$B$8:$C$584,2,0)</f>
        <v>OTROS INTERESES</v>
      </c>
      <c r="K23" s="108" t="str">
        <f t="shared" si="1"/>
        <v>Estudiantes</v>
      </c>
      <c r="L23" s="108" t="s">
        <v>493</v>
      </c>
    </row>
    <row r="24" spans="2:12" x14ac:dyDescent="0.25">
      <c r="B24" s="103"/>
      <c r="C24" s="109" t="s">
        <v>34</v>
      </c>
      <c r="D24" s="790"/>
      <c r="E24" s="215"/>
      <c r="F24" s="110">
        <v>80</v>
      </c>
      <c r="G24" s="107">
        <f t="shared" si="0"/>
        <v>0</v>
      </c>
      <c r="H24" s="171"/>
      <c r="I24" s="108" t="s">
        <v>1540</v>
      </c>
      <c r="J24" s="108" t="str">
        <f>VLOOKUP(I24,Presupuesto!$B$8:$C$584,2,0)</f>
        <v>OTROS INTERESES</v>
      </c>
      <c r="K24" s="108" t="str">
        <f t="shared" si="1"/>
        <v>Estudiantes</v>
      </c>
      <c r="L24" s="108" t="s">
        <v>493</v>
      </c>
    </row>
    <row r="25" spans="2:12" x14ac:dyDescent="0.25">
      <c r="B25" s="103"/>
      <c r="C25" s="119" t="s">
        <v>52</v>
      </c>
      <c r="D25" s="790"/>
      <c r="E25" s="224"/>
      <c r="F25" s="129">
        <v>25</v>
      </c>
      <c r="G25" s="107">
        <f t="shared" si="0"/>
        <v>0</v>
      </c>
      <c r="H25" s="171"/>
      <c r="I25" s="108" t="s">
        <v>1540</v>
      </c>
      <c r="J25" s="108" t="str">
        <f>VLOOKUP(I25,Presupuesto!$B$8:$C$584,2,0)</f>
        <v>OTROS INTERESES</v>
      </c>
      <c r="K25" s="108" t="str">
        <f t="shared" si="1"/>
        <v>Estudiantes</v>
      </c>
      <c r="L25" s="108" t="s">
        <v>493</v>
      </c>
    </row>
    <row r="26" spans="2:12" ht="15.75" thickBot="1" x14ac:dyDescent="0.3">
      <c r="B26" s="103"/>
      <c r="C26" s="228" t="s">
        <v>512</v>
      </c>
      <c r="D26" s="229"/>
      <c r="E26" s="230"/>
      <c r="F26" s="114">
        <f>HLOOKUP(C26,$AH$2:$BU$3,2,0)</f>
        <v>2000</v>
      </c>
      <c r="G26" s="115">
        <f>D26*E26*F26</f>
        <v>0</v>
      </c>
      <c r="H26" s="171"/>
      <c r="I26" s="108" t="s">
        <v>1540</v>
      </c>
      <c r="J26" s="116" t="str">
        <f>VLOOKUP(I26,Presupuesto!$B$8:$C$584,2,0)</f>
        <v>OTROS INTERESES</v>
      </c>
      <c r="K26" s="108" t="str">
        <f t="shared" si="1"/>
        <v>Estudiantes</v>
      </c>
      <c r="L26" s="108" t="s">
        <v>493</v>
      </c>
    </row>
    <row r="27" spans="2:12" ht="15.75" thickBot="1" x14ac:dyDescent="0.3">
      <c r="B27" s="103"/>
      <c r="C27" s="103"/>
      <c r="E27" s="122"/>
      <c r="F27" s="122"/>
      <c r="G27" s="122"/>
      <c r="H27" s="185"/>
      <c r="I27" s="122"/>
      <c r="J27" s="122"/>
      <c r="K27" s="122"/>
    </row>
    <row r="28" spans="2:12" ht="15.75" thickBot="1" x14ac:dyDescent="0.3">
      <c r="C28" s="29" t="s">
        <v>43</v>
      </c>
      <c r="D28" s="30">
        <f>SUM(G35:G44)</f>
        <v>24300</v>
      </c>
      <c r="E28" s="103"/>
      <c r="F28" s="103"/>
      <c r="G28" s="103"/>
      <c r="H28" s="84"/>
      <c r="I28" s="84"/>
      <c r="J28" s="84"/>
      <c r="K28" s="122"/>
    </row>
    <row r="29" spans="2:12" x14ac:dyDescent="0.25">
      <c r="C29" s="69"/>
      <c r="D29" s="31"/>
      <c r="E29" s="103"/>
      <c r="F29" s="103"/>
      <c r="G29" s="103"/>
      <c r="H29" s="84"/>
      <c r="I29" s="84"/>
      <c r="J29" s="84"/>
      <c r="K29" s="122"/>
    </row>
    <row r="30" spans="2:12" x14ac:dyDescent="0.25">
      <c r="C30" s="69"/>
      <c r="D30" s="31"/>
      <c r="E30" s="103"/>
      <c r="F30" s="103"/>
      <c r="G30" s="103"/>
      <c r="H30" s="84"/>
      <c r="I30" s="84"/>
      <c r="J30" s="84"/>
      <c r="K30" s="122"/>
    </row>
    <row r="31" spans="2:12" ht="15.75" x14ac:dyDescent="0.25">
      <c r="C31" s="217" t="s">
        <v>471</v>
      </c>
      <c r="D31" s="218"/>
      <c r="E31" s="103"/>
      <c r="F31" s="103"/>
      <c r="G31" s="103"/>
      <c r="H31" s="84"/>
      <c r="I31" s="84"/>
      <c r="J31" s="84"/>
      <c r="K31" s="122"/>
    </row>
    <row r="32" spans="2:12" ht="18.75" x14ac:dyDescent="0.25">
      <c r="C32" s="220" t="e">
        <f>IFERROR(VLOOKUP(D31,#REF!,2,FALSE),IFERROR(VLOOKUP(D31,#REF!,2,FALSE),IFERROR(VLOOKUP(D31,#REF!,2,FALSE),IFERROR(VLOOKUP(D31,'Docencia y Recursos Humanos '!$F:$G,2,FALSE),IFERROR(VLOOKUP(D31,Estudiantes!$E:$F,2,FALSE),IFERROR(VLOOKUP(D31,'Gestion Administrativa'!$E:$F,2,FALSE),IFERROR(VLOOKUP(D31,#REF!,2,FALSE),IFERROR(VLOOKUP(D31,#REF!,2,FALSE),IFERROR(VLOOKUP(D31,#REF!,2,FALSE),IFERROR(VLOOKUP(D31,#REF!,2,FALSE),IFERROR(VLOOKUP(D31,#REF!,2,FALSE),VLOOKUP(D31,#REF!,2,0))))))))))))</f>
        <v>#REF!</v>
      </c>
      <c r="D32" s="31"/>
      <c r="E32" s="103"/>
      <c r="F32" s="103"/>
      <c r="G32" s="103"/>
      <c r="H32" s="84"/>
      <c r="I32" s="84"/>
      <c r="J32" s="84"/>
      <c r="K32" s="122"/>
    </row>
    <row r="33" spans="3:12" ht="15.75" thickBot="1" x14ac:dyDescent="0.3">
      <c r="C33" s="69" t="s">
        <v>1657</v>
      </c>
      <c r="D33" s="31"/>
      <c r="E33" s="103"/>
      <c r="F33" s="103"/>
      <c r="G33" s="103"/>
      <c r="H33" s="84"/>
      <c r="I33" s="84"/>
      <c r="J33" s="84"/>
      <c r="K33" s="122"/>
    </row>
    <row r="34" spans="3:12" ht="30.75" thickBot="1" x14ac:dyDescent="0.3">
      <c r="C34" s="136" t="s">
        <v>44</v>
      </c>
      <c r="D34" s="139" t="s">
        <v>45</v>
      </c>
      <c r="E34" s="138" t="s">
        <v>55</v>
      </c>
      <c r="F34" s="138" t="s">
        <v>57</v>
      </c>
      <c r="G34" s="137" t="s">
        <v>27</v>
      </c>
      <c r="H34" s="143" t="s">
        <v>208</v>
      </c>
      <c r="I34" s="138" t="s">
        <v>46</v>
      </c>
      <c r="J34" s="138" t="s">
        <v>209</v>
      </c>
      <c r="K34" s="138" t="s">
        <v>491</v>
      </c>
      <c r="L34" s="138" t="s">
        <v>492</v>
      </c>
    </row>
    <row r="35" spans="3:12" x14ac:dyDescent="0.25">
      <c r="C35" s="105" t="s">
        <v>47</v>
      </c>
      <c r="D35" s="789">
        <v>162</v>
      </c>
      <c r="E35" s="168"/>
      <c r="F35" s="125">
        <v>20000</v>
      </c>
      <c r="G35" s="107">
        <f t="shared" ref="G35:G43" si="2">E35*F35</f>
        <v>0</v>
      </c>
      <c r="H35" s="171" t="s">
        <v>206</v>
      </c>
      <c r="I35" s="108" t="s">
        <v>355</v>
      </c>
      <c r="J35" s="108" t="str">
        <f>VLOOKUP(I35,Presupuesto!$B$8:$C$584,2,0)</f>
        <v>OTROS SERVICIOS PERSONALES (NUEVA)</v>
      </c>
      <c r="K35" s="231" t="s">
        <v>166</v>
      </c>
      <c r="L35" s="108" t="s">
        <v>475</v>
      </c>
    </row>
    <row r="36" spans="3:12" x14ac:dyDescent="0.25">
      <c r="C36" s="109" t="s">
        <v>48</v>
      </c>
      <c r="D36" s="790"/>
      <c r="E36" s="215"/>
      <c r="F36" s="110">
        <v>50</v>
      </c>
      <c r="G36" s="107">
        <f t="shared" si="2"/>
        <v>0</v>
      </c>
      <c r="H36" s="171" t="s">
        <v>206</v>
      </c>
      <c r="I36" s="108" t="s">
        <v>1540</v>
      </c>
      <c r="J36" s="108" t="str">
        <f>VLOOKUP(I36,Presupuesto!$B$8:$C$584,2,0)</f>
        <v>OTROS INTERESES</v>
      </c>
      <c r="K36" s="108" t="str">
        <f>$K$17</f>
        <v>Estudiantes</v>
      </c>
      <c r="L36" s="108" t="s">
        <v>493</v>
      </c>
    </row>
    <row r="37" spans="3:12" x14ac:dyDescent="0.25">
      <c r="C37" s="109" t="s">
        <v>49</v>
      </c>
      <c r="D37" s="790"/>
      <c r="E37" s="215">
        <v>162</v>
      </c>
      <c r="F37" s="110">
        <v>150</v>
      </c>
      <c r="G37" s="107">
        <f t="shared" si="2"/>
        <v>24300</v>
      </c>
      <c r="H37" s="171" t="s">
        <v>207</v>
      </c>
      <c r="I37" s="108" t="s">
        <v>390</v>
      </c>
      <c r="J37" s="108" t="str">
        <f>VLOOKUP(I37,Presupuesto!$B$8:$C$584,2,0)</f>
        <v>ALIMENTOS Y BEBIDAS PARA PERSONAS (31100-00)</v>
      </c>
      <c r="K37" s="108" t="s">
        <v>201</v>
      </c>
      <c r="L37" s="108" t="s">
        <v>493</v>
      </c>
    </row>
    <row r="38" spans="3:12" x14ac:dyDescent="0.25">
      <c r="C38" s="109" t="s">
        <v>50</v>
      </c>
      <c r="D38" s="790"/>
      <c r="E38" s="161"/>
      <c r="F38" s="128">
        <v>980</v>
      </c>
      <c r="G38" s="107">
        <f t="shared" si="2"/>
        <v>0</v>
      </c>
      <c r="H38" s="171"/>
      <c r="I38" s="108" t="s">
        <v>1540</v>
      </c>
      <c r="J38" s="108" t="str">
        <f>VLOOKUP(I38,Presupuesto!$B$8:$C$584,2,0)</f>
        <v>OTROS INTERESES</v>
      </c>
      <c r="K38" s="108" t="str">
        <f t="shared" ref="K38:K44" si="3">$K$17</f>
        <v>Estudiantes</v>
      </c>
      <c r="L38" s="108" t="s">
        <v>493</v>
      </c>
    </row>
    <row r="39" spans="3:12" x14ac:dyDescent="0.25">
      <c r="C39" s="109" t="s">
        <v>501</v>
      </c>
      <c r="D39" s="790"/>
      <c r="E39" s="161"/>
      <c r="F39" s="128">
        <v>250</v>
      </c>
      <c r="G39" s="107">
        <f t="shared" si="2"/>
        <v>0</v>
      </c>
      <c r="H39" s="171"/>
      <c r="I39" s="108" t="s">
        <v>1540</v>
      </c>
      <c r="J39" s="108" t="str">
        <f>VLOOKUP(I39,Presupuesto!$B$8:$C$584,2,0)</f>
        <v>OTROS INTERESES</v>
      </c>
      <c r="K39" s="108" t="str">
        <f t="shared" si="3"/>
        <v>Estudiantes</v>
      </c>
      <c r="L39" s="108" t="s">
        <v>493</v>
      </c>
    </row>
    <row r="40" spans="3:12" x14ac:dyDescent="0.25">
      <c r="C40" s="109" t="s">
        <v>51</v>
      </c>
      <c r="D40" s="790"/>
      <c r="E40" s="215"/>
      <c r="F40" s="110">
        <v>85</v>
      </c>
      <c r="G40" s="107">
        <f t="shared" si="2"/>
        <v>0</v>
      </c>
      <c r="H40" s="171"/>
      <c r="I40" s="108" t="s">
        <v>1540</v>
      </c>
      <c r="J40" s="108" t="str">
        <f>VLOOKUP(I40,Presupuesto!$B$8:$C$584,2,0)</f>
        <v>OTROS INTERESES</v>
      </c>
      <c r="K40" s="108" t="str">
        <f t="shared" si="3"/>
        <v>Estudiantes</v>
      </c>
      <c r="L40" s="108" t="s">
        <v>493</v>
      </c>
    </row>
    <row r="41" spans="3:12" x14ac:dyDescent="0.25">
      <c r="C41" s="109" t="s">
        <v>189</v>
      </c>
      <c r="D41" s="790"/>
      <c r="E41" s="215"/>
      <c r="F41" s="110">
        <v>36</v>
      </c>
      <c r="G41" s="107">
        <f t="shared" si="2"/>
        <v>0</v>
      </c>
      <c r="H41" s="171"/>
      <c r="I41" s="108" t="s">
        <v>1540</v>
      </c>
      <c r="J41" s="108" t="str">
        <f>VLOOKUP(I41,Presupuesto!$B$8:$C$584,2,0)</f>
        <v>OTROS INTERESES</v>
      </c>
      <c r="K41" s="108" t="str">
        <f t="shared" si="3"/>
        <v>Estudiantes</v>
      </c>
      <c r="L41" s="108" t="s">
        <v>493</v>
      </c>
    </row>
    <row r="42" spans="3:12" x14ac:dyDescent="0.25">
      <c r="C42" s="109" t="s">
        <v>34</v>
      </c>
      <c r="D42" s="790"/>
      <c r="E42" s="215"/>
      <c r="F42" s="110">
        <v>80</v>
      </c>
      <c r="G42" s="107">
        <f t="shared" si="2"/>
        <v>0</v>
      </c>
      <c r="H42" s="171"/>
      <c r="I42" s="108" t="s">
        <v>1540</v>
      </c>
      <c r="J42" s="108" t="str">
        <f>VLOOKUP(I42,Presupuesto!$B$8:$C$584,2,0)</f>
        <v>OTROS INTERESES</v>
      </c>
      <c r="K42" s="108" t="str">
        <f t="shared" si="3"/>
        <v>Estudiantes</v>
      </c>
      <c r="L42" s="108" t="s">
        <v>493</v>
      </c>
    </row>
    <row r="43" spans="3:12" x14ac:dyDescent="0.25">
      <c r="C43" s="119" t="s">
        <v>52</v>
      </c>
      <c r="D43" s="790"/>
      <c r="E43" s="224"/>
      <c r="F43" s="129">
        <v>25</v>
      </c>
      <c r="G43" s="107">
        <f t="shared" si="2"/>
        <v>0</v>
      </c>
      <c r="H43" s="171"/>
      <c r="I43" s="108" t="s">
        <v>1540</v>
      </c>
      <c r="J43" s="108" t="str">
        <f>VLOOKUP(I43,Presupuesto!$B$8:$C$584,2,0)</f>
        <v>OTROS INTERESES</v>
      </c>
      <c r="K43" s="108" t="str">
        <f t="shared" si="3"/>
        <v>Estudiantes</v>
      </c>
      <c r="L43" s="108" t="s">
        <v>493</v>
      </c>
    </row>
    <row r="44" spans="3:12" ht="15.75" thickBot="1" x14ac:dyDescent="0.3">
      <c r="C44" s="228" t="s">
        <v>512</v>
      </c>
      <c r="D44" s="229"/>
      <c r="E44" s="230"/>
      <c r="F44" s="114">
        <f>HLOOKUP(C44,$AH$2:$BU$3,2,0)</f>
        <v>2000</v>
      </c>
      <c r="G44" s="115">
        <f>D44*E44*F44</f>
        <v>0</v>
      </c>
      <c r="H44" s="171"/>
      <c r="I44" s="108" t="s">
        <v>1540</v>
      </c>
      <c r="J44" s="116" t="str">
        <f>VLOOKUP(I44,Presupuesto!$B$8:$C$584,2,0)</f>
        <v>OTROS INTERESES</v>
      </c>
      <c r="K44" s="108" t="str">
        <f t="shared" si="3"/>
        <v>Estudiantes</v>
      </c>
      <c r="L44" s="108" t="s">
        <v>493</v>
      </c>
    </row>
    <row r="47" spans="3:12" ht="15.75" x14ac:dyDescent="0.25">
      <c r="C47" s="217" t="s">
        <v>471</v>
      </c>
      <c r="D47" s="218" t="s">
        <v>1631</v>
      </c>
      <c r="E47" s="103"/>
      <c r="F47" s="103"/>
      <c r="G47" s="103"/>
      <c r="H47" s="84"/>
      <c r="I47" s="84"/>
      <c r="J47" s="84"/>
      <c r="K47" s="122"/>
    </row>
    <row r="48" spans="3:12" ht="18.75" x14ac:dyDescent="0.25">
      <c r="C48" s="220" t="e">
        <f>IFERROR(VLOOKUP(D47,#REF!,2,FALSE),IFERROR(VLOOKUP(D47,#REF!,2,FALSE),IFERROR(VLOOKUP(D47,#REF!,2,FALSE),IFERROR(VLOOKUP(D47,'Docencia y Recursos Humanos '!$F:$G,2,FALSE),IFERROR(VLOOKUP(D47,Estudiantes!$E:$F,2,FALSE),IFERROR(VLOOKUP(D47,'Gestion Administrativa'!$E:$F,2,FALSE),IFERROR(VLOOKUP(D47,#REF!,2,FALSE),IFERROR(VLOOKUP(D47,#REF!,2,FALSE),IFERROR(VLOOKUP(D47,#REF!,2,FALSE),IFERROR(VLOOKUP(D47,#REF!,2,FALSE),IFERROR(VLOOKUP(D47,#REF!,2,FALSE),VLOOKUP(D47,#REF!,2,0))))))))))))</f>
        <v>#REF!</v>
      </c>
      <c r="D48" s="31"/>
      <c r="E48" s="103"/>
      <c r="F48" s="103"/>
      <c r="G48" s="103"/>
      <c r="H48" s="84"/>
      <c r="I48" s="84"/>
      <c r="J48" s="84"/>
      <c r="K48" s="122"/>
    </row>
    <row r="49" spans="3:12" ht="15.75" thickBot="1" x14ac:dyDescent="0.3">
      <c r="C49" s="69" t="s">
        <v>1635</v>
      </c>
      <c r="D49" s="31"/>
      <c r="E49" s="103"/>
      <c r="F49" s="103"/>
      <c r="G49" s="103"/>
      <c r="H49" s="84"/>
      <c r="I49" s="84"/>
      <c r="J49" s="84"/>
      <c r="K49" s="122"/>
    </row>
    <row r="50" spans="3:12" ht="30.75" thickBot="1" x14ac:dyDescent="0.3">
      <c r="C50" s="136" t="s">
        <v>44</v>
      </c>
      <c r="D50" s="139" t="s">
        <v>45</v>
      </c>
      <c r="E50" s="138" t="s">
        <v>55</v>
      </c>
      <c r="F50" s="138" t="s">
        <v>57</v>
      </c>
      <c r="G50" s="137" t="s">
        <v>27</v>
      </c>
      <c r="H50" s="143" t="s">
        <v>208</v>
      </c>
      <c r="I50" s="138" t="s">
        <v>46</v>
      </c>
      <c r="J50" s="138" t="s">
        <v>209</v>
      </c>
      <c r="K50" s="138" t="s">
        <v>491</v>
      </c>
      <c r="L50" s="138" t="s">
        <v>492</v>
      </c>
    </row>
    <row r="51" spans="3:12" x14ac:dyDescent="0.25">
      <c r="C51" s="105" t="s">
        <v>47</v>
      </c>
      <c r="D51" s="789">
        <v>20</v>
      </c>
      <c r="E51" s="168"/>
      <c r="F51" s="125">
        <v>20000</v>
      </c>
      <c r="G51" s="107">
        <f t="shared" ref="G51:G59" si="4">E51*F51</f>
        <v>0</v>
      </c>
      <c r="H51" s="171" t="s">
        <v>207</v>
      </c>
      <c r="I51" s="108" t="s">
        <v>355</v>
      </c>
      <c r="J51" s="108" t="str">
        <f>VLOOKUP(I51,Presupuesto!$B$8:$C$584,2,0)</f>
        <v>OTROS SERVICIOS PERSONALES (NUEVA)</v>
      </c>
      <c r="K51" s="231" t="s">
        <v>187</v>
      </c>
      <c r="L51" s="108" t="s">
        <v>483</v>
      </c>
    </row>
    <row r="52" spans="3:12" x14ac:dyDescent="0.25">
      <c r="C52" s="109" t="s">
        <v>48</v>
      </c>
      <c r="D52" s="790"/>
      <c r="E52" s="215">
        <v>100</v>
      </c>
      <c r="F52" s="110">
        <v>50</v>
      </c>
      <c r="G52" s="107">
        <f t="shared" si="4"/>
        <v>5000</v>
      </c>
      <c r="H52" s="171" t="s">
        <v>207</v>
      </c>
      <c r="I52" s="108" t="s">
        <v>396</v>
      </c>
      <c r="J52" s="108" t="str">
        <f>VLOOKUP(I52,Presupuesto!$B$8:$C$584,2,0)</f>
        <v>LIBROS, REVISTAS Y PERIODICOS (33500-00)</v>
      </c>
      <c r="K52" s="108" t="s">
        <v>187</v>
      </c>
      <c r="L52" s="108" t="s">
        <v>483</v>
      </c>
    </row>
    <row r="53" spans="3:12" x14ac:dyDescent="0.25">
      <c r="C53" s="109" t="s">
        <v>49</v>
      </c>
      <c r="D53" s="790"/>
      <c r="E53" s="215">
        <v>20</v>
      </c>
      <c r="F53" s="110">
        <v>150</v>
      </c>
      <c r="G53" s="107">
        <f t="shared" si="4"/>
        <v>3000</v>
      </c>
      <c r="H53" s="171" t="s">
        <v>207</v>
      </c>
      <c r="I53" s="108" t="s">
        <v>390</v>
      </c>
      <c r="J53" s="108" t="str">
        <f>VLOOKUP(I53,Presupuesto!$B$8:$C$584,2,0)</f>
        <v>ALIMENTOS Y BEBIDAS PARA PERSONAS (31100-00)</v>
      </c>
      <c r="K53" s="108" t="s">
        <v>187</v>
      </c>
      <c r="L53" s="108" t="s">
        <v>483</v>
      </c>
    </row>
    <row r="54" spans="3:12" x14ac:dyDescent="0.25">
      <c r="C54" s="109" t="s">
        <v>50</v>
      </c>
      <c r="D54" s="790"/>
      <c r="E54" s="161"/>
      <c r="F54" s="128">
        <v>980</v>
      </c>
      <c r="G54" s="107">
        <f t="shared" si="4"/>
        <v>0</v>
      </c>
      <c r="H54" s="171"/>
      <c r="I54" s="108" t="s">
        <v>1540</v>
      </c>
      <c r="J54" s="108" t="str">
        <f>VLOOKUP(I54,Presupuesto!$B$8:$C$584,2,0)</f>
        <v>OTROS INTERESES</v>
      </c>
      <c r="K54" s="108" t="str">
        <f t="shared" ref="K54:K60" si="5">$K$17</f>
        <v>Estudiantes</v>
      </c>
      <c r="L54" s="108" t="s">
        <v>493</v>
      </c>
    </row>
    <row r="55" spans="3:12" x14ac:dyDescent="0.25">
      <c r="C55" s="109" t="s">
        <v>501</v>
      </c>
      <c r="D55" s="790"/>
      <c r="E55" s="161"/>
      <c r="F55" s="128">
        <v>250</v>
      </c>
      <c r="G55" s="107">
        <f t="shared" si="4"/>
        <v>0</v>
      </c>
      <c r="H55" s="171"/>
      <c r="I55" s="108" t="s">
        <v>1540</v>
      </c>
      <c r="J55" s="108" t="str">
        <f>VLOOKUP(I55,Presupuesto!$B$8:$C$584,2,0)</f>
        <v>OTROS INTERESES</v>
      </c>
      <c r="K55" s="108" t="str">
        <f t="shared" si="5"/>
        <v>Estudiantes</v>
      </c>
      <c r="L55" s="108" t="s">
        <v>493</v>
      </c>
    </row>
    <row r="56" spans="3:12" x14ac:dyDescent="0.25">
      <c r="C56" s="109" t="s">
        <v>51</v>
      </c>
      <c r="D56" s="790"/>
      <c r="E56" s="215">
        <v>20</v>
      </c>
      <c r="F56" s="110">
        <v>85</v>
      </c>
      <c r="G56" s="107">
        <f t="shared" si="4"/>
        <v>1700</v>
      </c>
      <c r="H56" s="171" t="s">
        <v>207</v>
      </c>
      <c r="I56" s="108" t="s">
        <v>1020</v>
      </c>
      <c r="J56" s="108" t="str">
        <f>VLOOKUP(I56,Presupuesto!$B$8:$C$584,2,0)</f>
        <v>PAPEL DE ESCRITORIO</v>
      </c>
      <c r="K56" s="108" t="s">
        <v>187</v>
      </c>
      <c r="L56" s="108" t="s">
        <v>483</v>
      </c>
    </row>
    <row r="57" spans="3:12" x14ac:dyDescent="0.25">
      <c r="C57" s="109" t="s">
        <v>189</v>
      </c>
      <c r="D57" s="790"/>
      <c r="E57" s="215">
        <v>100</v>
      </c>
      <c r="F57" s="110">
        <v>36</v>
      </c>
      <c r="G57" s="107">
        <f t="shared" si="4"/>
        <v>3600</v>
      </c>
      <c r="H57" s="171" t="s">
        <v>207</v>
      </c>
      <c r="I57" s="108" t="s">
        <v>406</v>
      </c>
      <c r="J57" s="108" t="str">
        <f>VLOOKUP(I57,Presupuesto!$B$8:$C$584,2,0)</f>
        <v>UTILES DE ESCRITORIO, OFICINA Y ENZE¥ANZA</v>
      </c>
      <c r="K57" s="108" t="s">
        <v>187</v>
      </c>
      <c r="L57" s="108" t="s">
        <v>483</v>
      </c>
    </row>
    <row r="58" spans="3:12" x14ac:dyDescent="0.25">
      <c r="C58" s="109" t="s">
        <v>34</v>
      </c>
      <c r="D58" s="790"/>
      <c r="E58" s="215">
        <v>20</v>
      </c>
      <c r="F58" s="110">
        <v>80</v>
      </c>
      <c r="G58" s="107">
        <f t="shared" si="4"/>
        <v>1600</v>
      </c>
      <c r="H58" s="171" t="s">
        <v>207</v>
      </c>
      <c r="I58" s="108" t="s">
        <v>406</v>
      </c>
      <c r="J58" s="108" t="str">
        <f>VLOOKUP(I58,Presupuesto!$B$8:$C$584,2,0)</f>
        <v>UTILES DE ESCRITORIO, OFICINA Y ENZE¥ANZA</v>
      </c>
      <c r="K58" s="108" t="s">
        <v>187</v>
      </c>
      <c r="L58" s="108" t="s">
        <v>483</v>
      </c>
    </row>
    <row r="59" spans="3:12" x14ac:dyDescent="0.25">
      <c r="C59" s="119" t="s">
        <v>52</v>
      </c>
      <c r="D59" s="790"/>
      <c r="E59" s="224">
        <v>20</v>
      </c>
      <c r="F59" s="129">
        <v>25</v>
      </c>
      <c r="G59" s="107">
        <f t="shared" si="4"/>
        <v>500</v>
      </c>
      <c r="H59" s="171" t="s">
        <v>207</v>
      </c>
      <c r="I59" s="108" t="s">
        <v>406</v>
      </c>
      <c r="J59" s="108" t="str">
        <f>VLOOKUP(I59,Presupuesto!$B$8:$C$584,2,0)</f>
        <v>UTILES DE ESCRITORIO, OFICINA Y ENZE¥ANZA</v>
      </c>
      <c r="K59" s="108" t="s">
        <v>187</v>
      </c>
      <c r="L59" s="108" t="s">
        <v>483</v>
      </c>
    </row>
    <row r="60" spans="3:12" ht="15.75" thickBot="1" x14ac:dyDescent="0.3">
      <c r="C60" s="228" t="s">
        <v>512</v>
      </c>
      <c r="D60" s="229"/>
      <c r="E60" s="230"/>
      <c r="F60" s="114">
        <f>HLOOKUP(C60,$AH$2:$BU$3,2,0)</f>
        <v>2000</v>
      </c>
      <c r="G60" s="115">
        <f>D60*E60*F60</f>
        <v>0</v>
      </c>
      <c r="H60" s="171"/>
      <c r="I60" s="108" t="s">
        <v>1540</v>
      </c>
      <c r="J60" s="116" t="str">
        <f>VLOOKUP(I60,Presupuesto!$B$8:$C$584,2,0)</f>
        <v>OTROS INTERESES</v>
      </c>
      <c r="K60" s="108" t="str">
        <f t="shared" si="5"/>
        <v>Estudiantes</v>
      </c>
      <c r="L60" s="108" t="s">
        <v>493</v>
      </c>
    </row>
    <row r="61" spans="3:12" ht="15.75" thickBot="1" x14ac:dyDescent="0.3">
      <c r="C61" s="103"/>
      <c r="E61" s="122"/>
      <c r="F61" s="122"/>
      <c r="G61" s="122"/>
      <c r="H61" s="185"/>
      <c r="I61" s="122"/>
      <c r="J61" s="122"/>
      <c r="K61" s="122"/>
    </row>
    <row r="62" spans="3:12" ht="15.75" thickBot="1" x14ac:dyDescent="0.3">
      <c r="C62" s="29" t="s">
        <v>43</v>
      </c>
      <c r="D62" s="30">
        <f>SUM(G51:G60)</f>
        <v>15400</v>
      </c>
      <c r="E62" s="103"/>
      <c r="F62" s="103"/>
      <c r="G62" s="103"/>
      <c r="H62" s="84"/>
      <c r="I62" s="84"/>
      <c r="J62" s="84"/>
      <c r="K62" s="122"/>
    </row>
    <row r="65" spans="3:12" ht="15.75" x14ac:dyDescent="0.25">
      <c r="C65" s="217" t="s">
        <v>471</v>
      </c>
      <c r="D65" s="218" t="s">
        <v>1633</v>
      </c>
      <c r="E65" s="103"/>
      <c r="F65" s="103"/>
      <c r="G65" s="103"/>
      <c r="H65" s="84"/>
      <c r="I65" s="84"/>
      <c r="J65" s="84"/>
      <c r="K65" s="122"/>
    </row>
    <row r="66" spans="3:12" ht="18.75" x14ac:dyDescent="0.25">
      <c r="C66" s="220" t="e">
        <f>IFERROR(VLOOKUP(D65,#REF!,2,FALSE),IFERROR(VLOOKUP(D65,#REF!,2,FALSE),IFERROR(VLOOKUP(D65,#REF!,2,FALSE),IFERROR(VLOOKUP(D65,'Docencia y Recursos Humanos '!$F:$G,2,FALSE),IFERROR(VLOOKUP(D65,Estudiantes!$E:$F,2,FALSE),IFERROR(VLOOKUP(D65,'Gestion Administrativa'!$E:$F,2,FALSE),IFERROR(VLOOKUP(D65,#REF!,2,FALSE),IFERROR(VLOOKUP(D65,#REF!,2,FALSE),IFERROR(VLOOKUP(D65,#REF!,2,FALSE),IFERROR(VLOOKUP(D65,#REF!,2,FALSE),IFERROR(VLOOKUP(D65,#REF!,2,FALSE),VLOOKUP(D65,#REF!,2,0))))))))))))</f>
        <v>#REF!</v>
      </c>
      <c r="D66" s="31"/>
      <c r="E66" s="103"/>
      <c r="F66" s="103"/>
      <c r="G66" s="103"/>
      <c r="H66" s="84"/>
      <c r="I66" s="84"/>
      <c r="J66" s="84"/>
      <c r="K66" s="122"/>
    </row>
    <row r="67" spans="3:12" ht="15.75" thickBot="1" x14ac:dyDescent="0.3">
      <c r="C67" s="69" t="s">
        <v>1635</v>
      </c>
      <c r="D67" s="31"/>
      <c r="E67" s="103"/>
      <c r="F67" s="103"/>
      <c r="G67" s="103"/>
      <c r="H67" s="84"/>
      <c r="I67" s="84"/>
      <c r="J67" s="84"/>
      <c r="K67" s="122"/>
    </row>
    <row r="68" spans="3:12" ht="30.75" thickBot="1" x14ac:dyDescent="0.3">
      <c r="C68" s="136" t="s">
        <v>44</v>
      </c>
      <c r="D68" s="139" t="s">
        <v>45</v>
      </c>
      <c r="E68" s="138" t="s">
        <v>55</v>
      </c>
      <c r="F68" s="138" t="s">
        <v>57</v>
      </c>
      <c r="G68" s="137" t="s">
        <v>27</v>
      </c>
      <c r="H68" s="143" t="s">
        <v>208</v>
      </c>
      <c r="I68" s="138" t="s">
        <v>46</v>
      </c>
      <c r="J68" s="138" t="s">
        <v>209</v>
      </c>
      <c r="K68" s="138" t="s">
        <v>491</v>
      </c>
      <c r="L68" s="138" t="s">
        <v>492</v>
      </c>
    </row>
    <row r="69" spans="3:12" x14ac:dyDescent="0.25">
      <c r="C69" s="105" t="s">
        <v>47</v>
      </c>
      <c r="D69" s="789">
        <v>35</v>
      </c>
      <c r="E69" s="168"/>
      <c r="F69" s="125">
        <v>20000</v>
      </c>
      <c r="G69" s="107">
        <f t="shared" ref="G69:G77" si="6">E69*F69</f>
        <v>0</v>
      </c>
      <c r="H69" s="171" t="s">
        <v>207</v>
      </c>
      <c r="I69" s="108" t="s">
        <v>355</v>
      </c>
      <c r="J69" s="108" t="str">
        <f>VLOOKUP(I69,Presupuesto!$B$8:$C$584,2,0)</f>
        <v>OTROS SERVICIOS PERSONALES (NUEVA)</v>
      </c>
      <c r="K69" s="231" t="s">
        <v>187</v>
      </c>
      <c r="L69" s="108" t="s">
        <v>483</v>
      </c>
    </row>
    <row r="70" spans="3:12" x14ac:dyDescent="0.25">
      <c r="C70" s="109" t="s">
        <v>48</v>
      </c>
      <c r="D70" s="790"/>
      <c r="E70" s="215">
        <v>0</v>
      </c>
      <c r="F70" s="110">
        <v>50</v>
      </c>
      <c r="G70" s="107">
        <f t="shared" si="6"/>
        <v>0</v>
      </c>
      <c r="H70" s="171" t="s">
        <v>207</v>
      </c>
      <c r="I70" s="108" t="s">
        <v>396</v>
      </c>
      <c r="J70" s="108" t="str">
        <f>VLOOKUP(I70,Presupuesto!$B$8:$C$584,2,0)</f>
        <v>LIBROS, REVISTAS Y PERIODICOS (33500-00)</v>
      </c>
      <c r="K70" s="108" t="s">
        <v>187</v>
      </c>
      <c r="L70" s="108" t="s">
        <v>483</v>
      </c>
    </row>
    <row r="71" spans="3:12" x14ac:dyDescent="0.25">
      <c r="C71" s="109" t="s">
        <v>49</v>
      </c>
      <c r="D71" s="790"/>
      <c r="E71" s="215">
        <v>35</v>
      </c>
      <c r="F71" s="110">
        <v>150</v>
      </c>
      <c r="G71" s="107">
        <f t="shared" si="6"/>
        <v>5250</v>
      </c>
      <c r="H71" s="171" t="s">
        <v>207</v>
      </c>
      <c r="I71" s="108" t="s">
        <v>390</v>
      </c>
      <c r="J71" s="108" t="str">
        <f>VLOOKUP(I71,Presupuesto!$B$8:$C$584,2,0)</f>
        <v>ALIMENTOS Y BEBIDAS PARA PERSONAS (31100-00)</v>
      </c>
      <c r="K71" s="108" t="s">
        <v>187</v>
      </c>
      <c r="L71" s="108" t="s">
        <v>493</v>
      </c>
    </row>
    <row r="72" spans="3:12" x14ac:dyDescent="0.25">
      <c r="C72" s="109" t="s">
        <v>50</v>
      </c>
      <c r="D72" s="790"/>
      <c r="E72" s="161"/>
      <c r="F72" s="128">
        <v>980</v>
      </c>
      <c r="G72" s="107">
        <f t="shared" si="6"/>
        <v>0</v>
      </c>
      <c r="H72" s="171"/>
      <c r="I72" s="108" t="s">
        <v>1540</v>
      </c>
      <c r="J72" s="108" t="str">
        <f>VLOOKUP(I72,Presupuesto!$B$8:$C$584,2,0)</f>
        <v>OTROS INTERESES</v>
      </c>
      <c r="K72" s="108" t="str">
        <f t="shared" ref="K72:K78" si="7">$K$17</f>
        <v>Estudiantes</v>
      </c>
      <c r="L72" s="108" t="s">
        <v>493</v>
      </c>
    </row>
    <row r="73" spans="3:12" x14ac:dyDescent="0.25">
      <c r="C73" s="109" t="s">
        <v>501</v>
      </c>
      <c r="D73" s="790"/>
      <c r="E73" s="161"/>
      <c r="F73" s="128">
        <v>250</v>
      </c>
      <c r="G73" s="107">
        <f t="shared" si="6"/>
        <v>0</v>
      </c>
      <c r="H73" s="171"/>
      <c r="I73" s="108" t="s">
        <v>1540</v>
      </c>
      <c r="J73" s="108" t="str">
        <f>VLOOKUP(I73,Presupuesto!$B$8:$C$584,2,0)</f>
        <v>OTROS INTERESES</v>
      </c>
      <c r="K73" s="108" t="str">
        <f t="shared" si="7"/>
        <v>Estudiantes</v>
      </c>
      <c r="L73" s="108" t="s">
        <v>493</v>
      </c>
    </row>
    <row r="74" spans="3:12" x14ac:dyDescent="0.25">
      <c r="C74" s="109" t="s">
        <v>51</v>
      </c>
      <c r="D74" s="790"/>
      <c r="E74" s="215"/>
      <c r="F74" s="110">
        <v>85</v>
      </c>
      <c r="G74" s="107">
        <f t="shared" si="6"/>
        <v>0</v>
      </c>
      <c r="H74" s="171" t="s">
        <v>207</v>
      </c>
      <c r="I74" s="108" t="s">
        <v>1020</v>
      </c>
      <c r="J74" s="108" t="str">
        <f>VLOOKUP(I74,Presupuesto!$B$8:$C$584,2,0)</f>
        <v>PAPEL DE ESCRITORIO</v>
      </c>
      <c r="K74" s="108" t="s">
        <v>187</v>
      </c>
      <c r="L74" s="108" t="s">
        <v>483</v>
      </c>
    </row>
    <row r="75" spans="3:12" x14ac:dyDescent="0.25">
      <c r="C75" s="109" t="s">
        <v>189</v>
      </c>
      <c r="D75" s="790"/>
      <c r="E75" s="215"/>
      <c r="F75" s="110">
        <v>36</v>
      </c>
      <c r="G75" s="107">
        <f t="shared" si="6"/>
        <v>0</v>
      </c>
      <c r="H75" s="171" t="s">
        <v>207</v>
      </c>
      <c r="I75" s="108" t="s">
        <v>406</v>
      </c>
      <c r="J75" s="108" t="str">
        <f>VLOOKUP(I75,Presupuesto!$B$8:$C$584,2,0)</f>
        <v>UTILES DE ESCRITORIO, OFICINA Y ENZE¥ANZA</v>
      </c>
      <c r="K75" s="108" t="s">
        <v>187</v>
      </c>
      <c r="L75" s="108" t="s">
        <v>483</v>
      </c>
    </row>
    <row r="76" spans="3:12" x14ac:dyDescent="0.25">
      <c r="C76" s="109" t="s">
        <v>34</v>
      </c>
      <c r="D76" s="790"/>
      <c r="E76" s="215"/>
      <c r="F76" s="110">
        <v>80</v>
      </c>
      <c r="G76" s="107">
        <f t="shared" si="6"/>
        <v>0</v>
      </c>
      <c r="H76" s="171" t="s">
        <v>207</v>
      </c>
      <c r="I76" s="108" t="s">
        <v>406</v>
      </c>
      <c r="J76" s="108" t="str">
        <f>VLOOKUP(I76,Presupuesto!$B$8:$C$584,2,0)</f>
        <v>UTILES DE ESCRITORIO, OFICINA Y ENZE¥ANZA</v>
      </c>
      <c r="K76" s="108" t="s">
        <v>187</v>
      </c>
      <c r="L76" s="108" t="s">
        <v>483</v>
      </c>
    </row>
    <row r="77" spans="3:12" x14ac:dyDescent="0.25">
      <c r="C77" s="119" t="s">
        <v>52</v>
      </c>
      <c r="D77" s="790"/>
      <c r="E77" s="224"/>
      <c r="F77" s="129">
        <v>25</v>
      </c>
      <c r="G77" s="107">
        <f t="shared" si="6"/>
        <v>0</v>
      </c>
      <c r="H77" s="171" t="s">
        <v>207</v>
      </c>
      <c r="I77" s="108" t="s">
        <v>406</v>
      </c>
      <c r="J77" s="108" t="str">
        <f>VLOOKUP(I77,Presupuesto!$B$8:$C$584,2,0)</f>
        <v>UTILES DE ESCRITORIO, OFICINA Y ENZE¥ANZA</v>
      </c>
      <c r="K77" s="108" t="s">
        <v>187</v>
      </c>
      <c r="L77" s="108" t="s">
        <v>483</v>
      </c>
    </row>
    <row r="78" spans="3:12" ht="15.75" thickBot="1" x14ac:dyDescent="0.3">
      <c r="C78" s="228" t="s">
        <v>512</v>
      </c>
      <c r="D78" s="229"/>
      <c r="E78" s="230"/>
      <c r="F78" s="114">
        <f>HLOOKUP(C78,$AH$2:$BU$3,2,0)</f>
        <v>2000</v>
      </c>
      <c r="G78" s="115">
        <f>D78*E78*F78</f>
        <v>0</v>
      </c>
      <c r="H78" s="171"/>
      <c r="I78" s="108" t="s">
        <v>1540</v>
      </c>
      <c r="J78" s="116" t="str">
        <f>VLOOKUP(I78,Presupuesto!$B$8:$C$584,2,0)</f>
        <v>OTROS INTERESES</v>
      </c>
      <c r="K78" s="108" t="str">
        <f t="shared" si="7"/>
        <v>Estudiantes</v>
      </c>
      <c r="L78" s="108" t="s">
        <v>493</v>
      </c>
    </row>
    <row r="79" spans="3:12" ht="15.75" thickBot="1" x14ac:dyDescent="0.3">
      <c r="C79" s="103"/>
      <c r="E79" s="122"/>
      <c r="F79" s="122"/>
      <c r="G79" s="122"/>
      <c r="H79" s="185"/>
      <c r="I79" s="122"/>
      <c r="J79" s="122"/>
      <c r="K79" s="122"/>
    </row>
    <row r="80" spans="3:12" ht="15.75" thickBot="1" x14ac:dyDescent="0.3">
      <c r="C80" s="29" t="s">
        <v>43</v>
      </c>
      <c r="D80" s="30">
        <f>SUM(G69:G78)</f>
        <v>5250</v>
      </c>
      <c r="E80" s="103"/>
      <c r="F80" s="103"/>
      <c r="G80" s="103"/>
      <c r="H80" s="84"/>
      <c r="I80" s="84"/>
      <c r="J80" s="84"/>
      <c r="K80" s="122"/>
    </row>
    <row r="83" spans="3:12" ht="15.75" x14ac:dyDescent="0.25">
      <c r="C83" s="217" t="s">
        <v>471</v>
      </c>
      <c r="D83" s="218" t="s">
        <v>1634</v>
      </c>
      <c r="E83" s="103"/>
      <c r="F83" s="103"/>
      <c r="G83" s="103"/>
      <c r="H83" s="84"/>
      <c r="I83" s="84"/>
      <c r="J83" s="84"/>
      <c r="K83" s="122"/>
    </row>
    <row r="84" spans="3:12" ht="18.75" x14ac:dyDescent="0.25">
      <c r="C84" s="220" t="e">
        <f>IFERROR(VLOOKUP(D83,#REF!,2,FALSE),IFERROR(VLOOKUP(D83,#REF!,2,FALSE),IFERROR(VLOOKUP(D83,#REF!,2,FALSE),IFERROR(VLOOKUP(D83,'Docencia y Recursos Humanos '!$F:$G,2,FALSE),IFERROR(VLOOKUP(D83,Estudiantes!$E:$F,2,FALSE),IFERROR(VLOOKUP(D83,'Gestion Administrativa'!$E:$F,2,FALSE),IFERROR(VLOOKUP(D83,#REF!,2,FALSE),IFERROR(VLOOKUP(D83,#REF!,2,FALSE),IFERROR(VLOOKUP(D83,#REF!,2,FALSE),IFERROR(VLOOKUP(D83,#REF!,2,FALSE),IFERROR(VLOOKUP(D83,#REF!,2,FALSE),VLOOKUP(D83,#REF!,2,0))))))))))))</f>
        <v>#REF!</v>
      </c>
      <c r="D84" s="31"/>
      <c r="E84" s="103"/>
      <c r="F84" s="103"/>
      <c r="G84" s="103"/>
      <c r="H84" s="84"/>
      <c r="I84" s="84"/>
      <c r="J84" s="84"/>
      <c r="K84" s="122"/>
    </row>
    <row r="85" spans="3:12" ht="15.75" thickBot="1" x14ac:dyDescent="0.3">
      <c r="C85" s="69" t="s">
        <v>1635</v>
      </c>
      <c r="D85" s="31"/>
      <c r="E85" s="103"/>
      <c r="F85" s="103"/>
      <c r="G85" s="103"/>
      <c r="H85" s="84"/>
      <c r="I85" s="84"/>
      <c r="J85" s="84"/>
      <c r="K85" s="122"/>
    </row>
    <row r="86" spans="3:12" ht="30.75" thickBot="1" x14ac:dyDescent="0.3">
      <c r="C86" s="136" t="s">
        <v>44</v>
      </c>
      <c r="D86" s="139" t="s">
        <v>45</v>
      </c>
      <c r="E86" s="138" t="s">
        <v>55</v>
      </c>
      <c r="F86" s="138" t="s">
        <v>57</v>
      </c>
      <c r="G86" s="137" t="s">
        <v>27</v>
      </c>
      <c r="H86" s="143" t="s">
        <v>208</v>
      </c>
      <c r="I86" s="138" t="s">
        <v>46</v>
      </c>
      <c r="J86" s="138" t="s">
        <v>209</v>
      </c>
      <c r="K86" s="138" t="s">
        <v>491</v>
      </c>
      <c r="L86" s="138" t="s">
        <v>492</v>
      </c>
    </row>
    <row r="87" spans="3:12" x14ac:dyDescent="0.25">
      <c r="C87" s="105" t="s">
        <v>47</v>
      </c>
      <c r="D87" s="789">
        <v>40</v>
      </c>
      <c r="E87" s="168"/>
      <c r="F87" s="125">
        <v>20000</v>
      </c>
      <c r="G87" s="107">
        <f t="shared" ref="G87:G95" si="8">E87*F87</f>
        <v>0</v>
      </c>
      <c r="H87" s="171" t="s">
        <v>207</v>
      </c>
      <c r="I87" s="108" t="s">
        <v>355</v>
      </c>
      <c r="J87" s="108" t="str">
        <f>VLOOKUP(I87,Presupuesto!$B$8:$C$584,2,0)</f>
        <v>OTROS SERVICIOS PERSONALES (NUEVA)</v>
      </c>
      <c r="K87" s="231" t="s">
        <v>187</v>
      </c>
      <c r="L87" s="108" t="s">
        <v>483</v>
      </c>
    </row>
    <row r="88" spans="3:12" x14ac:dyDescent="0.25">
      <c r="C88" s="109" t="s">
        <v>48</v>
      </c>
      <c r="D88" s="790"/>
      <c r="E88" s="215">
        <v>0</v>
      </c>
      <c r="F88" s="110">
        <v>50</v>
      </c>
      <c r="G88" s="107">
        <f t="shared" si="8"/>
        <v>0</v>
      </c>
      <c r="H88" s="171" t="s">
        <v>207</v>
      </c>
      <c r="I88" s="108" t="s">
        <v>396</v>
      </c>
      <c r="J88" s="108" t="str">
        <f>VLOOKUP(I88,Presupuesto!$B$8:$C$584,2,0)</f>
        <v>LIBROS, REVISTAS Y PERIODICOS (33500-00)</v>
      </c>
      <c r="K88" s="108" t="s">
        <v>187</v>
      </c>
      <c r="L88" s="108" t="s">
        <v>483</v>
      </c>
    </row>
    <row r="89" spans="3:12" x14ac:dyDescent="0.25">
      <c r="C89" s="109" t="s">
        <v>49</v>
      </c>
      <c r="D89" s="790"/>
      <c r="E89" s="215">
        <v>40</v>
      </c>
      <c r="F89" s="110">
        <v>150</v>
      </c>
      <c r="G89" s="107">
        <f t="shared" si="8"/>
        <v>6000</v>
      </c>
      <c r="H89" s="171" t="s">
        <v>207</v>
      </c>
      <c r="I89" s="108" t="s">
        <v>390</v>
      </c>
      <c r="J89" s="108" t="str">
        <f>VLOOKUP(I89,Presupuesto!$B$8:$C$584,2,0)</f>
        <v>ALIMENTOS Y BEBIDAS PARA PERSONAS (31100-00)</v>
      </c>
      <c r="K89" s="108" t="s">
        <v>187</v>
      </c>
      <c r="L89" s="108" t="s">
        <v>493</v>
      </c>
    </row>
    <row r="90" spans="3:12" x14ac:dyDescent="0.25">
      <c r="C90" s="109" t="s">
        <v>50</v>
      </c>
      <c r="D90" s="790"/>
      <c r="E90" s="161"/>
      <c r="F90" s="128">
        <v>980</v>
      </c>
      <c r="G90" s="107">
        <f t="shared" si="8"/>
        <v>0</v>
      </c>
      <c r="H90" s="171"/>
      <c r="I90" s="108" t="s">
        <v>1540</v>
      </c>
      <c r="J90" s="108" t="str">
        <f>VLOOKUP(I90,Presupuesto!$B$8:$C$584,2,0)</f>
        <v>OTROS INTERESES</v>
      </c>
      <c r="K90" s="108" t="str">
        <f t="shared" ref="K90:K96" si="9">$K$17</f>
        <v>Estudiantes</v>
      </c>
      <c r="L90" s="108" t="s">
        <v>493</v>
      </c>
    </row>
    <row r="91" spans="3:12" x14ac:dyDescent="0.25">
      <c r="C91" s="109" t="s">
        <v>501</v>
      </c>
      <c r="D91" s="790"/>
      <c r="E91" s="161"/>
      <c r="F91" s="128">
        <v>250</v>
      </c>
      <c r="G91" s="107">
        <f t="shared" si="8"/>
        <v>0</v>
      </c>
      <c r="H91" s="171"/>
      <c r="I91" s="108" t="s">
        <v>1540</v>
      </c>
      <c r="J91" s="108" t="str">
        <f>VLOOKUP(I91,Presupuesto!$B$8:$C$584,2,0)</f>
        <v>OTROS INTERESES</v>
      </c>
      <c r="K91" s="108" t="str">
        <f t="shared" si="9"/>
        <v>Estudiantes</v>
      </c>
      <c r="L91" s="108" t="s">
        <v>493</v>
      </c>
    </row>
    <row r="92" spans="3:12" x14ac:dyDescent="0.25">
      <c r="C92" s="109" t="s">
        <v>51</v>
      </c>
      <c r="D92" s="790"/>
      <c r="E92" s="215"/>
      <c r="F92" s="110">
        <v>85</v>
      </c>
      <c r="G92" s="107">
        <f t="shared" si="8"/>
        <v>0</v>
      </c>
      <c r="H92" s="171" t="s">
        <v>207</v>
      </c>
      <c r="I92" s="108" t="s">
        <v>1020</v>
      </c>
      <c r="J92" s="108" t="str">
        <f>VLOOKUP(I92,Presupuesto!$B$8:$C$584,2,0)</f>
        <v>PAPEL DE ESCRITORIO</v>
      </c>
      <c r="K92" s="108" t="s">
        <v>187</v>
      </c>
      <c r="L92" s="108" t="s">
        <v>483</v>
      </c>
    </row>
    <row r="93" spans="3:12" x14ac:dyDescent="0.25">
      <c r="C93" s="109" t="s">
        <v>189</v>
      </c>
      <c r="D93" s="790"/>
      <c r="E93" s="215"/>
      <c r="F93" s="110">
        <v>36</v>
      </c>
      <c r="G93" s="107">
        <f t="shared" si="8"/>
        <v>0</v>
      </c>
      <c r="H93" s="171" t="s">
        <v>207</v>
      </c>
      <c r="I93" s="108" t="s">
        <v>406</v>
      </c>
      <c r="J93" s="108" t="str">
        <f>VLOOKUP(I93,Presupuesto!$B$8:$C$584,2,0)</f>
        <v>UTILES DE ESCRITORIO, OFICINA Y ENZE¥ANZA</v>
      </c>
      <c r="K93" s="108" t="s">
        <v>187</v>
      </c>
      <c r="L93" s="108" t="s">
        <v>483</v>
      </c>
    </row>
    <row r="94" spans="3:12" x14ac:dyDescent="0.25">
      <c r="C94" s="109" t="s">
        <v>34</v>
      </c>
      <c r="D94" s="790"/>
      <c r="E94" s="215"/>
      <c r="F94" s="110">
        <v>80</v>
      </c>
      <c r="G94" s="107">
        <f t="shared" si="8"/>
        <v>0</v>
      </c>
      <c r="H94" s="171" t="s">
        <v>207</v>
      </c>
      <c r="I94" s="108" t="s">
        <v>406</v>
      </c>
      <c r="J94" s="108" t="str">
        <f>VLOOKUP(I94,Presupuesto!$B$8:$C$584,2,0)</f>
        <v>UTILES DE ESCRITORIO, OFICINA Y ENZE¥ANZA</v>
      </c>
      <c r="K94" s="108" t="s">
        <v>187</v>
      </c>
      <c r="L94" s="108" t="s">
        <v>483</v>
      </c>
    </row>
    <row r="95" spans="3:12" x14ac:dyDescent="0.25">
      <c r="C95" s="119" t="s">
        <v>52</v>
      </c>
      <c r="D95" s="790"/>
      <c r="E95" s="224"/>
      <c r="F95" s="129">
        <v>25</v>
      </c>
      <c r="G95" s="107">
        <f t="shared" si="8"/>
        <v>0</v>
      </c>
      <c r="H95" s="171" t="s">
        <v>207</v>
      </c>
      <c r="I95" s="108" t="s">
        <v>406</v>
      </c>
      <c r="J95" s="108" t="str">
        <f>VLOOKUP(I95,Presupuesto!$B$8:$C$584,2,0)</f>
        <v>UTILES DE ESCRITORIO, OFICINA Y ENZE¥ANZA</v>
      </c>
      <c r="K95" s="108" t="s">
        <v>187</v>
      </c>
      <c r="L95" s="108" t="s">
        <v>483</v>
      </c>
    </row>
    <row r="96" spans="3:12" ht="15.75" thickBot="1" x14ac:dyDescent="0.3">
      <c r="C96" s="228" t="s">
        <v>512</v>
      </c>
      <c r="D96" s="229"/>
      <c r="E96" s="230"/>
      <c r="F96" s="114">
        <f>HLOOKUP(C96,$AH$2:$BU$3,2,0)</f>
        <v>2000</v>
      </c>
      <c r="G96" s="115">
        <f>D96*E96*F96</f>
        <v>0</v>
      </c>
      <c r="H96" s="171"/>
      <c r="I96" s="108" t="s">
        <v>1540</v>
      </c>
      <c r="J96" s="116" t="str">
        <f>VLOOKUP(I96,Presupuesto!$B$8:$C$584,2,0)</f>
        <v>OTROS INTERESES</v>
      </c>
      <c r="K96" s="108" t="str">
        <f t="shared" si="9"/>
        <v>Estudiantes</v>
      </c>
      <c r="L96" s="108" t="s">
        <v>493</v>
      </c>
    </row>
    <row r="97" spans="3:12" ht="15.75" thickBot="1" x14ac:dyDescent="0.3">
      <c r="C97" s="103"/>
      <c r="E97" s="122"/>
      <c r="F97" s="122"/>
      <c r="G97" s="122"/>
      <c r="H97" s="185"/>
      <c r="I97" s="122"/>
      <c r="J97" s="122"/>
      <c r="K97" s="122"/>
    </row>
    <row r="98" spans="3:12" ht="15.75" thickBot="1" x14ac:dyDescent="0.3">
      <c r="C98" s="29" t="s">
        <v>43</v>
      </c>
      <c r="D98" s="30">
        <f>SUM(G87:G96)</f>
        <v>6000</v>
      </c>
      <c r="E98" s="103"/>
      <c r="F98" s="103"/>
      <c r="G98" s="103"/>
      <c r="H98" s="84"/>
      <c r="I98" s="84"/>
      <c r="J98" s="84"/>
      <c r="K98" s="122"/>
    </row>
    <row r="101" spans="3:12" ht="15.75" x14ac:dyDescent="0.25">
      <c r="C101" s="217" t="s">
        <v>471</v>
      </c>
      <c r="D101" s="218" t="s">
        <v>1636</v>
      </c>
      <c r="E101" s="103"/>
      <c r="F101" s="103"/>
      <c r="G101" s="103"/>
      <c r="H101" s="84"/>
      <c r="I101" s="84"/>
      <c r="J101" s="84"/>
      <c r="K101" s="122"/>
    </row>
    <row r="102" spans="3:12" ht="18.75" x14ac:dyDescent="0.25">
      <c r="C102" s="220" t="e">
        <f>IFERROR(VLOOKUP(D101,#REF!,2,FALSE),IFERROR(VLOOKUP(D101,#REF!,2,FALSE),IFERROR(VLOOKUP(D101,#REF!,2,FALSE),IFERROR(VLOOKUP(D101,'Docencia y Recursos Humanos '!$F:$G,2,FALSE),IFERROR(VLOOKUP(D101,Estudiantes!$E:$F,2,FALSE),IFERROR(VLOOKUP(D101,'Gestion Administrativa'!$E:$F,2,FALSE),IFERROR(VLOOKUP(D101,#REF!,2,FALSE),IFERROR(VLOOKUP(D101,#REF!,2,FALSE),IFERROR(VLOOKUP(D101,#REF!,2,FALSE),IFERROR(VLOOKUP(D101,#REF!,2,FALSE),IFERROR(VLOOKUP(D101,#REF!,2,FALSE),VLOOKUP(D101,#REF!,2,0))))))))))))</f>
        <v>#REF!</v>
      </c>
      <c r="D102" s="31"/>
      <c r="E102" s="103"/>
      <c r="F102" s="103"/>
      <c r="G102" s="103"/>
      <c r="H102" s="84"/>
      <c r="I102" s="84"/>
      <c r="J102" s="84"/>
      <c r="K102" s="122"/>
    </row>
    <row r="103" spans="3:12" ht="15.75" thickBot="1" x14ac:dyDescent="0.3">
      <c r="C103" s="69" t="s">
        <v>1635</v>
      </c>
      <c r="D103" s="31"/>
      <c r="E103" s="103"/>
      <c r="F103" s="103"/>
      <c r="G103" s="103"/>
      <c r="H103" s="84"/>
      <c r="I103" s="84"/>
      <c r="J103" s="84"/>
      <c r="K103" s="122"/>
    </row>
    <row r="104" spans="3:12" ht="30.75" thickBot="1" x14ac:dyDescent="0.3">
      <c r="C104" s="136" t="s">
        <v>44</v>
      </c>
      <c r="D104" s="139" t="s">
        <v>45</v>
      </c>
      <c r="E104" s="138" t="s">
        <v>55</v>
      </c>
      <c r="F104" s="138" t="s">
        <v>57</v>
      </c>
      <c r="G104" s="137" t="s">
        <v>27</v>
      </c>
      <c r="H104" s="143" t="s">
        <v>208</v>
      </c>
      <c r="I104" s="138" t="s">
        <v>46</v>
      </c>
      <c r="J104" s="138" t="s">
        <v>209</v>
      </c>
      <c r="K104" s="138" t="s">
        <v>491</v>
      </c>
      <c r="L104" s="138" t="s">
        <v>492</v>
      </c>
    </row>
    <row r="105" spans="3:12" x14ac:dyDescent="0.25">
      <c r="C105" s="105" t="s">
        <v>47</v>
      </c>
      <c r="D105" s="789">
        <v>35</v>
      </c>
      <c r="E105" s="168"/>
      <c r="F105" s="125">
        <v>20000</v>
      </c>
      <c r="G105" s="107">
        <f t="shared" ref="G105:G113" si="10">E105*F105</f>
        <v>0</v>
      </c>
      <c r="H105" s="171" t="s">
        <v>207</v>
      </c>
      <c r="I105" s="108" t="s">
        <v>355</v>
      </c>
      <c r="J105" s="108" t="str">
        <f>VLOOKUP(I105,Presupuesto!$B$8:$C$584,2,0)</f>
        <v>OTROS SERVICIOS PERSONALES (NUEVA)</v>
      </c>
      <c r="K105" s="231" t="s">
        <v>187</v>
      </c>
      <c r="L105" s="108" t="s">
        <v>483</v>
      </c>
    </row>
    <row r="106" spans="3:12" x14ac:dyDescent="0.25">
      <c r="C106" s="109" t="s">
        <v>48</v>
      </c>
      <c r="D106" s="790"/>
      <c r="E106" s="215">
        <v>0</v>
      </c>
      <c r="F106" s="110">
        <v>50</v>
      </c>
      <c r="G106" s="107">
        <f t="shared" si="10"/>
        <v>0</v>
      </c>
      <c r="H106" s="171" t="s">
        <v>207</v>
      </c>
      <c r="I106" s="108" t="s">
        <v>396</v>
      </c>
      <c r="J106" s="108" t="str">
        <f>VLOOKUP(I106,Presupuesto!$B$8:$C$584,2,0)</f>
        <v>LIBROS, REVISTAS Y PERIODICOS (33500-00)</v>
      </c>
      <c r="K106" s="108" t="s">
        <v>187</v>
      </c>
      <c r="L106" s="108" t="s">
        <v>483</v>
      </c>
    </row>
    <row r="107" spans="3:12" x14ac:dyDescent="0.25">
      <c r="C107" s="109" t="s">
        <v>49</v>
      </c>
      <c r="D107" s="790"/>
      <c r="E107" s="215">
        <v>35</v>
      </c>
      <c r="F107" s="110">
        <v>150</v>
      </c>
      <c r="G107" s="107">
        <f t="shared" si="10"/>
        <v>5250</v>
      </c>
      <c r="H107" s="171" t="s">
        <v>207</v>
      </c>
      <c r="I107" s="108" t="s">
        <v>390</v>
      </c>
      <c r="J107" s="108" t="str">
        <f>VLOOKUP(I107,Presupuesto!$B$8:$C$584,2,0)</f>
        <v>ALIMENTOS Y BEBIDAS PARA PERSONAS (31100-00)</v>
      </c>
      <c r="K107" s="108" t="s">
        <v>187</v>
      </c>
      <c r="L107" s="108" t="s">
        <v>478</v>
      </c>
    </row>
    <row r="108" spans="3:12" x14ac:dyDescent="0.25">
      <c r="C108" s="109" t="s">
        <v>50</v>
      </c>
      <c r="D108" s="790"/>
      <c r="E108" s="161"/>
      <c r="F108" s="128">
        <v>980</v>
      </c>
      <c r="G108" s="107">
        <f t="shared" si="10"/>
        <v>0</v>
      </c>
      <c r="H108" s="171"/>
      <c r="I108" s="108" t="s">
        <v>1540</v>
      </c>
      <c r="J108" s="108" t="str">
        <f>VLOOKUP(I108,Presupuesto!$B$8:$C$584,2,0)</f>
        <v>OTROS INTERESES</v>
      </c>
      <c r="K108" s="108" t="str">
        <f t="shared" ref="K108:K114" si="11">$K$17</f>
        <v>Estudiantes</v>
      </c>
      <c r="L108" s="108" t="s">
        <v>493</v>
      </c>
    </row>
    <row r="109" spans="3:12" x14ac:dyDescent="0.25">
      <c r="C109" s="109" t="s">
        <v>501</v>
      </c>
      <c r="D109" s="790"/>
      <c r="E109" s="161"/>
      <c r="F109" s="128">
        <v>250</v>
      </c>
      <c r="G109" s="107">
        <f t="shared" si="10"/>
        <v>0</v>
      </c>
      <c r="H109" s="171"/>
      <c r="I109" s="108" t="s">
        <v>1540</v>
      </c>
      <c r="J109" s="108" t="str">
        <f>VLOOKUP(I109,Presupuesto!$B$8:$C$584,2,0)</f>
        <v>OTROS INTERESES</v>
      </c>
      <c r="K109" s="108" t="str">
        <f t="shared" si="11"/>
        <v>Estudiantes</v>
      </c>
      <c r="L109" s="108" t="s">
        <v>493</v>
      </c>
    </row>
    <row r="110" spans="3:12" x14ac:dyDescent="0.25">
      <c r="C110" s="109" t="s">
        <v>51</v>
      </c>
      <c r="D110" s="790"/>
      <c r="E110" s="215"/>
      <c r="F110" s="110">
        <v>85</v>
      </c>
      <c r="G110" s="107">
        <f t="shared" si="10"/>
        <v>0</v>
      </c>
      <c r="H110" s="171" t="s">
        <v>207</v>
      </c>
      <c r="I110" s="108" t="s">
        <v>1020</v>
      </c>
      <c r="J110" s="108" t="str">
        <f>VLOOKUP(I110,Presupuesto!$B$8:$C$584,2,0)</f>
        <v>PAPEL DE ESCRITORIO</v>
      </c>
      <c r="K110" s="108" t="s">
        <v>187</v>
      </c>
      <c r="L110" s="108" t="s">
        <v>483</v>
      </c>
    </row>
    <row r="111" spans="3:12" x14ac:dyDescent="0.25">
      <c r="C111" s="109" t="s">
        <v>189</v>
      </c>
      <c r="D111" s="790"/>
      <c r="E111" s="215"/>
      <c r="F111" s="110">
        <v>36</v>
      </c>
      <c r="G111" s="107">
        <f t="shared" si="10"/>
        <v>0</v>
      </c>
      <c r="H111" s="171" t="s">
        <v>207</v>
      </c>
      <c r="I111" s="108" t="s">
        <v>406</v>
      </c>
      <c r="J111" s="108" t="str">
        <f>VLOOKUP(I111,Presupuesto!$B$8:$C$584,2,0)</f>
        <v>UTILES DE ESCRITORIO, OFICINA Y ENZE¥ANZA</v>
      </c>
      <c r="K111" s="108" t="s">
        <v>187</v>
      </c>
      <c r="L111" s="108" t="s">
        <v>483</v>
      </c>
    </row>
    <row r="112" spans="3:12" x14ac:dyDescent="0.25">
      <c r="C112" s="109" t="s">
        <v>34</v>
      </c>
      <c r="D112" s="790"/>
      <c r="E112" s="215"/>
      <c r="F112" s="110">
        <v>80</v>
      </c>
      <c r="G112" s="107">
        <f t="shared" si="10"/>
        <v>0</v>
      </c>
      <c r="H112" s="171" t="s">
        <v>207</v>
      </c>
      <c r="I112" s="108" t="s">
        <v>406</v>
      </c>
      <c r="J112" s="108" t="str">
        <f>VLOOKUP(I112,Presupuesto!$B$8:$C$584,2,0)</f>
        <v>UTILES DE ESCRITORIO, OFICINA Y ENZE¥ANZA</v>
      </c>
      <c r="K112" s="108" t="s">
        <v>187</v>
      </c>
      <c r="L112" s="108" t="s">
        <v>483</v>
      </c>
    </row>
    <row r="113" spans="3:12" x14ac:dyDescent="0.25">
      <c r="C113" s="119" t="s">
        <v>52</v>
      </c>
      <c r="D113" s="790"/>
      <c r="E113" s="224"/>
      <c r="F113" s="129">
        <v>25</v>
      </c>
      <c r="G113" s="107">
        <f t="shared" si="10"/>
        <v>0</v>
      </c>
      <c r="H113" s="171" t="s">
        <v>207</v>
      </c>
      <c r="I113" s="108" t="s">
        <v>406</v>
      </c>
      <c r="J113" s="108" t="str">
        <f>VLOOKUP(I113,Presupuesto!$B$8:$C$584,2,0)</f>
        <v>UTILES DE ESCRITORIO, OFICINA Y ENZE¥ANZA</v>
      </c>
      <c r="K113" s="108" t="s">
        <v>187</v>
      </c>
      <c r="L113" s="108" t="s">
        <v>483</v>
      </c>
    </row>
    <row r="114" spans="3:12" ht="15.75" thickBot="1" x14ac:dyDescent="0.3">
      <c r="C114" s="228" t="s">
        <v>512</v>
      </c>
      <c r="D114" s="229"/>
      <c r="E114" s="230"/>
      <c r="F114" s="114">
        <f>HLOOKUP(C114,$AH$2:$BU$3,2,0)</f>
        <v>2000</v>
      </c>
      <c r="G114" s="115">
        <f>D114*E114*F114</f>
        <v>0</v>
      </c>
      <c r="H114" s="171"/>
      <c r="I114" s="108" t="s">
        <v>1540</v>
      </c>
      <c r="J114" s="116" t="str">
        <f>VLOOKUP(I114,Presupuesto!$B$8:$C$584,2,0)</f>
        <v>OTROS INTERESES</v>
      </c>
      <c r="K114" s="108" t="str">
        <f t="shared" si="11"/>
        <v>Estudiantes</v>
      </c>
      <c r="L114" s="108" t="s">
        <v>493</v>
      </c>
    </row>
    <row r="115" spans="3:12" ht="15.75" thickBot="1" x14ac:dyDescent="0.3">
      <c r="C115" s="103"/>
      <c r="E115" s="122"/>
      <c r="F115" s="122"/>
      <c r="G115" s="122"/>
      <c r="H115" s="185"/>
      <c r="I115" s="122"/>
      <c r="J115" s="122"/>
      <c r="K115" s="122"/>
    </row>
    <row r="116" spans="3:12" ht="15.75" thickBot="1" x14ac:dyDescent="0.3">
      <c r="C116" s="29" t="s">
        <v>43</v>
      </c>
      <c r="D116" s="30">
        <f>SUM(G105:G114)</f>
        <v>5250</v>
      </c>
      <c r="E116" s="103"/>
      <c r="F116" s="103"/>
      <c r="G116" s="103"/>
      <c r="H116" s="84"/>
      <c r="I116" s="84"/>
      <c r="J116" s="84"/>
      <c r="K116" s="122"/>
    </row>
    <row r="119" spans="3:12" ht="15.75" x14ac:dyDescent="0.25">
      <c r="C119" s="217" t="s">
        <v>471</v>
      </c>
      <c r="D119" s="218" t="s">
        <v>1637</v>
      </c>
      <c r="E119" s="103"/>
      <c r="F119" s="103"/>
      <c r="G119" s="103"/>
      <c r="H119" s="84"/>
      <c r="I119" s="84"/>
      <c r="J119" s="84"/>
      <c r="K119" s="122"/>
    </row>
    <row r="120" spans="3:12" ht="18.75" x14ac:dyDescent="0.25">
      <c r="C120" s="220" t="e">
        <f>IFERROR(VLOOKUP(D119,#REF!,2,FALSE),IFERROR(VLOOKUP(D119,#REF!,2,FALSE),IFERROR(VLOOKUP(D119,#REF!,2,FALSE),IFERROR(VLOOKUP(D119,'Docencia y Recursos Humanos '!$F:$G,2,FALSE),IFERROR(VLOOKUP(D119,Estudiantes!$E:$F,2,FALSE),IFERROR(VLOOKUP(D119,'Gestion Administrativa'!$E:$F,2,FALSE),IFERROR(VLOOKUP(D119,#REF!,2,FALSE),IFERROR(VLOOKUP(D119,#REF!,2,FALSE),IFERROR(VLOOKUP(D119,#REF!,2,FALSE),IFERROR(VLOOKUP(D119,#REF!,2,FALSE),IFERROR(VLOOKUP(D119,#REF!,2,FALSE),VLOOKUP(D119,#REF!,2,0))))))))))))</f>
        <v>#REF!</v>
      </c>
      <c r="D120" s="31"/>
      <c r="E120" s="103"/>
      <c r="F120" s="103"/>
      <c r="G120" s="103"/>
      <c r="H120" s="84"/>
      <c r="I120" s="84"/>
      <c r="J120" s="84"/>
      <c r="K120" s="122"/>
    </row>
    <row r="121" spans="3:12" ht="15.75" thickBot="1" x14ac:dyDescent="0.3">
      <c r="C121" s="69" t="s">
        <v>1635</v>
      </c>
      <c r="D121" s="31"/>
      <c r="E121" s="103"/>
      <c r="F121" s="103"/>
      <c r="G121" s="103"/>
      <c r="H121" s="84"/>
      <c r="I121" s="84"/>
      <c r="J121" s="84"/>
      <c r="K121" s="122"/>
    </row>
    <row r="122" spans="3:12" ht="30.75" thickBot="1" x14ac:dyDescent="0.3">
      <c r="C122" s="136" t="s">
        <v>44</v>
      </c>
      <c r="D122" s="139" t="s">
        <v>45</v>
      </c>
      <c r="E122" s="138" t="s">
        <v>55</v>
      </c>
      <c r="F122" s="138" t="s">
        <v>57</v>
      </c>
      <c r="G122" s="137" t="s">
        <v>27</v>
      </c>
      <c r="H122" s="143" t="s">
        <v>208</v>
      </c>
      <c r="I122" s="138" t="s">
        <v>46</v>
      </c>
      <c r="J122" s="138" t="s">
        <v>209</v>
      </c>
      <c r="K122" s="138" t="s">
        <v>491</v>
      </c>
      <c r="L122" s="138" t="s">
        <v>492</v>
      </c>
    </row>
    <row r="123" spans="3:12" x14ac:dyDescent="0.25">
      <c r="C123" s="105" t="s">
        <v>47</v>
      </c>
      <c r="D123" s="789">
        <v>35</v>
      </c>
      <c r="E123" s="168"/>
      <c r="F123" s="125">
        <v>20000</v>
      </c>
      <c r="G123" s="107">
        <f t="shared" ref="G123:G131" si="12">E123*F123</f>
        <v>0</v>
      </c>
      <c r="H123" s="171" t="s">
        <v>207</v>
      </c>
      <c r="I123" s="108" t="s">
        <v>355</v>
      </c>
      <c r="J123" s="108" t="str">
        <f>VLOOKUP(I123,Presupuesto!$B$8:$C$584,2,0)</f>
        <v>OTROS SERVICIOS PERSONALES (NUEVA)</v>
      </c>
      <c r="K123" s="231" t="s">
        <v>187</v>
      </c>
      <c r="L123" s="108" t="s">
        <v>483</v>
      </c>
    </row>
    <row r="124" spans="3:12" x14ac:dyDescent="0.25">
      <c r="C124" s="109" t="s">
        <v>48</v>
      </c>
      <c r="D124" s="790"/>
      <c r="E124" s="215">
        <v>0</v>
      </c>
      <c r="F124" s="110">
        <v>50</v>
      </c>
      <c r="G124" s="107">
        <f t="shared" si="12"/>
        <v>0</v>
      </c>
      <c r="H124" s="171" t="s">
        <v>207</v>
      </c>
      <c r="I124" s="108" t="s">
        <v>396</v>
      </c>
      <c r="J124" s="108" t="str">
        <f>VLOOKUP(I124,Presupuesto!$B$8:$C$584,2,0)</f>
        <v>LIBROS, REVISTAS Y PERIODICOS (33500-00)</v>
      </c>
      <c r="K124" s="108" t="s">
        <v>187</v>
      </c>
      <c r="L124" s="108" t="s">
        <v>483</v>
      </c>
    </row>
    <row r="125" spans="3:12" x14ac:dyDescent="0.25">
      <c r="C125" s="109" t="s">
        <v>49</v>
      </c>
      <c r="D125" s="790"/>
      <c r="E125" s="215">
        <v>35</v>
      </c>
      <c r="F125" s="110">
        <v>150</v>
      </c>
      <c r="G125" s="107">
        <f t="shared" si="12"/>
        <v>5250</v>
      </c>
      <c r="H125" s="171" t="s">
        <v>207</v>
      </c>
      <c r="I125" s="108" t="s">
        <v>390</v>
      </c>
      <c r="J125" s="108" t="str">
        <f>VLOOKUP(I125,Presupuesto!$B$8:$C$584,2,0)</f>
        <v>ALIMENTOS Y BEBIDAS PARA PERSONAS (31100-00)</v>
      </c>
      <c r="K125" s="108" t="s">
        <v>187</v>
      </c>
      <c r="L125" s="108" t="s">
        <v>478</v>
      </c>
    </row>
    <row r="126" spans="3:12" x14ac:dyDescent="0.25">
      <c r="C126" s="109" t="s">
        <v>50</v>
      </c>
      <c r="D126" s="790"/>
      <c r="E126" s="161"/>
      <c r="F126" s="128">
        <v>980</v>
      </c>
      <c r="G126" s="107">
        <f t="shared" si="12"/>
        <v>0</v>
      </c>
      <c r="H126" s="171"/>
      <c r="I126" s="108" t="s">
        <v>1540</v>
      </c>
      <c r="J126" s="108" t="str">
        <f>VLOOKUP(I126,Presupuesto!$B$8:$C$584,2,0)</f>
        <v>OTROS INTERESES</v>
      </c>
      <c r="K126" s="108" t="str">
        <f t="shared" ref="K126:K132" si="13">$K$17</f>
        <v>Estudiantes</v>
      </c>
      <c r="L126" s="108" t="s">
        <v>493</v>
      </c>
    </row>
    <row r="127" spans="3:12" x14ac:dyDescent="0.25">
      <c r="C127" s="109" t="s">
        <v>501</v>
      </c>
      <c r="D127" s="790"/>
      <c r="E127" s="161"/>
      <c r="F127" s="128">
        <v>250</v>
      </c>
      <c r="G127" s="107">
        <f t="shared" si="12"/>
        <v>0</v>
      </c>
      <c r="H127" s="171"/>
      <c r="I127" s="108" t="s">
        <v>1540</v>
      </c>
      <c r="J127" s="108" t="str">
        <f>VLOOKUP(I127,Presupuesto!$B$8:$C$584,2,0)</f>
        <v>OTROS INTERESES</v>
      </c>
      <c r="K127" s="108" t="str">
        <f t="shared" si="13"/>
        <v>Estudiantes</v>
      </c>
      <c r="L127" s="108" t="s">
        <v>493</v>
      </c>
    </row>
    <row r="128" spans="3:12" x14ac:dyDescent="0.25">
      <c r="C128" s="109" t="s">
        <v>51</v>
      </c>
      <c r="D128" s="790"/>
      <c r="E128" s="215"/>
      <c r="F128" s="110">
        <v>85</v>
      </c>
      <c r="G128" s="107">
        <f t="shared" si="12"/>
        <v>0</v>
      </c>
      <c r="H128" s="171" t="s">
        <v>207</v>
      </c>
      <c r="I128" s="108" t="s">
        <v>1020</v>
      </c>
      <c r="J128" s="108" t="str">
        <f>VLOOKUP(I128,Presupuesto!$B$8:$C$584,2,0)</f>
        <v>PAPEL DE ESCRITORIO</v>
      </c>
      <c r="K128" s="108" t="s">
        <v>187</v>
      </c>
      <c r="L128" s="108" t="s">
        <v>483</v>
      </c>
    </row>
    <row r="129" spans="3:12" x14ac:dyDescent="0.25">
      <c r="C129" s="109" t="s">
        <v>189</v>
      </c>
      <c r="D129" s="790"/>
      <c r="E129" s="215"/>
      <c r="F129" s="110">
        <v>36</v>
      </c>
      <c r="G129" s="107">
        <f t="shared" si="12"/>
        <v>0</v>
      </c>
      <c r="H129" s="171" t="s">
        <v>207</v>
      </c>
      <c r="I129" s="108" t="s">
        <v>406</v>
      </c>
      <c r="J129" s="108" t="str">
        <f>VLOOKUP(I129,Presupuesto!$B$8:$C$584,2,0)</f>
        <v>UTILES DE ESCRITORIO, OFICINA Y ENZE¥ANZA</v>
      </c>
      <c r="K129" s="108" t="s">
        <v>187</v>
      </c>
      <c r="L129" s="108" t="s">
        <v>483</v>
      </c>
    </row>
    <row r="130" spans="3:12" x14ac:dyDescent="0.25">
      <c r="C130" s="109" t="s">
        <v>34</v>
      </c>
      <c r="D130" s="790"/>
      <c r="E130" s="215"/>
      <c r="F130" s="110">
        <v>80</v>
      </c>
      <c r="G130" s="107">
        <f t="shared" si="12"/>
        <v>0</v>
      </c>
      <c r="H130" s="171" t="s">
        <v>207</v>
      </c>
      <c r="I130" s="108" t="s">
        <v>406</v>
      </c>
      <c r="J130" s="108" t="str">
        <f>VLOOKUP(I130,Presupuesto!$B$8:$C$584,2,0)</f>
        <v>UTILES DE ESCRITORIO, OFICINA Y ENZE¥ANZA</v>
      </c>
      <c r="K130" s="108" t="s">
        <v>187</v>
      </c>
      <c r="L130" s="108" t="s">
        <v>483</v>
      </c>
    </row>
    <row r="131" spans="3:12" x14ac:dyDescent="0.25">
      <c r="C131" s="119" t="s">
        <v>52</v>
      </c>
      <c r="D131" s="790"/>
      <c r="E131" s="224"/>
      <c r="F131" s="129">
        <v>25</v>
      </c>
      <c r="G131" s="107">
        <f t="shared" si="12"/>
        <v>0</v>
      </c>
      <c r="H131" s="171" t="s">
        <v>207</v>
      </c>
      <c r="I131" s="108" t="s">
        <v>406</v>
      </c>
      <c r="J131" s="108" t="str">
        <f>VLOOKUP(I131,Presupuesto!$B$8:$C$584,2,0)</f>
        <v>UTILES DE ESCRITORIO, OFICINA Y ENZE¥ANZA</v>
      </c>
      <c r="K131" s="108" t="s">
        <v>187</v>
      </c>
      <c r="L131" s="108" t="s">
        <v>483</v>
      </c>
    </row>
    <row r="132" spans="3:12" ht="15.75" thickBot="1" x14ac:dyDescent="0.3">
      <c r="C132" s="228" t="s">
        <v>512</v>
      </c>
      <c r="D132" s="229"/>
      <c r="E132" s="230"/>
      <c r="F132" s="114">
        <f>HLOOKUP(C132,$AH$2:$BU$3,2,0)</f>
        <v>2000</v>
      </c>
      <c r="G132" s="115">
        <f>D132*E132*F132</f>
        <v>0</v>
      </c>
      <c r="H132" s="171"/>
      <c r="I132" s="108" t="s">
        <v>1540</v>
      </c>
      <c r="J132" s="116" t="str">
        <f>VLOOKUP(I132,Presupuesto!$B$8:$C$584,2,0)</f>
        <v>OTROS INTERESES</v>
      </c>
      <c r="K132" s="108" t="str">
        <f t="shared" si="13"/>
        <v>Estudiantes</v>
      </c>
      <c r="L132" s="108" t="s">
        <v>493</v>
      </c>
    </row>
    <row r="133" spans="3:12" ht="15.75" thickBot="1" x14ac:dyDescent="0.3">
      <c r="C133" s="103"/>
      <c r="E133" s="122"/>
      <c r="F133" s="122"/>
      <c r="G133" s="122"/>
      <c r="H133" s="185"/>
      <c r="I133" s="122"/>
      <c r="J133" s="122"/>
      <c r="K133" s="122"/>
    </row>
    <row r="134" spans="3:12" ht="15.75" thickBot="1" x14ac:dyDescent="0.3">
      <c r="C134" s="29" t="s">
        <v>43</v>
      </c>
      <c r="D134" s="30">
        <f>SUM(G123:G132)</f>
        <v>5250</v>
      </c>
      <c r="E134" s="103"/>
      <c r="F134" s="103"/>
      <c r="G134" s="103"/>
      <c r="H134" s="84"/>
      <c r="I134" s="84"/>
      <c r="J134" s="84"/>
      <c r="K134" s="122"/>
    </row>
    <row r="137" spans="3:12" ht="15.75" x14ac:dyDescent="0.25">
      <c r="C137" s="217" t="s">
        <v>471</v>
      </c>
      <c r="D137" s="218"/>
      <c r="E137" s="103"/>
      <c r="F137" s="103"/>
      <c r="G137" s="103"/>
      <c r="H137" s="84"/>
      <c r="I137" s="84"/>
      <c r="J137" s="84"/>
      <c r="K137" s="122"/>
    </row>
    <row r="138" spans="3:12" ht="18.75" x14ac:dyDescent="0.25">
      <c r="C138" s="220" t="e">
        <f>IFERROR(VLOOKUP(D137,#REF!,2,FALSE),IFERROR(VLOOKUP(D137,#REF!,2,FALSE),IFERROR(VLOOKUP(D137,#REF!,2,FALSE),IFERROR(VLOOKUP(D137,'Docencia y Recursos Humanos '!$F:$G,2,FALSE),IFERROR(VLOOKUP(D137,Estudiantes!$E:$F,2,FALSE),IFERROR(VLOOKUP(D137,'Gestion Administrativa'!$E:$F,2,FALSE),IFERROR(VLOOKUP(D137,#REF!,2,FALSE),IFERROR(VLOOKUP(D137,#REF!,2,FALSE),IFERROR(VLOOKUP(D137,#REF!,2,FALSE),IFERROR(VLOOKUP(D137,#REF!,2,FALSE),IFERROR(VLOOKUP(D137,#REF!,2,FALSE),VLOOKUP(D137,#REF!,2,0))))))))))))</f>
        <v>#REF!</v>
      </c>
      <c r="D138" s="31"/>
      <c r="E138" s="103"/>
      <c r="F138" s="103"/>
      <c r="G138" s="103"/>
      <c r="H138" s="84"/>
      <c r="I138" s="84"/>
      <c r="J138" s="84"/>
      <c r="K138" s="122"/>
    </row>
    <row r="139" spans="3:12" ht="15.75" thickBot="1" x14ac:dyDescent="0.3">
      <c r="C139" s="69" t="s">
        <v>1635</v>
      </c>
      <c r="D139" s="31"/>
      <c r="E139" s="103"/>
      <c r="F139" s="103"/>
      <c r="G139" s="103"/>
      <c r="H139" s="84"/>
      <c r="I139" s="84"/>
      <c r="J139" s="84"/>
      <c r="K139" s="122"/>
    </row>
    <row r="140" spans="3:12" ht="30.75" thickBot="1" x14ac:dyDescent="0.3">
      <c r="C140" s="136" t="s">
        <v>44</v>
      </c>
      <c r="D140" s="139" t="s">
        <v>45</v>
      </c>
      <c r="E140" s="138" t="s">
        <v>55</v>
      </c>
      <c r="F140" s="138" t="s">
        <v>57</v>
      </c>
      <c r="G140" s="137" t="s">
        <v>27</v>
      </c>
      <c r="H140" s="143" t="s">
        <v>208</v>
      </c>
      <c r="I140" s="138" t="s">
        <v>46</v>
      </c>
      <c r="J140" s="138" t="s">
        <v>209</v>
      </c>
      <c r="K140" s="138" t="s">
        <v>491</v>
      </c>
      <c r="L140" s="138" t="s">
        <v>492</v>
      </c>
    </row>
    <row r="141" spans="3:12" x14ac:dyDescent="0.25">
      <c r="C141" s="105" t="s">
        <v>47</v>
      </c>
      <c r="D141" s="789">
        <v>80</v>
      </c>
      <c r="E141" s="168"/>
      <c r="F141" s="125">
        <v>20000</v>
      </c>
      <c r="G141" s="107">
        <f t="shared" ref="G141:G149" si="14">E141*F141</f>
        <v>0</v>
      </c>
      <c r="H141" s="171" t="s">
        <v>207</v>
      </c>
      <c r="I141" s="108" t="s">
        <v>355</v>
      </c>
      <c r="J141" s="108" t="str">
        <f>VLOOKUP(I141,Presupuesto!$B$8:$C$584,2,0)</f>
        <v>OTROS SERVICIOS PERSONALES (NUEVA)</v>
      </c>
      <c r="K141" s="231" t="s">
        <v>187</v>
      </c>
      <c r="L141" s="108" t="s">
        <v>483</v>
      </c>
    </row>
    <row r="142" spans="3:12" x14ac:dyDescent="0.25">
      <c r="C142" s="109" t="s">
        <v>48</v>
      </c>
      <c r="D142" s="790"/>
      <c r="E142" s="215">
        <v>0</v>
      </c>
      <c r="F142" s="110">
        <v>50</v>
      </c>
      <c r="G142" s="107">
        <f t="shared" si="14"/>
        <v>0</v>
      </c>
      <c r="H142" s="171" t="s">
        <v>207</v>
      </c>
      <c r="I142" s="108" t="s">
        <v>396</v>
      </c>
      <c r="J142" s="108" t="str">
        <f>VLOOKUP(I142,Presupuesto!$B$8:$C$584,2,0)</f>
        <v>LIBROS, REVISTAS Y PERIODICOS (33500-00)</v>
      </c>
      <c r="K142" s="108" t="s">
        <v>187</v>
      </c>
      <c r="L142" s="108" t="s">
        <v>483</v>
      </c>
    </row>
    <row r="143" spans="3:12" x14ac:dyDescent="0.25">
      <c r="C143" s="109" t="s">
        <v>49</v>
      </c>
      <c r="D143" s="790"/>
      <c r="E143" s="215">
        <v>80</v>
      </c>
      <c r="F143" s="110">
        <v>150</v>
      </c>
      <c r="G143" s="107">
        <f t="shared" si="14"/>
        <v>12000</v>
      </c>
      <c r="H143" s="171" t="s">
        <v>207</v>
      </c>
      <c r="I143" s="108" t="s">
        <v>390</v>
      </c>
      <c r="J143" s="108" t="str">
        <f>VLOOKUP(I143,Presupuesto!$B$8:$C$584,2,0)</f>
        <v>ALIMENTOS Y BEBIDAS PARA PERSONAS (31100-00)</v>
      </c>
      <c r="K143" s="108" t="s">
        <v>187</v>
      </c>
      <c r="L143" s="108" t="s">
        <v>478</v>
      </c>
    </row>
    <row r="144" spans="3:12" x14ac:dyDescent="0.25">
      <c r="C144" s="109" t="s">
        <v>50</v>
      </c>
      <c r="D144" s="790"/>
      <c r="E144" s="161"/>
      <c r="F144" s="128">
        <v>980</v>
      </c>
      <c r="G144" s="107">
        <f t="shared" si="14"/>
        <v>0</v>
      </c>
      <c r="H144" s="171"/>
      <c r="I144" s="108" t="s">
        <v>1540</v>
      </c>
      <c r="J144" s="108" t="str">
        <f>VLOOKUP(I144,Presupuesto!$B$8:$C$584,2,0)</f>
        <v>OTROS INTERESES</v>
      </c>
      <c r="K144" s="108" t="str">
        <f t="shared" ref="K144:K150" si="15">$K$17</f>
        <v>Estudiantes</v>
      </c>
      <c r="L144" s="108" t="s">
        <v>493</v>
      </c>
    </row>
    <row r="145" spans="3:12" x14ac:dyDescent="0.25">
      <c r="C145" s="109" t="s">
        <v>501</v>
      </c>
      <c r="D145" s="790"/>
      <c r="E145" s="161"/>
      <c r="F145" s="128">
        <v>250</v>
      </c>
      <c r="G145" s="107">
        <f t="shared" si="14"/>
        <v>0</v>
      </c>
      <c r="H145" s="171"/>
      <c r="I145" s="108" t="s">
        <v>1540</v>
      </c>
      <c r="J145" s="108" t="str">
        <f>VLOOKUP(I145,Presupuesto!$B$8:$C$584,2,0)</f>
        <v>OTROS INTERESES</v>
      </c>
      <c r="K145" s="108" t="str">
        <f t="shared" si="15"/>
        <v>Estudiantes</v>
      </c>
      <c r="L145" s="108" t="s">
        <v>493</v>
      </c>
    </row>
    <row r="146" spans="3:12" x14ac:dyDescent="0.25">
      <c r="C146" s="109" t="s">
        <v>51</v>
      </c>
      <c r="D146" s="790"/>
      <c r="E146" s="215"/>
      <c r="F146" s="110">
        <v>85</v>
      </c>
      <c r="G146" s="107">
        <f t="shared" si="14"/>
        <v>0</v>
      </c>
      <c r="H146" s="171" t="s">
        <v>207</v>
      </c>
      <c r="I146" s="108" t="s">
        <v>1020</v>
      </c>
      <c r="J146" s="108" t="str">
        <f>VLOOKUP(I146,Presupuesto!$B$8:$C$584,2,0)</f>
        <v>PAPEL DE ESCRITORIO</v>
      </c>
      <c r="K146" s="108" t="s">
        <v>187</v>
      </c>
      <c r="L146" s="108" t="s">
        <v>483</v>
      </c>
    </row>
    <row r="147" spans="3:12" x14ac:dyDescent="0.25">
      <c r="C147" s="109" t="s">
        <v>189</v>
      </c>
      <c r="D147" s="790"/>
      <c r="E147" s="215"/>
      <c r="F147" s="110">
        <v>36</v>
      </c>
      <c r="G147" s="107">
        <f t="shared" si="14"/>
        <v>0</v>
      </c>
      <c r="H147" s="171" t="s">
        <v>207</v>
      </c>
      <c r="I147" s="108" t="s">
        <v>406</v>
      </c>
      <c r="J147" s="108" t="str">
        <f>VLOOKUP(I147,Presupuesto!$B$8:$C$584,2,0)</f>
        <v>UTILES DE ESCRITORIO, OFICINA Y ENZE¥ANZA</v>
      </c>
      <c r="K147" s="108" t="s">
        <v>187</v>
      </c>
      <c r="L147" s="108" t="s">
        <v>483</v>
      </c>
    </row>
    <row r="148" spans="3:12" x14ac:dyDescent="0.25">
      <c r="C148" s="109" t="s">
        <v>34</v>
      </c>
      <c r="D148" s="790"/>
      <c r="E148" s="215"/>
      <c r="F148" s="110">
        <v>80</v>
      </c>
      <c r="G148" s="107">
        <f t="shared" si="14"/>
        <v>0</v>
      </c>
      <c r="H148" s="171" t="s">
        <v>207</v>
      </c>
      <c r="I148" s="108" t="s">
        <v>406</v>
      </c>
      <c r="J148" s="108" t="str">
        <f>VLOOKUP(I148,Presupuesto!$B$8:$C$584,2,0)</f>
        <v>UTILES DE ESCRITORIO, OFICINA Y ENZE¥ANZA</v>
      </c>
      <c r="K148" s="108" t="s">
        <v>187</v>
      </c>
      <c r="L148" s="108" t="s">
        <v>483</v>
      </c>
    </row>
    <row r="149" spans="3:12" x14ac:dyDescent="0.25">
      <c r="C149" s="119" t="s">
        <v>52</v>
      </c>
      <c r="D149" s="790"/>
      <c r="E149" s="224"/>
      <c r="F149" s="129">
        <v>25</v>
      </c>
      <c r="G149" s="107">
        <f t="shared" si="14"/>
        <v>0</v>
      </c>
      <c r="H149" s="171" t="s">
        <v>207</v>
      </c>
      <c r="I149" s="108" t="s">
        <v>406</v>
      </c>
      <c r="J149" s="108" t="str">
        <f>VLOOKUP(I149,Presupuesto!$B$8:$C$584,2,0)</f>
        <v>UTILES DE ESCRITORIO, OFICINA Y ENZE¥ANZA</v>
      </c>
      <c r="K149" s="108" t="s">
        <v>187</v>
      </c>
      <c r="L149" s="108" t="s">
        <v>483</v>
      </c>
    </row>
    <row r="150" spans="3:12" ht="15.75" thickBot="1" x14ac:dyDescent="0.3">
      <c r="C150" s="228" t="s">
        <v>512</v>
      </c>
      <c r="D150" s="229"/>
      <c r="E150" s="230"/>
      <c r="F150" s="114">
        <f>HLOOKUP(C150,$AH$2:$BU$3,2,0)</f>
        <v>2000</v>
      </c>
      <c r="G150" s="115">
        <f>D150*E150*F150</f>
        <v>0</v>
      </c>
      <c r="H150" s="171"/>
      <c r="I150" s="108" t="s">
        <v>1540</v>
      </c>
      <c r="J150" s="116" t="str">
        <f>VLOOKUP(I150,Presupuesto!$B$8:$C$584,2,0)</f>
        <v>OTROS INTERESES</v>
      </c>
      <c r="K150" s="108" t="str">
        <f t="shared" si="15"/>
        <v>Estudiantes</v>
      </c>
      <c r="L150" s="108" t="s">
        <v>493</v>
      </c>
    </row>
    <row r="151" spans="3:12" ht="15.75" thickBot="1" x14ac:dyDescent="0.3">
      <c r="C151" s="103"/>
      <c r="E151" s="122"/>
      <c r="F151" s="122"/>
      <c r="G151" s="122"/>
      <c r="H151" s="185"/>
      <c r="I151" s="122"/>
      <c r="J151" s="122"/>
      <c r="K151" s="122"/>
    </row>
    <row r="152" spans="3:12" ht="15.75" thickBot="1" x14ac:dyDescent="0.3">
      <c r="C152" s="29" t="s">
        <v>43</v>
      </c>
      <c r="D152" s="30">
        <f>SUM(G141:G150)</f>
        <v>12000</v>
      </c>
      <c r="E152" s="103"/>
      <c r="F152" s="103"/>
      <c r="G152" s="103"/>
      <c r="H152" s="84"/>
      <c r="I152" s="84"/>
      <c r="J152" s="84"/>
      <c r="K152" s="122"/>
    </row>
    <row r="155" spans="3:12" ht="15.75" x14ac:dyDescent="0.25">
      <c r="C155" s="217" t="s">
        <v>471</v>
      </c>
      <c r="D155" s="218"/>
      <c r="E155" s="103"/>
      <c r="F155" s="103"/>
      <c r="G155" s="103"/>
      <c r="H155" s="84"/>
      <c r="I155" s="84"/>
      <c r="J155" s="84"/>
      <c r="K155" s="122"/>
    </row>
    <row r="156" spans="3:12" ht="18.75" x14ac:dyDescent="0.25">
      <c r="C156" s="220" t="e">
        <f>IFERROR(VLOOKUP(D155,#REF!,2,FALSE),IFERROR(VLOOKUP(D155,#REF!,2,FALSE),IFERROR(VLOOKUP(D155,#REF!,2,FALSE),IFERROR(VLOOKUP(D155,'Docencia y Recursos Humanos '!$F:$G,2,FALSE),IFERROR(VLOOKUP(D155,Estudiantes!$E:$F,2,FALSE),IFERROR(VLOOKUP(D155,'Gestion Administrativa'!$E:$F,2,FALSE),IFERROR(VLOOKUP(D155,#REF!,2,FALSE),IFERROR(VLOOKUP(D155,#REF!,2,FALSE),IFERROR(VLOOKUP(D155,#REF!,2,FALSE),IFERROR(VLOOKUP(D155,#REF!,2,FALSE),IFERROR(VLOOKUP(D155,#REF!,2,FALSE),VLOOKUP(D155,#REF!,2,0))))))))))))</f>
        <v>#REF!</v>
      </c>
      <c r="D156" s="31"/>
      <c r="E156" s="103"/>
      <c r="F156" s="103"/>
      <c r="G156" s="103"/>
      <c r="H156" s="84"/>
      <c r="I156" s="84"/>
      <c r="J156" s="84"/>
      <c r="K156" s="122"/>
    </row>
    <row r="157" spans="3:12" ht="15.75" thickBot="1" x14ac:dyDescent="0.3">
      <c r="C157" s="69" t="s">
        <v>1635</v>
      </c>
      <c r="D157" s="31"/>
      <c r="E157" s="103"/>
      <c r="F157" s="103"/>
      <c r="G157" s="103"/>
      <c r="H157" s="84"/>
      <c r="I157" s="84"/>
      <c r="J157" s="84"/>
      <c r="K157" s="122"/>
    </row>
    <row r="158" spans="3:12" ht="30.75" thickBot="1" x14ac:dyDescent="0.3">
      <c r="C158" s="136" t="s">
        <v>44</v>
      </c>
      <c r="D158" s="139" t="s">
        <v>45</v>
      </c>
      <c r="E158" s="138" t="s">
        <v>55</v>
      </c>
      <c r="F158" s="138" t="s">
        <v>57</v>
      </c>
      <c r="G158" s="137" t="s">
        <v>27</v>
      </c>
      <c r="H158" s="143" t="s">
        <v>208</v>
      </c>
      <c r="I158" s="138" t="s">
        <v>46</v>
      </c>
      <c r="J158" s="138" t="s">
        <v>209</v>
      </c>
      <c r="K158" s="138" t="s">
        <v>491</v>
      </c>
      <c r="L158" s="138" t="s">
        <v>492</v>
      </c>
    </row>
    <row r="159" spans="3:12" x14ac:dyDescent="0.25">
      <c r="C159" s="105" t="s">
        <v>47</v>
      </c>
      <c r="D159" s="789">
        <v>27</v>
      </c>
      <c r="E159" s="168"/>
      <c r="F159" s="125">
        <v>20000</v>
      </c>
      <c r="G159" s="107">
        <f t="shared" ref="G159:G167" si="16">E159*F159</f>
        <v>0</v>
      </c>
      <c r="H159" s="171" t="s">
        <v>207</v>
      </c>
      <c r="I159" s="108" t="s">
        <v>355</v>
      </c>
      <c r="J159" s="108" t="str">
        <f>VLOOKUP(I159,Presupuesto!$B$8:$C$584,2,0)</f>
        <v>OTROS SERVICIOS PERSONALES (NUEVA)</v>
      </c>
      <c r="K159" s="231" t="s">
        <v>187</v>
      </c>
      <c r="L159" s="108" t="s">
        <v>483</v>
      </c>
    </row>
    <row r="160" spans="3:12" x14ac:dyDescent="0.25">
      <c r="C160" s="109" t="s">
        <v>48</v>
      </c>
      <c r="D160" s="790"/>
      <c r="E160" s="215">
        <v>0</v>
      </c>
      <c r="F160" s="110">
        <v>50</v>
      </c>
      <c r="G160" s="107">
        <f t="shared" si="16"/>
        <v>0</v>
      </c>
      <c r="H160" s="171" t="s">
        <v>207</v>
      </c>
      <c r="I160" s="108" t="s">
        <v>396</v>
      </c>
      <c r="J160" s="108" t="str">
        <f>VLOOKUP(I160,Presupuesto!$B$8:$C$584,2,0)</f>
        <v>LIBROS, REVISTAS Y PERIODICOS (33500-00)</v>
      </c>
      <c r="K160" s="108" t="s">
        <v>187</v>
      </c>
      <c r="L160" s="108" t="s">
        <v>483</v>
      </c>
    </row>
    <row r="161" spans="3:12" x14ac:dyDescent="0.25">
      <c r="C161" s="109" t="s">
        <v>49</v>
      </c>
      <c r="D161" s="790"/>
      <c r="E161" s="215">
        <v>27</v>
      </c>
      <c r="F161" s="110">
        <v>150</v>
      </c>
      <c r="G161" s="107">
        <f t="shared" si="16"/>
        <v>4050</v>
      </c>
      <c r="H161" s="171" t="s">
        <v>207</v>
      </c>
      <c r="I161" s="108" t="s">
        <v>390</v>
      </c>
      <c r="J161" s="108" t="str">
        <f>VLOOKUP(I161,Presupuesto!$B$8:$C$584,2,0)</f>
        <v>ALIMENTOS Y BEBIDAS PARA PERSONAS (31100-00)</v>
      </c>
      <c r="K161" s="108" t="s">
        <v>187</v>
      </c>
      <c r="L161" s="108" t="s">
        <v>493</v>
      </c>
    </row>
    <row r="162" spans="3:12" x14ac:dyDescent="0.25">
      <c r="C162" s="109" t="s">
        <v>50</v>
      </c>
      <c r="D162" s="790"/>
      <c r="E162" s="161"/>
      <c r="F162" s="128">
        <v>980</v>
      </c>
      <c r="G162" s="107">
        <f t="shared" si="16"/>
        <v>0</v>
      </c>
      <c r="H162" s="171"/>
      <c r="I162" s="108" t="s">
        <v>1540</v>
      </c>
      <c r="J162" s="108" t="str">
        <f>VLOOKUP(I162,Presupuesto!$B$8:$C$584,2,0)</f>
        <v>OTROS INTERESES</v>
      </c>
      <c r="K162" s="108" t="str">
        <f t="shared" ref="K162:K168" si="17">$K$17</f>
        <v>Estudiantes</v>
      </c>
      <c r="L162" s="108" t="s">
        <v>493</v>
      </c>
    </row>
    <row r="163" spans="3:12" x14ac:dyDescent="0.25">
      <c r="C163" s="109" t="s">
        <v>501</v>
      </c>
      <c r="D163" s="790"/>
      <c r="E163" s="161"/>
      <c r="F163" s="128">
        <v>250</v>
      </c>
      <c r="G163" s="107">
        <f t="shared" si="16"/>
        <v>0</v>
      </c>
      <c r="H163" s="171"/>
      <c r="I163" s="108" t="s">
        <v>1540</v>
      </c>
      <c r="J163" s="108" t="str">
        <f>VLOOKUP(I163,Presupuesto!$B$8:$C$584,2,0)</f>
        <v>OTROS INTERESES</v>
      </c>
      <c r="K163" s="108" t="str">
        <f t="shared" si="17"/>
        <v>Estudiantes</v>
      </c>
      <c r="L163" s="108" t="s">
        <v>493</v>
      </c>
    </row>
    <row r="164" spans="3:12" x14ac:dyDescent="0.25">
      <c r="C164" s="109" t="s">
        <v>51</v>
      </c>
      <c r="D164" s="790"/>
      <c r="E164" s="215"/>
      <c r="F164" s="110">
        <v>85</v>
      </c>
      <c r="G164" s="107">
        <f t="shared" si="16"/>
        <v>0</v>
      </c>
      <c r="H164" s="171" t="s">
        <v>207</v>
      </c>
      <c r="I164" s="108" t="s">
        <v>1020</v>
      </c>
      <c r="J164" s="108" t="str">
        <f>VLOOKUP(I164,Presupuesto!$B$8:$C$584,2,0)</f>
        <v>PAPEL DE ESCRITORIO</v>
      </c>
      <c r="K164" s="108" t="s">
        <v>187</v>
      </c>
      <c r="L164" s="108" t="s">
        <v>483</v>
      </c>
    </row>
    <row r="165" spans="3:12" x14ac:dyDescent="0.25">
      <c r="C165" s="109" t="s">
        <v>189</v>
      </c>
      <c r="D165" s="790"/>
      <c r="E165" s="215"/>
      <c r="F165" s="110">
        <v>36</v>
      </c>
      <c r="G165" s="107">
        <f t="shared" si="16"/>
        <v>0</v>
      </c>
      <c r="H165" s="171" t="s">
        <v>207</v>
      </c>
      <c r="I165" s="108" t="s">
        <v>406</v>
      </c>
      <c r="J165" s="108" t="str">
        <f>VLOOKUP(I165,Presupuesto!$B$8:$C$584,2,0)</f>
        <v>UTILES DE ESCRITORIO, OFICINA Y ENZE¥ANZA</v>
      </c>
      <c r="K165" s="108" t="s">
        <v>187</v>
      </c>
      <c r="L165" s="108" t="s">
        <v>483</v>
      </c>
    </row>
    <row r="166" spans="3:12" x14ac:dyDescent="0.25">
      <c r="C166" s="109" t="s">
        <v>34</v>
      </c>
      <c r="D166" s="790"/>
      <c r="E166" s="215"/>
      <c r="F166" s="110">
        <v>80</v>
      </c>
      <c r="G166" s="107">
        <f t="shared" si="16"/>
        <v>0</v>
      </c>
      <c r="H166" s="171" t="s">
        <v>207</v>
      </c>
      <c r="I166" s="108" t="s">
        <v>406</v>
      </c>
      <c r="J166" s="108" t="str">
        <f>VLOOKUP(I166,Presupuesto!$B$8:$C$584,2,0)</f>
        <v>UTILES DE ESCRITORIO, OFICINA Y ENZE¥ANZA</v>
      </c>
      <c r="K166" s="108" t="s">
        <v>187</v>
      </c>
      <c r="L166" s="108" t="s">
        <v>483</v>
      </c>
    </row>
    <row r="167" spans="3:12" x14ac:dyDescent="0.25">
      <c r="C167" s="119" t="s">
        <v>52</v>
      </c>
      <c r="D167" s="790"/>
      <c r="E167" s="224"/>
      <c r="F167" s="129">
        <v>25</v>
      </c>
      <c r="G167" s="107">
        <f t="shared" si="16"/>
        <v>0</v>
      </c>
      <c r="H167" s="171" t="s">
        <v>207</v>
      </c>
      <c r="I167" s="108" t="s">
        <v>406</v>
      </c>
      <c r="J167" s="108" t="str">
        <f>VLOOKUP(I167,Presupuesto!$B$8:$C$584,2,0)</f>
        <v>UTILES DE ESCRITORIO, OFICINA Y ENZE¥ANZA</v>
      </c>
      <c r="K167" s="108" t="s">
        <v>187</v>
      </c>
      <c r="L167" s="108" t="s">
        <v>483</v>
      </c>
    </row>
    <row r="168" spans="3:12" ht="15.75" thickBot="1" x14ac:dyDescent="0.3">
      <c r="C168" s="228" t="s">
        <v>512</v>
      </c>
      <c r="D168" s="229"/>
      <c r="E168" s="230"/>
      <c r="F168" s="114">
        <f>HLOOKUP(C168,$AH$2:$BU$3,2,0)</f>
        <v>2000</v>
      </c>
      <c r="G168" s="115">
        <f>D168*E168*F168</f>
        <v>0</v>
      </c>
      <c r="H168" s="171"/>
      <c r="I168" s="108" t="s">
        <v>1540</v>
      </c>
      <c r="J168" s="116" t="str">
        <f>VLOOKUP(I168,Presupuesto!$B$8:$C$584,2,0)</f>
        <v>OTROS INTERESES</v>
      </c>
      <c r="K168" s="108" t="str">
        <f t="shared" si="17"/>
        <v>Estudiantes</v>
      </c>
      <c r="L168" s="108" t="s">
        <v>493</v>
      </c>
    </row>
    <row r="169" spans="3:12" ht="15.75" thickBot="1" x14ac:dyDescent="0.3">
      <c r="C169" s="103"/>
      <c r="E169" s="122"/>
      <c r="F169" s="122"/>
      <c r="G169" s="122"/>
      <c r="H169" s="185"/>
      <c r="I169" s="122"/>
      <c r="J169" s="122"/>
      <c r="K169" s="122"/>
    </row>
    <row r="170" spans="3:12" ht="15.75" thickBot="1" x14ac:dyDescent="0.3">
      <c r="C170" s="29" t="s">
        <v>43</v>
      </c>
      <c r="D170" s="30">
        <f>SUM(G159:G168)</f>
        <v>4050</v>
      </c>
      <c r="E170" s="103"/>
      <c r="F170" s="103"/>
      <c r="G170" s="103"/>
      <c r="H170" s="84"/>
      <c r="I170" s="84"/>
      <c r="J170" s="84"/>
      <c r="K170" s="122"/>
    </row>
    <row r="173" spans="3:12" ht="15.75" x14ac:dyDescent="0.25">
      <c r="C173" s="217" t="s">
        <v>471</v>
      </c>
      <c r="D173" s="218"/>
      <c r="E173" s="103"/>
      <c r="F173" s="103"/>
      <c r="G173" s="103"/>
      <c r="H173" s="84"/>
      <c r="I173" s="84"/>
      <c r="J173" s="84"/>
      <c r="K173" s="122"/>
    </row>
    <row r="174" spans="3:12" ht="18.75" x14ac:dyDescent="0.25">
      <c r="C174" s="220" t="e">
        <f>IFERROR(VLOOKUP(D173,#REF!,2,FALSE),IFERROR(VLOOKUP(D173,#REF!,2,FALSE),IFERROR(VLOOKUP(D173,#REF!,2,FALSE),IFERROR(VLOOKUP(D173,'Docencia y Recursos Humanos '!$F:$G,2,FALSE),IFERROR(VLOOKUP(D173,Estudiantes!$E:$F,2,FALSE),IFERROR(VLOOKUP(D173,'Gestion Administrativa'!$E:$F,2,FALSE),IFERROR(VLOOKUP(D173,#REF!,2,FALSE),IFERROR(VLOOKUP(D173,#REF!,2,FALSE),IFERROR(VLOOKUP(D173,#REF!,2,FALSE),IFERROR(VLOOKUP(D173,#REF!,2,FALSE),IFERROR(VLOOKUP(D173,#REF!,2,FALSE),VLOOKUP(D173,#REF!,2,0))))))))))))</f>
        <v>#REF!</v>
      </c>
      <c r="D174" s="31"/>
      <c r="E174" s="103"/>
      <c r="F174" s="103"/>
      <c r="G174" s="103"/>
      <c r="H174" s="84"/>
      <c r="I174" s="84"/>
      <c r="J174" s="84"/>
      <c r="K174" s="122"/>
    </row>
    <row r="175" spans="3:12" ht="15.75" thickBot="1" x14ac:dyDescent="0.3">
      <c r="C175" s="69" t="s">
        <v>1635</v>
      </c>
      <c r="D175" s="31"/>
      <c r="E175" s="103"/>
      <c r="F175" s="103"/>
      <c r="G175" s="103"/>
      <c r="H175" s="84"/>
      <c r="I175" s="84"/>
      <c r="J175" s="84"/>
      <c r="K175" s="122"/>
    </row>
    <row r="176" spans="3:12" ht="30.75" thickBot="1" x14ac:dyDescent="0.3">
      <c r="C176" s="136" t="s">
        <v>44</v>
      </c>
      <c r="D176" s="139" t="s">
        <v>45</v>
      </c>
      <c r="E176" s="138" t="s">
        <v>55</v>
      </c>
      <c r="F176" s="138" t="s">
        <v>57</v>
      </c>
      <c r="G176" s="137" t="s">
        <v>27</v>
      </c>
      <c r="H176" s="143" t="s">
        <v>208</v>
      </c>
      <c r="I176" s="138" t="s">
        <v>46</v>
      </c>
      <c r="J176" s="138" t="s">
        <v>209</v>
      </c>
      <c r="K176" s="138" t="s">
        <v>491</v>
      </c>
      <c r="L176" s="138" t="s">
        <v>492</v>
      </c>
    </row>
    <row r="177" spans="3:12" x14ac:dyDescent="0.25">
      <c r="C177" s="105" t="s">
        <v>47</v>
      </c>
      <c r="D177" s="789">
        <v>67</v>
      </c>
      <c r="E177" s="168"/>
      <c r="F177" s="125">
        <v>20000</v>
      </c>
      <c r="G177" s="107">
        <f t="shared" ref="G177:G185" si="18">E177*F177</f>
        <v>0</v>
      </c>
      <c r="H177" s="171" t="s">
        <v>207</v>
      </c>
      <c r="I177" s="108" t="s">
        <v>355</v>
      </c>
      <c r="J177" s="108" t="str">
        <f>VLOOKUP(I177,Presupuesto!$B$8:$C$584,2,0)</f>
        <v>OTROS SERVICIOS PERSONALES (NUEVA)</v>
      </c>
      <c r="K177" s="231" t="s">
        <v>187</v>
      </c>
      <c r="L177" s="108" t="s">
        <v>483</v>
      </c>
    </row>
    <row r="178" spans="3:12" x14ac:dyDescent="0.25">
      <c r="C178" s="109" t="s">
        <v>48</v>
      </c>
      <c r="D178" s="790"/>
      <c r="E178" s="215">
        <v>0</v>
      </c>
      <c r="F178" s="110">
        <v>50</v>
      </c>
      <c r="G178" s="107">
        <f t="shared" si="18"/>
        <v>0</v>
      </c>
      <c r="H178" s="171" t="s">
        <v>207</v>
      </c>
      <c r="I178" s="108" t="s">
        <v>396</v>
      </c>
      <c r="J178" s="108" t="str">
        <f>VLOOKUP(I178,Presupuesto!$B$8:$C$584,2,0)</f>
        <v>LIBROS, REVISTAS Y PERIODICOS (33500-00)</v>
      </c>
      <c r="K178" s="108" t="s">
        <v>187</v>
      </c>
      <c r="L178" s="108" t="s">
        <v>483</v>
      </c>
    </row>
    <row r="179" spans="3:12" x14ac:dyDescent="0.25">
      <c r="C179" s="109" t="s">
        <v>49</v>
      </c>
      <c r="D179" s="790"/>
      <c r="E179" s="215">
        <v>67</v>
      </c>
      <c r="F179" s="110">
        <v>150</v>
      </c>
      <c r="G179" s="107">
        <f t="shared" si="18"/>
        <v>10050</v>
      </c>
      <c r="H179" s="171" t="s">
        <v>207</v>
      </c>
      <c r="I179" s="108" t="s">
        <v>390</v>
      </c>
      <c r="J179" s="108" t="str">
        <f>VLOOKUP(I179,Presupuesto!$B$8:$C$584,2,0)</f>
        <v>ALIMENTOS Y BEBIDAS PARA PERSONAS (31100-00)</v>
      </c>
      <c r="K179" s="108" t="s">
        <v>187</v>
      </c>
      <c r="L179" s="108" t="s">
        <v>479</v>
      </c>
    </row>
    <row r="180" spans="3:12" x14ac:dyDescent="0.25">
      <c r="C180" s="109" t="s">
        <v>50</v>
      </c>
      <c r="D180" s="790"/>
      <c r="E180" s="161"/>
      <c r="F180" s="128">
        <v>980</v>
      </c>
      <c r="G180" s="107">
        <f t="shared" si="18"/>
        <v>0</v>
      </c>
      <c r="H180" s="171"/>
      <c r="I180" s="108" t="s">
        <v>1540</v>
      </c>
      <c r="J180" s="108" t="str">
        <f>VLOOKUP(I180,Presupuesto!$B$8:$C$584,2,0)</f>
        <v>OTROS INTERESES</v>
      </c>
      <c r="K180" s="108" t="str">
        <f t="shared" ref="K180:K186" si="19">$K$17</f>
        <v>Estudiantes</v>
      </c>
      <c r="L180" s="108" t="s">
        <v>493</v>
      </c>
    </row>
    <row r="181" spans="3:12" x14ac:dyDescent="0.25">
      <c r="C181" s="109" t="s">
        <v>501</v>
      </c>
      <c r="D181" s="790"/>
      <c r="E181" s="161"/>
      <c r="F181" s="128">
        <v>250</v>
      </c>
      <c r="G181" s="107">
        <f t="shared" si="18"/>
        <v>0</v>
      </c>
      <c r="H181" s="171"/>
      <c r="I181" s="108" t="s">
        <v>1540</v>
      </c>
      <c r="J181" s="108" t="str">
        <f>VLOOKUP(I181,Presupuesto!$B$8:$C$584,2,0)</f>
        <v>OTROS INTERESES</v>
      </c>
      <c r="K181" s="108" t="str">
        <f t="shared" si="19"/>
        <v>Estudiantes</v>
      </c>
      <c r="L181" s="108" t="s">
        <v>493</v>
      </c>
    </row>
    <row r="182" spans="3:12" x14ac:dyDescent="0.25">
      <c r="C182" s="109" t="s">
        <v>51</v>
      </c>
      <c r="D182" s="790"/>
      <c r="E182" s="215"/>
      <c r="F182" s="110">
        <v>85</v>
      </c>
      <c r="G182" s="107">
        <f t="shared" si="18"/>
        <v>0</v>
      </c>
      <c r="H182" s="171" t="s">
        <v>207</v>
      </c>
      <c r="I182" s="108" t="s">
        <v>1020</v>
      </c>
      <c r="J182" s="108" t="str">
        <f>VLOOKUP(I182,Presupuesto!$B$8:$C$584,2,0)</f>
        <v>PAPEL DE ESCRITORIO</v>
      </c>
      <c r="K182" s="108" t="s">
        <v>187</v>
      </c>
      <c r="L182" s="108" t="s">
        <v>483</v>
      </c>
    </row>
    <row r="183" spans="3:12" x14ac:dyDescent="0.25">
      <c r="C183" s="109" t="s">
        <v>189</v>
      </c>
      <c r="D183" s="790"/>
      <c r="E183" s="215"/>
      <c r="F183" s="110">
        <v>36</v>
      </c>
      <c r="G183" s="107">
        <f t="shared" si="18"/>
        <v>0</v>
      </c>
      <c r="H183" s="171" t="s">
        <v>207</v>
      </c>
      <c r="I183" s="108" t="s">
        <v>406</v>
      </c>
      <c r="J183" s="108" t="str">
        <f>VLOOKUP(I183,Presupuesto!$B$8:$C$584,2,0)</f>
        <v>UTILES DE ESCRITORIO, OFICINA Y ENZE¥ANZA</v>
      </c>
      <c r="K183" s="108" t="s">
        <v>187</v>
      </c>
      <c r="L183" s="108" t="s">
        <v>483</v>
      </c>
    </row>
    <row r="184" spans="3:12" x14ac:dyDescent="0.25">
      <c r="C184" s="109" t="s">
        <v>34</v>
      </c>
      <c r="D184" s="790"/>
      <c r="E184" s="215"/>
      <c r="F184" s="110">
        <v>80</v>
      </c>
      <c r="G184" s="107">
        <f t="shared" si="18"/>
        <v>0</v>
      </c>
      <c r="H184" s="171" t="s">
        <v>207</v>
      </c>
      <c r="I184" s="108" t="s">
        <v>406</v>
      </c>
      <c r="J184" s="108" t="str">
        <f>VLOOKUP(I184,Presupuesto!$B$8:$C$584,2,0)</f>
        <v>UTILES DE ESCRITORIO, OFICINA Y ENZE¥ANZA</v>
      </c>
      <c r="K184" s="108" t="s">
        <v>187</v>
      </c>
      <c r="L184" s="108" t="s">
        <v>483</v>
      </c>
    </row>
    <row r="185" spans="3:12" x14ac:dyDescent="0.25">
      <c r="C185" s="119" t="s">
        <v>52</v>
      </c>
      <c r="D185" s="790"/>
      <c r="E185" s="224"/>
      <c r="F185" s="129">
        <v>25</v>
      </c>
      <c r="G185" s="107">
        <f t="shared" si="18"/>
        <v>0</v>
      </c>
      <c r="H185" s="171" t="s">
        <v>207</v>
      </c>
      <c r="I185" s="108" t="s">
        <v>406</v>
      </c>
      <c r="J185" s="108" t="str">
        <f>VLOOKUP(I185,Presupuesto!$B$8:$C$584,2,0)</f>
        <v>UTILES DE ESCRITORIO, OFICINA Y ENZE¥ANZA</v>
      </c>
      <c r="K185" s="108" t="s">
        <v>187</v>
      </c>
      <c r="L185" s="108" t="s">
        <v>483</v>
      </c>
    </row>
    <row r="186" spans="3:12" ht="15.75" thickBot="1" x14ac:dyDescent="0.3">
      <c r="C186" s="228" t="s">
        <v>512</v>
      </c>
      <c r="D186" s="229"/>
      <c r="E186" s="230"/>
      <c r="F186" s="114">
        <f>HLOOKUP(C186,$AH$2:$BU$3,2,0)</f>
        <v>2000</v>
      </c>
      <c r="G186" s="115">
        <f>D186*E186*F186</f>
        <v>0</v>
      </c>
      <c r="H186" s="171"/>
      <c r="I186" s="108" t="s">
        <v>1540</v>
      </c>
      <c r="J186" s="116" t="str">
        <f>VLOOKUP(I186,Presupuesto!$B$8:$C$584,2,0)</f>
        <v>OTROS INTERESES</v>
      </c>
      <c r="K186" s="108" t="str">
        <f t="shared" si="19"/>
        <v>Estudiantes</v>
      </c>
      <c r="L186" s="108" t="s">
        <v>493</v>
      </c>
    </row>
    <row r="187" spans="3:12" ht="15.75" thickBot="1" x14ac:dyDescent="0.3">
      <c r="C187" s="103"/>
      <c r="E187" s="122"/>
      <c r="F187" s="122"/>
      <c r="G187" s="122"/>
      <c r="H187" s="185"/>
      <c r="I187" s="122"/>
      <c r="J187" s="122"/>
      <c r="K187" s="122"/>
    </row>
    <row r="188" spans="3:12" ht="15.75" thickBot="1" x14ac:dyDescent="0.3">
      <c r="C188" s="29" t="s">
        <v>43</v>
      </c>
      <c r="D188" s="30">
        <f>SUM(G177:G186)</f>
        <v>10050</v>
      </c>
      <c r="E188" s="103"/>
      <c r="F188" s="103"/>
      <c r="G188" s="103"/>
      <c r="H188" s="84"/>
      <c r="I188" s="84"/>
      <c r="J188" s="84"/>
      <c r="K188" s="122"/>
    </row>
    <row r="191" spans="3:12" ht="15.75" x14ac:dyDescent="0.25">
      <c r="C191" s="217" t="s">
        <v>471</v>
      </c>
      <c r="D191" s="218"/>
      <c r="E191" s="103"/>
      <c r="F191" s="103"/>
      <c r="G191" s="103"/>
      <c r="H191" s="84"/>
      <c r="I191" s="84"/>
      <c r="J191" s="84"/>
      <c r="K191" s="122"/>
    </row>
    <row r="192" spans="3:12" ht="18.75" x14ac:dyDescent="0.25">
      <c r="C192" s="220" t="e">
        <f>IFERROR(VLOOKUP(D191,#REF!,2,FALSE),IFERROR(VLOOKUP(D191,#REF!,2,FALSE),IFERROR(VLOOKUP(D191,#REF!,2,FALSE),IFERROR(VLOOKUP(D191,'Docencia y Recursos Humanos '!$F:$G,2,FALSE),IFERROR(VLOOKUP(D191,Estudiantes!$E:$F,2,FALSE),IFERROR(VLOOKUP(D191,'Gestion Administrativa'!$E:$F,2,FALSE),IFERROR(VLOOKUP(D191,#REF!,2,FALSE),IFERROR(VLOOKUP(D191,#REF!,2,FALSE),IFERROR(VLOOKUP(D191,#REF!,2,FALSE),IFERROR(VLOOKUP(D191,#REF!,2,FALSE),IFERROR(VLOOKUP(D191,#REF!,2,FALSE),VLOOKUP(D191,#REF!,2,0))))))))))))</f>
        <v>#REF!</v>
      </c>
      <c r="D192" s="31"/>
      <c r="E192" s="103"/>
      <c r="F192" s="103"/>
      <c r="G192" s="103"/>
      <c r="H192" s="84"/>
      <c r="I192" s="84"/>
      <c r="J192" s="84"/>
      <c r="K192" s="122"/>
    </row>
    <row r="193" spans="3:12" ht="15.75" thickBot="1" x14ac:dyDescent="0.3">
      <c r="C193" s="69" t="s">
        <v>1661</v>
      </c>
      <c r="D193" s="31"/>
      <c r="E193" s="103"/>
      <c r="F193" s="103"/>
      <c r="G193" s="103"/>
      <c r="H193" s="84"/>
      <c r="I193" s="84"/>
      <c r="J193" s="84"/>
      <c r="K193" s="122"/>
    </row>
    <row r="194" spans="3:12" ht="30.75" thickBot="1" x14ac:dyDescent="0.3">
      <c r="C194" s="136" t="s">
        <v>44</v>
      </c>
      <c r="D194" s="139" t="s">
        <v>45</v>
      </c>
      <c r="E194" s="138" t="s">
        <v>55</v>
      </c>
      <c r="F194" s="138" t="s">
        <v>57</v>
      </c>
      <c r="G194" s="137" t="s">
        <v>27</v>
      </c>
      <c r="H194" s="143" t="s">
        <v>208</v>
      </c>
      <c r="I194" s="138" t="s">
        <v>46</v>
      </c>
      <c r="J194" s="138" t="s">
        <v>209</v>
      </c>
      <c r="K194" s="138" t="s">
        <v>491</v>
      </c>
      <c r="L194" s="138" t="s">
        <v>492</v>
      </c>
    </row>
    <row r="195" spans="3:12" x14ac:dyDescent="0.25">
      <c r="C195" s="105" t="s">
        <v>47</v>
      </c>
      <c r="D195" s="789">
        <v>200</v>
      </c>
      <c r="E195" s="168">
        <v>5</v>
      </c>
      <c r="F195" s="125">
        <v>50000</v>
      </c>
      <c r="G195" s="107">
        <f t="shared" ref="G195:G203" si="20">E195*F195</f>
        <v>250000</v>
      </c>
      <c r="H195" s="171" t="s">
        <v>207</v>
      </c>
      <c r="I195" s="108" t="s">
        <v>355</v>
      </c>
      <c r="J195" s="108" t="str">
        <f>VLOOKUP(I195,Presupuesto!$B$8:$C$584,2,0)</f>
        <v>OTROS SERVICIOS PERSONALES (NUEVA)</v>
      </c>
      <c r="K195" s="231" t="s">
        <v>201</v>
      </c>
      <c r="L195" s="108" t="s">
        <v>483</v>
      </c>
    </row>
    <row r="196" spans="3:12" x14ac:dyDescent="0.25">
      <c r="C196" s="109" t="s">
        <v>48</v>
      </c>
      <c r="D196" s="790"/>
      <c r="E196" s="215">
        <v>0</v>
      </c>
      <c r="F196" s="110">
        <v>50</v>
      </c>
      <c r="G196" s="107">
        <f t="shared" si="20"/>
        <v>0</v>
      </c>
      <c r="H196" s="171" t="s">
        <v>207</v>
      </c>
      <c r="I196" s="108" t="s">
        <v>396</v>
      </c>
      <c r="J196" s="108" t="str">
        <f>VLOOKUP(I196,Presupuesto!$B$8:$C$584,2,0)</f>
        <v>LIBROS, REVISTAS Y PERIODICOS (33500-00)</v>
      </c>
      <c r="K196" s="108" t="s">
        <v>187</v>
      </c>
      <c r="L196" s="108" t="s">
        <v>483</v>
      </c>
    </row>
    <row r="197" spans="3:12" x14ac:dyDescent="0.25">
      <c r="C197" s="109" t="s">
        <v>49</v>
      </c>
      <c r="D197" s="790"/>
      <c r="E197" s="215">
        <v>200</v>
      </c>
      <c r="F197" s="110">
        <v>150</v>
      </c>
      <c r="G197" s="107">
        <f t="shared" si="20"/>
        <v>30000</v>
      </c>
      <c r="H197" s="171" t="s">
        <v>207</v>
      </c>
      <c r="I197" s="108" t="s">
        <v>390</v>
      </c>
      <c r="J197" s="108" t="str">
        <f>VLOOKUP(I197,Presupuesto!$B$8:$C$584,2,0)</f>
        <v>ALIMENTOS Y BEBIDAS PARA PERSONAS (31100-00)</v>
      </c>
      <c r="K197" s="108" t="s">
        <v>201</v>
      </c>
      <c r="L197" s="108" t="s">
        <v>483</v>
      </c>
    </row>
    <row r="198" spans="3:12" x14ac:dyDescent="0.25">
      <c r="C198" s="109" t="s">
        <v>50</v>
      </c>
      <c r="D198" s="790"/>
      <c r="E198" s="161"/>
      <c r="F198" s="128">
        <v>980</v>
      </c>
      <c r="G198" s="107">
        <f t="shared" si="20"/>
        <v>0</v>
      </c>
      <c r="H198" s="171"/>
      <c r="I198" s="108" t="s">
        <v>1540</v>
      </c>
      <c r="J198" s="108" t="str">
        <f>VLOOKUP(I198,Presupuesto!$B$8:$C$584,2,0)</f>
        <v>OTROS INTERESES</v>
      </c>
      <c r="K198" s="108" t="str">
        <f t="shared" ref="K198:K204" si="21">$K$17</f>
        <v>Estudiantes</v>
      </c>
      <c r="L198" s="108" t="s">
        <v>493</v>
      </c>
    </row>
    <row r="199" spans="3:12" x14ac:dyDescent="0.25">
      <c r="C199" s="109" t="s">
        <v>501</v>
      </c>
      <c r="D199" s="790"/>
      <c r="E199" s="161"/>
      <c r="F199" s="128">
        <v>250</v>
      </c>
      <c r="G199" s="107">
        <f t="shared" si="20"/>
        <v>0</v>
      </c>
      <c r="H199" s="171"/>
      <c r="I199" s="108" t="s">
        <v>1540</v>
      </c>
      <c r="J199" s="108" t="str">
        <f>VLOOKUP(I199,Presupuesto!$B$8:$C$584,2,0)</f>
        <v>OTROS INTERESES</v>
      </c>
      <c r="K199" s="108" t="str">
        <f t="shared" si="21"/>
        <v>Estudiantes</v>
      </c>
      <c r="L199" s="108" t="s">
        <v>493</v>
      </c>
    </row>
    <row r="200" spans="3:12" x14ac:dyDescent="0.25">
      <c r="C200" s="109" t="s">
        <v>51</v>
      </c>
      <c r="D200" s="790"/>
      <c r="E200" s="215">
        <v>200</v>
      </c>
      <c r="F200" s="110">
        <v>50</v>
      </c>
      <c r="G200" s="107">
        <f t="shared" si="20"/>
        <v>10000</v>
      </c>
      <c r="H200" s="171" t="s">
        <v>207</v>
      </c>
      <c r="I200" s="108" t="s">
        <v>1020</v>
      </c>
      <c r="J200" s="108" t="str">
        <f>VLOOKUP(I200,Presupuesto!$B$8:$C$584,2,0)</f>
        <v>PAPEL DE ESCRITORIO</v>
      </c>
      <c r="K200" s="108" t="s">
        <v>201</v>
      </c>
      <c r="L200" s="108" t="s">
        <v>483</v>
      </c>
    </row>
    <row r="201" spans="3:12" x14ac:dyDescent="0.25">
      <c r="C201" s="109" t="s">
        <v>189</v>
      </c>
      <c r="D201" s="790"/>
      <c r="E201" s="215"/>
      <c r="F201" s="110">
        <v>36</v>
      </c>
      <c r="G201" s="107">
        <f t="shared" si="20"/>
        <v>0</v>
      </c>
      <c r="H201" s="171" t="s">
        <v>207</v>
      </c>
      <c r="I201" s="108" t="s">
        <v>406</v>
      </c>
      <c r="J201" s="108" t="str">
        <f>VLOOKUP(I201,Presupuesto!$B$8:$C$584,2,0)</f>
        <v>UTILES DE ESCRITORIO, OFICINA Y ENZE¥ANZA</v>
      </c>
      <c r="K201" s="108" t="s">
        <v>187</v>
      </c>
      <c r="L201" s="108" t="s">
        <v>483</v>
      </c>
    </row>
    <row r="202" spans="3:12" x14ac:dyDescent="0.25">
      <c r="C202" s="109" t="s">
        <v>34</v>
      </c>
      <c r="D202" s="790"/>
      <c r="E202" s="215"/>
      <c r="F202" s="110">
        <v>80</v>
      </c>
      <c r="G202" s="107">
        <f t="shared" si="20"/>
        <v>0</v>
      </c>
      <c r="H202" s="171" t="s">
        <v>207</v>
      </c>
      <c r="I202" s="108" t="s">
        <v>406</v>
      </c>
      <c r="J202" s="108" t="str">
        <f>VLOOKUP(I202,Presupuesto!$B$8:$C$584,2,0)</f>
        <v>UTILES DE ESCRITORIO, OFICINA Y ENZE¥ANZA</v>
      </c>
      <c r="K202" s="108" t="s">
        <v>187</v>
      </c>
      <c r="L202" s="108" t="s">
        <v>483</v>
      </c>
    </row>
    <row r="203" spans="3:12" x14ac:dyDescent="0.25">
      <c r="C203" s="119" t="s">
        <v>52</v>
      </c>
      <c r="D203" s="790"/>
      <c r="E203" s="224"/>
      <c r="F203" s="129">
        <v>25</v>
      </c>
      <c r="G203" s="107">
        <f t="shared" si="20"/>
        <v>0</v>
      </c>
      <c r="H203" s="171" t="s">
        <v>207</v>
      </c>
      <c r="I203" s="108" t="s">
        <v>406</v>
      </c>
      <c r="J203" s="108" t="str">
        <f>VLOOKUP(I203,Presupuesto!$B$8:$C$584,2,0)</f>
        <v>UTILES DE ESCRITORIO, OFICINA Y ENZE¥ANZA</v>
      </c>
      <c r="K203" s="108" t="s">
        <v>187</v>
      </c>
      <c r="L203" s="108" t="s">
        <v>483</v>
      </c>
    </row>
    <row r="204" spans="3:12" ht="15.75" thickBot="1" x14ac:dyDescent="0.3">
      <c r="C204" s="228" t="s">
        <v>512</v>
      </c>
      <c r="D204" s="229"/>
      <c r="E204" s="230"/>
      <c r="F204" s="114">
        <f>HLOOKUP(C204,$AH$2:$BU$3,2,0)</f>
        <v>2000</v>
      </c>
      <c r="G204" s="115">
        <f>D204*E204*F204</f>
        <v>0</v>
      </c>
      <c r="H204" s="171"/>
      <c r="I204" s="108" t="s">
        <v>1540</v>
      </c>
      <c r="J204" s="116" t="str">
        <f>VLOOKUP(I204,Presupuesto!$B$8:$C$584,2,0)</f>
        <v>OTROS INTERESES</v>
      </c>
      <c r="K204" s="108" t="str">
        <f t="shared" si="21"/>
        <v>Estudiantes</v>
      </c>
      <c r="L204" s="108" t="s">
        <v>493</v>
      </c>
    </row>
    <row r="205" spans="3:12" ht="15.75" thickBot="1" x14ac:dyDescent="0.3">
      <c r="C205" s="103"/>
      <c r="E205" s="122"/>
      <c r="F205" s="122"/>
      <c r="G205" s="122"/>
      <c r="H205" s="185"/>
      <c r="I205" s="122"/>
      <c r="J205" s="122"/>
      <c r="K205" s="122"/>
    </row>
    <row r="206" spans="3:12" ht="15.75" thickBot="1" x14ac:dyDescent="0.3">
      <c r="C206" s="29" t="s">
        <v>43</v>
      </c>
      <c r="D206" s="30">
        <f>SUM(G195:G204)</f>
        <v>290000</v>
      </c>
      <c r="E206" s="103"/>
      <c r="F206" s="103"/>
      <c r="G206" s="103"/>
      <c r="H206" s="84"/>
      <c r="I206" s="84"/>
      <c r="J206" s="84"/>
      <c r="K206" s="122"/>
    </row>
    <row r="208" spans="3:12" ht="15.75" x14ac:dyDescent="0.25">
      <c r="C208" s="217" t="s">
        <v>471</v>
      </c>
      <c r="D208" s="218"/>
      <c r="E208" s="103"/>
      <c r="F208" s="103"/>
      <c r="G208" s="103"/>
      <c r="H208" s="84"/>
      <c r="I208" s="84"/>
      <c r="J208" s="84"/>
      <c r="K208" s="122"/>
    </row>
    <row r="209" spans="3:12" ht="18.75" x14ac:dyDescent="0.25">
      <c r="C209" s="220" t="e">
        <f>IFERROR(VLOOKUP(D208,#REF!,2,FALSE),IFERROR(VLOOKUP(D208,#REF!,2,FALSE),IFERROR(VLOOKUP(D208,#REF!,2,FALSE),IFERROR(VLOOKUP(D208,'Docencia y Recursos Humanos '!$F:$G,2,FALSE),IFERROR(VLOOKUP(D208,Estudiantes!$E:$F,2,FALSE),IFERROR(VLOOKUP(D208,'Gestion Administrativa'!$E:$F,2,FALSE),IFERROR(VLOOKUP(D208,#REF!,2,FALSE),IFERROR(VLOOKUP(D208,#REF!,2,FALSE),IFERROR(VLOOKUP(D208,#REF!,2,FALSE),IFERROR(VLOOKUP(D208,#REF!,2,FALSE),IFERROR(VLOOKUP(D208,#REF!,2,FALSE),VLOOKUP(D208,#REF!,2,0))))))))))))</f>
        <v>#REF!</v>
      </c>
      <c r="D209" s="31"/>
      <c r="E209" s="103"/>
      <c r="F209" s="103"/>
      <c r="G209" s="103"/>
      <c r="H209" s="84"/>
      <c r="I209" s="84"/>
      <c r="J209" s="84"/>
      <c r="K209" s="122"/>
    </row>
    <row r="210" spans="3:12" ht="15.75" thickBot="1" x14ac:dyDescent="0.3">
      <c r="C210" s="69" t="s">
        <v>1661</v>
      </c>
      <c r="D210" s="31"/>
      <c r="E210" s="103"/>
      <c r="F210" s="103"/>
      <c r="G210" s="103"/>
      <c r="H210" s="84"/>
      <c r="I210" s="84"/>
      <c r="J210" s="84"/>
      <c r="K210" s="122"/>
    </row>
    <row r="211" spans="3:12" ht="30.75" thickBot="1" x14ac:dyDescent="0.3">
      <c r="C211" s="136" t="s">
        <v>44</v>
      </c>
      <c r="D211" s="139" t="s">
        <v>45</v>
      </c>
      <c r="E211" s="138" t="s">
        <v>55</v>
      </c>
      <c r="F211" s="138" t="s">
        <v>57</v>
      </c>
      <c r="G211" s="137" t="s">
        <v>27</v>
      </c>
      <c r="H211" s="143" t="s">
        <v>208</v>
      </c>
      <c r="I211" s="138" t="s">
        <v>46</v>
      </c>
      <c r="J211" s="138" t="s">
        <v>209</v>
      </c>
      <c r="K211" s="138" t="s">
        <v>491</v>
      </c>
      <c r="L211" s="138" t="s">
        <v>492</v>
      </c>
    </row>
    <row r="212" spans="3:12" x14ac:dyDescent="0.25">
      <c r="C212" s="105" t="s">
        <v>47</v>
      </c>
      <c r="D212" s="789">
        <v>160</v>
      </c>
      <c r="E212" s="168">
        <v>0</v>
      </c>
      <c r="F212" s="125">
        <v>50000</v>
      </c>
      <c r="G212" s="107">
        <f t="shared" ref="G212:G220" si="22">E212*F212</f>
        <v>0</v>
      </c>
      <c r="H212" s="171" t="s">
        <v>207</v>
      </c>
      <c r="I212" s="108" t="s">
        <v>355</v>
      </c>
      <c r="J212" s="108" t="str">
        <f>VLOOKUP(I212,Presupuesto!$B$8:$C$584,2,0)</f>
        <v>OTROS SERVICIOS PERSONALES (NUEVA)</v>
      </c>
      <c r="K212" s="231" t="s">
        <v>201</v>
      </c>
      <c r="L212" s="108" t="s">
        <v>483</v>
      </c>
    </row>
    <row r="213" spans="3:12" x14ac:dyDescent="0.25">
      <c r="C213" s="109" t="s">
        <v>48</v>
      </c>
      <c r="D213" s="790"/>
      <c r="E213" s="215">
        <v>0</v>
      </c>
      <c r="F213" s="110">
        <v>50</v>
      </c>
      <c r="G213" s="107">
        <f t="shared" si="22"/>
        <v>0</v>
      </c>
      <c r="H213" s="171" t="s">
        <v>207</v>
      </c>
      <c r="I213" s="108" t="s">
        <v>396</v>
      </c>
      <c r="J213" s="108" t="str">
        <f>VLOOKUP(I213,Presupuesto!$B$8:$C$584,2,0)</f>
        <v>LIBROS, REVISTAS Y PERIODICOS (33500-00)</v>
      </c>
      <c r="K213" s="108" t="s">
        <v>187</v>
      </c>
      <c r="L213" s="108" t="s">
        <v>483</v>
      </c>
    </row>
    <row r="214" spans="3:12" x14ac:dyDescent="0.25">
      <c r="C214" s="109" t="s">
        <v>49</v>
      </c>
      <c r="D214" s="790"/>
      <c r="E214" s="215">
        <v>160</v>
      </c>
      <c r="F214" s="110">
        <v>100</v>
      </c>
      <c r="G214" s="107">
        <f t="shared" si="22"/>
        <v>16000</v>
      </c>
      <c r="H214" s="171" t="s">
        <v>207</v>
      </c>
      <c r="I214" s="108" t="s">
        <v>390</v>
      </c>
      <c r="J214" s="108" t="str">
        <f>VLOOKUP(I214,Presupuesto!$B$8:$C$584,2,0)</f>
        <v>ALIMENTOS Y BEBIDAS PARA PERSONAS (31100-00)</v>
      </c>
      <c r="K214" s="108" t="s">
        <v>201</v>
      </c>
      <c r="L214" s="108" t="s">
        <v>483</v>
      </c>
    </row>
    <row r="215" spans="3:12" x14ac:dyDescent="0.25">
      <c r="C215" s="109" t="s">
        <v>50</v>
      </c>
      <c r="D215" s="790"/>
      <c r="E215" s="161"/>
      <c r="F215" s="128">
        <v>980</v>
      </c>
      <c r="G215" s="107">
        <f t="shared" si="22"/>
        <v>0</v>
      </c>
      <c r="H215" s="171"/>
      <c r="I215" s="108" t="s">
        <v>1540</v>
      </c>
      <c r="J215" s="108" t="str">
        <f>VLOOKUP(I215,Presupuesto!$B$8:$C$584,2,0)</f>
        <v>OTROS INTERESES</v>
      </c>
      <c r="K215" s="108" t="str">
        <f>$K$17</f>
        <v>Estudiantes</v>
      </c>
      <c r="L215" s="108" t="s">
        <v>493</v>
      </c>
    </row>
    <row r="216" spans="3:12" x14ac:dyDescent="0.25">
      <c r="C216" s="109" t="s">
        <v>501</v>
      </c>
      <c r="D216" s="790"/>
      <c r="E216" s="161">
        <v>160</v>
      </c>
      <c r="F216" s="128">
        <v>200</v>
      </c>
      <c r="G216" s="107">
        <f t="shared" si="22"/>
        <v>32000</v>
      </c>
      <c r="H216" s="171" t="s">
        <v>207</v>
      </c>
      <c r="I216" s="108" t="s">
        <v>406</v>
      </c>
      <c r="J216" s="108" t="str">
        <f>VLOOKUP(I216,Presupuesto!$B$8:$C$584,2,0)</f>
        <v>UTILES DE ESCRITORIO, OFICINA Y ENZE¥ANZA</v>
      </c>
      <c r="K216" s="108" t="s">
        <v>201</v>
      </c>
      <c r="L216" s="108" t="s">
        <v>493</v>
      </c>
    </row>
    <row r="217" spans="3:12" x14ac:dyDescent="0.25">
      <c r="C217" s="109" t="s">
        <v>51</v>
      </c>
      <c r="D217" s="790"/>
      <c r="E217" s="215">
        <v>0</v>
      </c>
      <c r="F217" s="110">
        <v>50</v>
      </c>
      <c r="G217" s="107">
        <f t="shared" si="22"/>
        <v>0</v>
      </c>
      <c r="H217" s="171" t="s">
        <v>207</v>
      </c>
      <c r="I217" s="108" t="s">
        <v>1020</v>
      </c>
      <c r="J217" s="108" t="str">
        <f>VLOOKUP(I217,Presupuesto!$B$8:$C$584,2,0)</f>
        <v>PAPEL DE ESCRITORIO</v>
      </c>
      <c r="K217" s="108" t="s">
        <v>201</v>
      </c>
      <c r="L217" s="108" t="s">
        <v>483</v>
      </c>
    </row>
    <row r="218" spans="3:12" x14ac:dyDescent="0.25">
      <c r="C218" s="109" t="s">
        <v>189</v>
      </c>
      <c r="D218" s="790"/>
      <c r="E218" s="215"/>
      <c r="F218" s="110">
        <v>36</v>
      </c>
      <c r="G218" s="107">
        <f t="shared" si="22"/>
        <v>0</v>
      </c>
      <c r="H218" s="171" t="s">
        <v>207</v>
      </c>
      <c r="I218" s="108" t="s">
        <v>406</v>
      </c>
      <c r="J218" s="108" t="str">
        <f>VLOOKUP(I218,Presupuesto!$B$8:$C$584,2,0)</f>
        <v>UTILES DE ESCRITORIO, OFICINA Y ENZE¥ANZA</v>
      </c>
      <c r="K218" s="108" t="s">
        <v>187</v>
      </c>
      <c r="L218" s="108" t="s">
        <v>483</v>
      </c>
    </row>
    <row r="219" spans="3:12" x14ac:dyDescent="0.25">
      <c r="C219" s="109" t="s">
        <v>34</v>
      </c>
      <c r="D219" s="790"/>
      <c r="E219" s="215"/>
      <c r="F219" s="110">
        <v>80</v>
      </c>
      <c r="G219" s="107">
        <f t="shared" si="22"/>
        <v>0</v>
      </c>
      <c r="H219" s="171" t="s">
        <v>207</v>
      </c>
      <c r="I219" s="108" t="s">
        <v>406</v>
      </c>
      <c r="J219" s="108" t="str">
        <f>VLOOKUP(I219,Presupuesto!$B$8:$C$584,2,0)</f>
        <v>UTILES DE ESCRITORIO, OFICINA Y ENZE¥ANZA</v>
      </c>
      <c r="K219" s="108" t="s">
        <v>187</v>
      </c>
      <c r="L219" s="108" t="s">
        <v>483</v>
      </c>
    </row>
    <row r="220" spans="3:12" x14ac:dyDescent="0.25">
      <c r="C220" s="119" t="s">
        <v>52</v>
      </c>
      <c r="D220" s="790"/>
      <c r="E220" s="224"/>
      <c r="F220" s="129">
        <v>25</v>
      </c>
      <c r="G220" s="107">
        <f t="shared" si="22"/>
        <v>0</v>
      </c>
      <c r="H220" s="171" t="s">
        <v>207</v>
      </c>
      <c r="I220" s="108" t="s">
        <v>406</v>
      </c>
      <c r="J220" s="108" t="str">
        <f>VLOOKUP(I220,Presupuesto!$B$8:$C$584,2,0)</f>
        <v>UTILES DE ESCRITORIO, OFICINA Y ENZE¥ANZA</v>
      </c>
      <c r="K220" s="108" t="s">
        <v>187</v>
      </c>
      <c r="L220" s="108" t="s">
        <v>483</v>
      </c>
    </row>
    <row r="221" spans="3:12" ht="15.75" thickBot="1" x14ac:dyDescent="0.3">
      <c r="C221" s="228" t="s">
        <v>512</v>
      </c>
      <c r="D221" s="229"/>
      <c r="E221" s="230"/>
      <c r="F221" s="114">
        <f>HLOOKUP(C221,$AH$2:$BU$3,2,0)</f>
        <v>2000</v>
      </c>
      <c r="G221" s="115">
        <f>D221*E221*F221</f>
        <v>0</v>
      </c>
      <c r="H221" s="171"/>
      <c r="I221" s="108" t="s">
        <v>1540</v>
      </c>
      <c r="J221" s="116" t="str">
        <f>VLOOKUP(I221,Presupuesto!$B$8:$C$584,2,0)</f>
        <v>OTROS INTERESES</v>
      </c>
      <c r="K221" s="108" t="str">
        <f>$K$17</f>
        <v>Estudiantes</v>
      </c>
      <c r="L221" s="108" t="s">
        <v>493</v>
      </c>
    </row>
    <row r="222" spans="3:12" ht="15.75" thickBot="1" x14ac:dyDescent="0.3">
      <c r="C222" s="103"/>
      <c r="E222" s="122"/>
      <c r="F222" s="122"/>
      <c r="G222" s="122"/>
      <c r="H222" s="185"/>
      <c r="I222" s="122"/>
      <c r="J222" s="122"/>
      <c r="K222" s="122"/>
    </row>
    <row r="223" spans="3:12" ht="15.75" thickBot="1" x14ac:dyDescent="0.3">
      <c r="C223" s="29" t="s">
        <v>43</v>
      </c>
      <c r="D223" s="30">
        <f>SUM(G212:G221)</f>
        <v>48000</v>
      </c>
      <c r="E223" s="103"/>
      <c r="F223" s="103"/>
      <c r="G223" s="103"/>
      <c r="H223" s="84"/>
      <c r="I223" s="84"/>
      <c r="J223" s="84"/>
      <c r="K223" s="122"/>
    </row>
    <row r="225" spans="3:12" x14ac:dyDescent="0.25">
      <c r="I225" s="433"/>
    </row>
    <row r="226" spans="3:12" x14ac:dyDescent="0.25">
      <c r="C226" s="69" t="s">
        <v>41</v>
      </c>
      <c r="D226" s="69"/>
      <c r="E226" s="69"/>
      <c r="F226" s="69"/>
      <c r="G226" s="69"/>
      <c r="H226" s="87"/>
      <c r="I226" s="69"/>
      <c r="J226" s="69"/>
    </row>
    <row r="227" spans="3:12" x14ac:dyDescent="0.25">
      <c r="C227" s="69" t="s">
        <v>42</v>
      </c>
      <c r="D227" s="69"/>
      <c r="E227" s="69"/>
      <c r="F227" s="69"/>
      <c r="G227" s="69"/>
      <c r="H227" s="87"/>
      <c r="I227" s="69"/>
      <c r="J227" s="69"/>
    </row>
    <row r="228" spans="3:12" ht="15.75" thickBot="1" x14ac:dyDescent="0.3">
      <c r="C228" s="188" t="s">
        <v>1707</v>
      </c>
      <c r="D228" s="188"/>
      <c r="E228" s="188"/>
      <c r="F228" s="188"/>
      <c r="G228" s="188"/>
      <c r="H228" s="87"/>
      <c r="I228" s="188"/>
      <c r="J228" s="188"/>
      <c r="K228" s="122"/>
    </row>
    <row r="229" spans="3:12" ht="15.75" thickBot="1" x14ac:dyDescent="0.3">
      <c r="C229" s="29" t="s">
        <v>43</v>
      </c>
      <c r="D229" s="30">
        <f>SUM(G236:G245)</f>
        <v>12470</v>
      </c>
      <c r="E229" s="103"/>
      <c r="F229" s="103"/>
      <c r="G229" s="103"/>
      <c r="H229" s="84"/>
      <c r="I229" s="84"/>
      <c r="J229" s="84"/>
      <c r="K229" s="122"/>
    </row>
    <row r="230" spans="3:12" x14ac:dyDescent="0.25">
      <c r="C230" s="69"/>
      <c r="D230" s="31"/>
      <c r="E230" s="103"/>
      <c r="F230" s="103"/>
      <c r="G230" s="103"/>
      <c r="H230" s="84"/>
      <c r="I230" s="84"/>
      <c r="J230" s="84"/>
      <c r="K230" s="122"/>
    </row>
    <row r="231" spans="3:12" x14ac:dyDescent="0.25">
      <c r="C231" s="69"/>
      <c r="D231" s="31"/>
      <c r="E231" s="103"/>
      <c r="F231" s="103"/>
      <c r="G231" s="103"/>
      <c r="H231" s="84"/>
      <c r="I231" s="84"/>
      <c r="J231" s="84"/>
      <c r="K231" s="122"/>
    </row>
    <row r="232" spans="3:12" ht="15.75" x14ac:dyDescent="0.25">
      <c r="C232" s="217" t="s">
        <v>471</v>
      </c>
      <c r="D232" s="218" t="s">
        <v>1685</v>
      </c>
      <c r="E232" s="103"/>
      <c r="F232" s="103"/>
      <c r="G232" s="103"/>
      <c r="H232" s="84"/>
      <c r="I232" s="84"/>
      <c r="J232" s="84"/>
      <c r="K232" s="122"/>
    </row>
    <row r="233" spans="3:12" ht="18.75" x14ac:dyDescent="0.25">
      <c r="C233" s="220" t="str">
        <f>IFERROR(VLOOKUP(D232,'[1]Desarrollo Curricular'!$E:$F,2,FALSE),IFERROR(VLOOKUP(D232,[1]Investigación!$E:$F,2,FALSE),IFERROR(VLOOKUP(D232,'[1]Vinculación Univ. Sociedad'!$E:$F,2,FALSE),IFERROR(VLOOKUP(D232,'[1]Docencia y Recursos Humanos '!$E:$F,2,FALSE),IFERROR(VLOOKUP(D232,[1]Estudiantes!$E:$F,2,FALSE),IFERROR(VLOOKUP(D232,'[1]Gestion Administrativa'!$E:$F,2,FALSE),IFERROR(VLOOKUP(D232,'[1]Gestion Academica'!$E:$F,2,FALSE),IFERROR(VLOOKUP(D232,[1]Graduados!$E:$F,2,FALSE),IFERROR(VLOOKUP(D232,'[1]Gestión del Conocimiento'!$E:$F,2,FALSE),IFERROR(VLOOKUP(D232,[1]Gobernabilidad!$E:$F,2,FALSE),IFERROR(VLOOKUP(D232,'[1]NIVEL DE ES Y  SISTEMA NACIONAL'!$E:$F,2,FALSE),VLOOKUP(D232,'[1]Lo Esencial'!$E:$F,2,0))))))))))))</f>
        <v>b.2 Ejecución y aplicación de tecnicas innovadoras en el proceso e-a</v>
      </c>
      <c r="D233" s="31"/>
      <c r="E233" s="103"/>
      <c r="F233" s="103"/>
      <c r="G233" s="103"/>
      <c r="H233" s="84"/>
      <c r="I233" s="84"/>
      <c r="J233" s="84"/>
      <c r="K233" s="122"/>
    </row>
    <row r="234" spans="3:12" ht="15.75" thickBot="1" x14ac:dyDescent="0.3">
      <c r="C234" s="69"/>
      <c r="D234" s="31"/>
      <c r="E234" s="103"/>
      <c r="F234" s="103"/>
      <c r="G234" s="103"/>
      <c r="H234" s="84"/>
      <c r="I234" s="84"/>
      <c r="J234" s="84"/>
      <c r="K234" s="122"/>
    </row>
    <row r="235" spans="3:12" ht="30.75" thickBot="1" x14ac:dyDescent="0.3">
      <c r="C235" s="136" t="s">
        <v>44</v>
      </c>
      <c r="D235" s="139" t="s">
        <v>45</v>
      </c>
      <c r="E235" s="138" t="s">
        <v>55</v>
      </c>
      <c r="F235" s="138" t="s">
        <v>57</v>
      </c>
      <c r="G235" s="137" t="s">
        <v>27</v>
      </c>
      <c r="H235" s="143" t="s">
        <v>208</v>
      </c>
      <c r="I235" s="138" t="s">
        <v>46</v>
      </c>
      <c r="J235" s="138" t="s">
        <v>209</v>
      </c>
      <c r="K235" s="138" t="s">
        <v>491</v>
      </c>
      <c r="L235" s="138" t="s">
        <v>492</v>
      </c>
    </row>
    <row r="236" spans="3:12" x14ac:dyDescent="0.25">
      <c r="C236" s="105" t="s">
        <v>47</v>
      </c>
      <c r="D236" s="789">
        <v>15</v>
      </c>
      <c r="E236" s="168">
        <v>1</v>
      </c>
      <c r="F236" s="125">
        <v>0</v>
      </c>
      <c r="G236" s="107">
        <f t="shared" ref="G236:G244" si="23">E236*F236</f>
        <v>0</v>
      </c>
      <c r="H236" s="171" t="s">
        <v>206</v>
      </c>
      <c r="I236" s="108" t="s">
        <v>1532</v>
      </c>
      <c r="J236" s="108" t="str">
        <f>VLOOKUP(I236,[1]Presupuesto!$B$8:$C$584,2,0)</f>
        <v>INTERESES DE INSTITUCIONES PUBLICAS FINANCIERAS</v>
      </c>
      <c r="K236" s="231" t="s">
        <v>201</v>
      </c>
      <c r="L236" s="108" t="s">
        <v>478</v>
      </c>
    </row>
    <row r="237" spans="3:12" x14ac:dyDescent="0.25">
      <c r="C237" s="109" t="s">
        <v>48</v>
      </c>
      <c r="D237" s="790"/>
      <c r="E237" s="215">
        <f>D236</f>
        <v>15</v>
      </c>
      <c r="F237" s="110">
        <v>25</v>
      </c>
      <c r="G237" s="107">
        <f t="shared" si="23"/>
        <v>375</v>
      </c>
      <c r="H237" s="171" t="s">
        <v>207</v>
      </c>
      <c r="I237" s="108" t="s">
        <v>373</v>
      </c>
      <c r="J237" s="108" t="str">
        <f>VLOOKUP(I237,[1]Presupuesto!$B$8:$C$584,2,0)</f>
        <v>IMPRENTA, PUBLIC. Y REPRODUC. (25300-00)</v>
      </c>
      <c r="K237" s="108" t="str">
        <f>$K$17</f>
        <v>Estudiantes</v>
      </c>
      <c r="L237" s="108" t="s">
        <v>478</v>
      </c>
    </row>
    <row r="238" spans="3:12" x14ac:dyDescent="0.25">
      <c r="C238" s="109" t="s">
        <v>49</v>
      </c>
      <c r="D238" s="790"/>
      <c r="E238" s="215">
        <f>D236</f>
        <v>15</v>
      </c>
      <c r="F238" s="110">
        <v>0</v>
      </c>
      <c r="G238" s="107">
        <f t="shared" si="23"/>
        <v>0</v>
      </c>
      <c r="H238" s="171"/>
      <c r="I238" s="108" t="s">
        <v>1540</v>
      </c>
      <c r="J238" s="108" t="str">
        <f>VLOOKUP(I238,[1]Presupuesto!$B$8:$C$584,2,0)</f>
        <v>OTROS INTERESES</v>
      </c>
      <c r="K238" s="108" t="str">
        <f t="shared" ref="K238:K245" si="24">$K$17</f>
        <v>Estudiantes</v>
      </c>
      <c r="L238" s="108" t="s">
        <v>477</v>
      </c>
    </row>
    <row r="239" spans="3:12" x14ac:dyDescent="0.25">
      <c r="C239" s="109" t="s">
        <v>50</v>
      </c>
      <c r="D239" s="790"/>
      <c r="E239" s="161">
        <v>2</v>
      </c>
      <c r="F239" s="128">
        <v>980</v>
      </c>
      <c r="G239" s="107">
        <f t="shared" si="23"/>
        <v>1960</v>
      </c>
      <c r="H239" s="171" t="s">
        <v>207</v>
      </c>
      <c r="I239" s="108" t="s">
        <v>379</v>
      </c>
      <c r="J239" s="108" t="str">
        <f>VLOOKUP(I239,[1]Presupuesto!$B$8:$C$584,2,0)</f>
        <v>PASAJES (26100-00)</v>
      </c>
      <c r="K239" s="108" t="str">
        <f t="shared" si="24"/>
        <v>Estudiantes</v>
      </c>
      <c r="L239" s="108" t="s">
        <v>493</v>
      </c>
    </row>
    <row r="240" spans="3:12" x14ac:dyDescent="0.25">
      <c r="C240" s="109" t="s">
        <v>501</v>
      </c>
      <c r="D240" s="790"/>
      <c r="E240" s="161">
        <v>15</v>
      </c>
      <c r="F240" s="128">
        <v>0</v>
      </c>
      <c r="G240" s="107">
        <f t="shared" si="23"/>
        <v>0</v>
      </c>
      <c r="H240" s="171" t="s">
        <v>206</v>
      </c>
      <c r="I240" s="108" t="s">
        <v>1540</v>
      </c>
      <c r="J240" s="108" t="str">
        <f>VLOOKUP(I240,[1]Presupuesto!$B$8:$C$584,2,0)</f>
        <v>OTROS INTERESES</v>
      </c>
      <c r="K240" s="108" t="str">
        <f t="shared" si="24"/>
        <v>Estudiantes</v>
      </c>
      <c r="L240" s="108" t="s">
        <v>493</v>
      </c>
    </row>
    <row r="241" spans="3:12" x14ac:dyDescent="0.25">
      <c r="C241" s="109" t="s">
        <v>51</v>
      </c>
      <c r="D241" s="790"/>
      <c r="E241" s="215">
        <v>3</v>
      </c>
      <c r="F241" s="110">
        <v>45</v>
      </c>
      <c r="G241" s="107">
        <f t="shared" si="23"/>
        <v>135</v>
      </c>
      <c r="H241" s="171" t="s">
        <v>207</v>
      </c>
      <c r="I241" s="108" t="s">
        <v>1020</v>
      </c>
      <c r="J241" s="108" t="str">
        <f>VLOOKUP(I241,[1]Presupuesto!$B$8:$C$584,2,0)</f>
        <v>PAPEL DE ESCRITORIO</v>
      </c>
      <c r="K241" s="108" t="str">
        <f t="shared" si="24"/>
        <v>Estudiantes</v>
      </c>
      <c r="L241" s="108" t="s">
        <v>493</v>
      </c>
    </row>
    <row r="242" spans="3:12" x14ac:dyDescent="0.25">
      <c r="C242" s="109" t="s">
        <v>189</v>
      </c>
      <c r="D242" s="790"/>
      <c r="E242" s="215">
        <v>0</v>
      </c>
      <c r="F242" s="110"/>
      <c r="G242" s="107">
        <f t="shared" si="23"/>
        <v>0</v>
      </c>
      <c r="H242" s="171"/>
      <c r="I242" s="108" t="s">
        <v>1540</v>
      </c>
      <c r="J242" s="108" t="str">
        <f>VLOOKUP(I242,[1]Presupuesto!$B$8:$C$584,2,0)</f>
        <v>OTROS INTERESES</v>
      </c>
      <c r="K242" s="108" t="str">
        <f t="shared" si="24"/>
        <v>Estudiantes</v>
      </c>
      <c r="L242" s="108" t="s">
        <v>493</v>
      </c>
    </row>
    <row r="243" spans="3:12" x14ac:dyDescent="0.25">
      <c r="C243" s="109" t="s">
        <v>34</v>
      </c>
      <c r="D243" s="790"/>
      <c r="E243" s="215">
        <v>0</v>
      </c>
      <c r="F243" s="110"/>
      <c r="G243" s="107">
        <f t="shared" si="23"/>
        <v>0</v>
      </c>
      <c r="H243" s="171"/>
      <c r="I243" s="108" t="s">
        <v>1540</v>
      </c>
      <c r="J243" s="108" t="str">
        <f>VLOOKUP(I243,[1]Presupuesto!$B$8:$C$584,2,0)</f>
        <v>OTROS INTERESES</v>
      </c>
      <c r="K243" s="108" t="str">
        <f t="shared" si="24"/>
        <v>Estudiantes</v>
      </c>
      <c r="L243" s="108" t="s">
        <v>493</v>
      </c>
    </row>
    <row r="244" spans="3:12" x14ac:dyDescent="0.25">
      <c r="C244" s="119" t="s">
        <v>52</v>
      </c>
      <c r="D244" s="790"/>
      <c r="E244" s="224">
        <v>0</v>
      </c>
      <c r="F244" s="129"/>
      <c r="G244" s="107">
        <f t="shared" si="23"/>
        <v>0</v>
      </c>
      <c r="H244" s="171"/>
      <c r="I244" s="108" t="s">
        <v>1540</v>
      </c>
      <c r="J244" s="108" t="str">
        <f>VLOOKUP(I244,[1]Presupuesto!$B$8:$C$584,2,0)</f>
        <v>OTROS INTERESES</v>
      </c>
      <c r="K244" s="108" t="str">
        <f t="shared" si="24"/>
        <v>Estudiantes</v>
      </c>
      <c r="L244" s="108" t="s">
        <v>493</v>
      </c>
    </row>
    <row r="245" spans="3:12" ht="15.75" thickBot="1" x14ac:dyDescent="0.3">
      <c r="C245" s="228" t="s">
        <v>512</v>
      </c>
      <c r="D245" s="229">
        <v>1</v>
      </c>
      <c r="E245" s="230">
        <v>5</v>
      </c>
      <c r="F245" s="114">
        <f>HLOOKUP(C245,$AH$2:$BU$3,2,0)</f>
        <v>2000</v>
      </c>
      <c r="G245" s="115">
        <f>D245*E245*F245</f>
        <v>10000</v>
      </c>
      <c r="H245" s="171" t="s">
        <v>207</v>
      </c>
      <c r="I245" s="108" t="s">
        <v>380</v>
      </c>
      <c r="J245" s="116" t="str">
        <f>VLOOKUP(I245,[1]Presupuesto!$B$8:$C$584,2,0)</f>
        <v>VIATICOS (26200-00)</v>
      </c>
      <c r="K245" s="108" t="str">
        <f t="shared" si="24"/>
        <v>Estudiantes</v>
      </c>
      <c r="L245" s="108" t="s">
        <v>493</v>
      </c>
    </row>
    <row r="246" spans="3:12" ht="15.75" thickBot="1" x14ac:dyDescent="0.3">
      <c r="C246" s="103"/>
      <c r="E246" s="122"/>
      <c r="F246" s="122"/>
      <c r="G246" s="122"/>
      <c r="H246" s="185"/>
      <c r="I246" s="122"/>
      <c r="J246" s="122"/>
      <c r="K246" s="122"/>
    </row>
    <row r="247" spans="3:12" ht="15.75" thickBot="1" x14ac:dyDescent="0.3">
      <c r="C247" s="29" t="s">
        <v>43</v>
      </c>
      <c r="D247" s="30">
        <f>SUM(G254:G263)</f>
        <v>635</v>
      </c>
      <c r="E247" s="103"/>
      <c r="F247" s="103"/>
      <c r="G247" s="103"/>
      <c r="H247" s="84"/>
      <c r="I247" s="84"/>
      <c r="J247" s="84"/>
      <c r="K247" s="122"/>
    </row>
    <row r="248" spans="3:12" x14ac:dyDescent="0.25">
      <c r="C248" s="69"/>
      <c r="D248" s="31"/>
      <c r="E248" s="103"/>
      <c r="F248" s="103"/>
      <c r="G248" s="103"/>
      <c r="H248" s="84"/>
      <c r="I248" s="84"/>
      <c r="J248" s="84"/>
      <c r="K248" s="122"/>
    </row>
    <row r="249" spans="3:12" x14ac:dyDescent="0.25">
      <c r="C249" s="69"/>
      <c r="D249" s="31"/>
      <c r="E249" s="103"/>
      <c r="F249" s="103"/>
      <c r="G249" s="103"/>
      <c r="H249" s="84"/>
      <c r="I249" s="84"/>
      <c r="J249" s="84"/>
      <c r="K249" s="122"/>
    </row>
    <row r="250" spans="3:12" ht="15.75" x14ac:dyDescent="0.25">
      <c r="C250" s="217" t="s">
        <v>471</v>
      </c>
      <c r="D250" s="218" t="s">
        <v>1704</v>
      </c>
      <c r="E250" s="103"/>
      <c r="F250" s="103"/>
      <c r="G250" s="103"/>
      <c r="H250" s="84"/>
      <c r="I250" s="84"/>
      <c r="J250" s="84"/>
      <c r="K250" s="122"/>
    </row>
    <row r="251" spans="3:12" ht="18.75" x14ac:dyDescent="0.25">
      <c r="C251" s="220" t="str">
        <f>IFERROR(VLOOKUP(D250,'[1]Desarrollo Curricular'!$E:$F,2,FALSE),IFERROR(VLOOKUP(D250,[1]Investigación!$E:$F,2,FALSE),IFERROR(VLOOKUP(D250,'[1]Vinculación Univ. Sociedad'!$E:$F,2,FALSE),IFERROR(VLOOKUP(D250,'[1]Docencia y Recursos Humanos '!$E:$F,2,FALSE),IFERROR(VLOOKUP(D250,[1]Estudiantes!$E:$F,2,FALSE),IFERROR(VLOOKUP(D250,'[1]Gestion Administrativa'!$E:$F,2,FALSE),IFERROR(VLOOKUP(D250,'[1]Gestion Academica'!$E:$F,2,FALSE),IFERROR(VLOOKUP(D250,[1]Graduados!$E:$F,2,FALSE),IFERROR(VLOOKUP(D250,'[1]Gestión del Conocimiento'!$E:$F,2,FALSE),IFERROR(VLOOKUP(D250,[1]Gobernabilidad!$E:$F,2,FALSE),IFERROR(VLOOKUP(D250,'[1]NIVEL DE ES Y  SISTEMA NACIONAL'!$E:$F,2,FALSE),VLOOKUP(D250,'[1]Lo Esencial'!$E:$F,2,0))))))))))))</f>
        <v>b.4 Socializacion y Analisis de la Normativa Universitaria</v>
      </c>
      <c r="D251" s="31"/>
      <c r="E251" s="103"/>
      <c r="F251" s="103"/>
      <c r="G251" s="103"/>
      <c r="H251" s="84"/>
      <c r="I251" s="84"/>
      <c r="J251" s="84"/>
      <c r="K251" s="122"/>
    </row>
    <row r="252" spans="3:12" ht="15.75" thickBot="1" x14ac:dyDescent="0.3">
      <c r="C252" s="69" t="s">
        <v>1708</v>
      </c>
      <c r="D252" s="31"/>
      <c r="E252" s="103"/>
      <c r="F252" s="103"/>
      <c r="G252" s="103"/>
      <c r="H252" s="84"/>
      <c r="I252" s="84"/>
      <c r="J252" s="84"/>
      <c r="K252" s="122"/>
    </row>
    <row r="253" spans="3:12" ht="30.75" thickBot="1" x14ac:dyDescent="0.3">
      <c r="C253" s="136" t="s">
        <v>44</v>
      </c>
      <c r="D253" s="139" t="s">
        <v>45</v>
      </c>
      <c r="E253" s="138" t="s">
        <v>55</v>
      </c>
      <c r="F253" s="138" t="s">
        <v>57</v>
      </c>
      <c r="G253" s="137" t="s">
        <v>27</v>
      </c>
      <c r="H253" s="143" t="s">
        <v>208</v>
      </c>
      <c r="I253" s="138" t="s">
        <v>46</v>
      </c>
      <c r="J253" s="138" t="s">
        <v>209</v>
      </c>
      <c r="K253" s="138" t="s">
        <v>491</v>
      </c>
      <c r="L253" s="138" t="s">
        <v>492</v>
      </c>
    </row>
    <row r="254" spans="3:12" x14ac:dyDescent="0.25">
      <c r="C254" s="105" t="s">
        <v>47</v>
      </c>
      <c r="D254" s="789">
        <v>20</v>
      </c>
      <c r="E254" s="168">
        <v>1</v>
      </c>
      <c r="F254" s="125">
        <v>0</v>
      </c>
      <c r="G254" s="107">
        <f t="shared" ref="G254:G262" si="25">E254*F254</f>
        <v>0</v>
      </c>
      <c r="H254" s="171" t="s">
        <v>206</v>
      </c>
      <c r="I254" s="108" t="s">
        <v>1532</v>
      </c>
      <c r="J254" s="108" t="str">
        <f>VLOOKUP(I254,[1]Presupuesto!$B$8:$C$584,2,0)</f>
        <v>INTERESES DE INSTITUCIONES PUBLICAS FINANCIERAS</v>
      </c>
      <c r="K254" s="231" t="s">
        <v>201</v>
      </c>
      <c r="L254" s="108" t="s">
        <v>478</v>
      </c>
    </row>
    <row r="255" spans="3:12" x14ac:dyDescent="0.25">
      <c r="C255" s="109" t="s">
        <v>48</v>
      </c>
      <c r="D255" s="790"/>
      <c r="E255" s="215">
        <f>D254</f>
        <v>20</v>
      </c>
      <c r="F255" s="110">
        <v>25</v>
      </c>
      <c r="G255" s="107">
        <f t="shared" si="25"/>
        <v>500</v>
      </c>
      <c r="H255" s="171" t="s">
        <v>207</v>
      </c>
      <c r="I255" s="108" t="s">
        <v>373</v>
      </c>
      <c r="J255" s="108" t="str">
        <f>VLOOKUP(I255,[1]Presupuesto!$B$8:$C$584,2,0)</f>
        <v>IMPRENTA, PUBLIC. Y REPRODUC. (25300-00)</v>
      </c>
      <c r="K255" s="108" t="str">
        <f>$K$17</f>
        <v>Estudiantes</v>
      </c>
      <c r="L255" s="108" t="s">
        <v>483</v>
      </c>
    </row>
    <row r="256" spans="3:12" x14ac:dyDescent="0.25">
      <c r="C256" s="109" t="s">
        <v>49</v>
      </c>
      <c r="D256" s="790"/>
      <c r="E256" s="215">
        <f>D254</f>
        <v>20</v>
      </c>
      <c r="F256" s="110">
        <v>0</v>
      </c>
      <c r="G256" s="107">
        <f t="shared" si="25"/>
        <v>0</v>
      </c>
      <c r="H256" s="171"/>
      <c r="I256" s="108" t="s">
        <v>1540</v>
      </c>
      <c r="J256" s="108" t="str">
        <f>VLOOKUP(I256,[1]Presupuesto!$B$8:$C$584,2,0)</f>
        <v>OTROS INTERESES</v>
      </c>
      <c r="K256" s="108" t="str">
        <f t="shared" ref="K256:K263" si="26">$K$17</f>
        <v>Estudiantes</v>
      </c>
      <c r="L256" s="108" t="s">
        <v>477</v>
      </c>
    </row>
    <row r="257" spans="3:12" x14ac:dyDescent="0.25">
      <c r="C257" s="109" t="s">
        <v>50</v>
      </c>
      <c r="D257" s="790"/>
      <c r="E257" s="161">
        <v>0</v>
      </c>
      <c r="F257" s="128">
        <v>0</v>
      </c>
      <c r="G257" s="107">
        <f t="shared" si="25"/>
        <v>0</v>
      </c>
      <c r="H257" s="171" t="s">
        <v>206</v>
      </c>
      <c r="I257" s="108" t="s">
        <v>379</v>
      </c>
      <c r="J257" s="108" t="str">
        <f>VLOOKUP(I257,[1]Presupuesto!$B$8:$C$584,2,0)</f>
        <v>PASAJES (26100-00)</v>
      </c>
      <c r="K257" s="108" t="str">
        <f t="shared" si="26"/>
        <v>Estudiantes</v>
      </c>
      <c r="L257" s="108" t="s">
        <v>493</v>
      </c>
    </row>
    <row r="258" spans="3:12" x14ac:dyDescent="0.25">
      <c r="C258" s="109" t="s">
        <v>501</v>
      </c>
      <c r="D258" s="790"/>
      <c r="E258" s="161">
        <v>15</v>
      </c>
      <c r="F258" s="128">
        <v>0</v>
      </c>
      <c r="G258" s="107">
        <f t="shared" si="25"/>
        <v>0</v>
      </c>
      <c r="H258" s="171" t="s">
        <v>206</v>
      </c>
      <c r="I258" s="108" t="s">
        <v>1540</v>
      </c>
      <c r="J258" s="108" t="str">
        <f>VLOOKUP(I258,[1]Presupuesto!$B$8:$C$584,2,0)</f>
        <v>OTROS INTERESES</v>
      </c>
      <c r="K258" s="108" t="str">
        <f t="shared" si="26"/>
        <v>Estudiantes</v>
      </c>
      <c r="L258" s="108" t="s">
        <v>493</v>
      </c>
    </row>
    <row r="259" spans="3:12" x14ac:dyDescent="0.25">
      <c r="C259" s="109" t="s">
        <v>51</v>
      </c>
      <c r="D259" s="790"/>
      <c r="E259" s="215">
        <v>3</v>
      </c>
      <c r="F259" s="110">
        <v>45</v>
      </c>
      <c r="G259" s="107">
        <f t="shared" si="25"/>
        <v>135</v>
      </c>
      <c r="H259" s="171" t="s">
        <v>207</v>
      </c>
      <c r="I259" s="108" t="s">
        <v>1020</v>
      </c>
      <c r="J259" s="108" t="str">
        <f>VLOOKUP(I259,[1]Presupuesto!$B$8:$C$584,2,0)</f>
        <v>PAPEL DE ESCRITORIO</v>
      </c>
      <c r="K259" s="108" t="str">
        <f t="shared" si="26"/>
        <v>Estudiantes</v>
      </c>
      <c r="L259" s="108" t="s">
        <v>483</v>
      </c>
    </row>
    <row r="260" spans="3:12" x14ac:dyDescent="0.25">
      <c r="C260" s="109" t="s">
        <v>189</v>
      </c>
      <c r="D260" s="790"/>
      <c r="E260" s="215">
        <v>0</v>
      </c>
      <c r="F260" s="110"/>
      <c r="G260" s="107">
        <f t="shared" si="25"/>
        <v>0</v>
      </c>
      <c r="H260" s="171"/>
      <c r="I260" s="108" t="s">
        <v>1540</v>
      </c>
      <c r="J260" s="108" t="str">
        <f>VLOOKUP(I260,[1]Presupuesto!$B$8:$C$584,2,0)</f>
        <v>OTROS INTERESES</v>
      </c>
      <c r="K260" s="108" t="str">
        <f t="shared" si="26"/>
        <v>Estudiantes</v>
      </c>
      <c r="L260" s="108" t="s">
        <v>493</v>
      </c>
    </row>
    <row r="261" spans="3:12" x14ac:dyDescent="0.25">
      <c r="C261" s="109" t="s">
        <v>34</v>
      </c>
      <c r="D261" s="790"/>
      <c r="E261" s="215">
        <v>0</v>
      </c>
      <c r="F261" s="110"/>
      <c r="G261" s="107">
        <f t="shared" si="25"/>
        <v>0</v>
      </c>
      <c r="H261" s="171"/>
      <c r="I261" s="108" t="s">
        <v>1540</v>
      </c>
      <c r="J261" s="108" t="str">
        <f>VLOOKUP(I261,[1]Presupuesto!$B$8:$C$584,2,0)</f>
        <v>OTROS INTERESES</v>
      </c>
      <c r="K261" s="108" t="str">
        <f t="shared" si="26"/>
        <v>Estudiantes</v>
      </c>
      <c r="L261" s="108" t="s">
        <v>493</v>
      </c>
    </row>
    <row r="262" spans="3:12" x14ac:dyDescent="0.25">
      <c r="C262" s="119" t="s">
        <v>52</v>
      </c>
      <c r="D262" s="790"/>
      <c r="E262" s="224">
        <v>0</v>
      </c>
      <c r="F262" s="129"/>
      <c r="G262" s="107">
        <f t="shared" si="25"/>
        <v>0</v>
      </c>
      <c r="H262" s="171"/>
      <c r="I262" s="108" t="s">
        <v>1540</v>
      </c>
      <c r="J262" s="108" t="str">
        <f>VLOOKUP(I262,[1]Presupuesto!$B$8:$C$584,2,0)</f>
        <v>OTROS INTERESES</v>
      </c>
      <c r="K262" s="108" t="str">
        <f t="shared" si="26"/>
        <v>Estudiantes</v>
      </c>
      <c r="L262" s="108" t="s">
        <v>493</v>
      </c>
    </row>
    <row r="263" spans="3:12" ht="15.75" thickBot="1" x14ac:dyDescent="0.3">
      <c r="C263" s="228" t="s">
        <v>512</v>
      </c>
      <c r="D263" s="229">
        <v>0</v>
      </c>
      <c r="E263" s="230">
        <v>0</v>
      </c>
      <c r="F263" s="114">
        <f>HLOOKUP(C263,$AH$2:$BU$3,2,0)</f>
        <v>2000</v>
      </c>
      <c r="G263" s="115">
        <f>D263*E263*F263</f>
        <v>0</v>
      </c>
      <c r="H263" s="171" t="s">
        <v>206</v>
      </c>
      <c r="I263" s="108" t="s">
        <v>380</v>
      </c>
      <c r="J263" s="116" t="str">
        <f>VLOOKUP(I263,[1]Presupuesto!$B$8:$C$584,2,0)</f>
        <v>VIATICOS (26200-00)</v>
      </c>
      <c r="K263" s="108" t="str">
        <f t="shared" si="26"/>
        <v>Estudiantes</v>
      </c>
      <c r="L263" s="108" t="s">
        <v>493</v>
      </c>
    </row>
    <row r="266" spans="3:12" x14ac:dyDescent="0.25">
      <c r="C266" s="69" t="s">
        <v>41</v>
      </c>
      <c r="D266" s="69"/>
      <c r="E266" s="69"/>
      <c r="F266" s="69"/>
      <c r="G266" s="69"/>
      <c r="H266" s="87"/>
      <c r="I266" s="69"/>
      <c r="J266" s="69"/>
    </row>
    <row r="267" spans="3:12" x14ac:dyDescent="0.25">
      <c r="C267" s="69" t="s">
        <v>42</v>
      </c>
      <c r="D267" s="69"/>
      <c r="E267" s="69"/>
      <c r="F267" s="69"/>
      <c r="G267" s="69"/>
      <c r="H267" s="87"/>
      <c r="I267" s="69"/>
      <c r="J267" s="69"/>
    </row>
    <row r="268" spans="3:12" ht="15.75" thickBot="1" x14ac:dyDescent="0.3">
      <c r="C268" s="188"/>
      <c r="D268" s="188"/>
      <c r="E268" s="188"/>
      <c r="F268" s="188"/>
      <c r="G268" s="188"/>
      <c r="H268" s="87"/>
      <c r="I268" s="188"/>
      <c r="J268" s="188"/>
      <c r="K268" s="122"/>
    </row>
    <row r="269" spans="3:12" ht="15.75" thickBot="1" x14ac:dyDescent="0.3">
      <c r="C269" s="29" t="s">
        <v>43</v>
      </c>
      <c r="D269" s="30">
        <f>SUM(G276:G285)</f>
        <v>6877.5</v>
      </c>
      <c r="E269" s="103"/>
      <c r="F269" s="103"/>
      <c r="G269" s="103"/>
      <c r="H269" s="84"/>
      <c r="I269" s="84"/>
      <c r="J269" s="84"/>
      <c r="K269" s="122"/>
    </row>
    <row r="270" spans="3:12" x14ac:dyDescent="0.25">
      <c r="C270" s="69"/>
      <c r="D270" s="31"/>
      <c r="E270" s="103"/>
      <c r="F270" s="103"/>
      <c r="G270" s="103"/>
      <c r="H270" s="84"/>
      <c r="I270" s="84"/>
      <c r="J270" s="84"/>
      <c r="K270" s="122"/>
    </row>
    <row r="271" spans="3:12" x14ac:dyDescent="0.25">
      <c r="C271" s="69"/>
      <c r="D271" s="31"/>
      <c r="E271" s="103"/>
      <c r="F271" s="103"/>
      <c r="G271" s="103"/>
      <c r="H271" s="84"/>
      <c r="I271" s="84"/>
      <c r="J271" s="84"/>
      <c r="K271" s="122"/>
    </row>
    <row r="272" spans="3:12" ht="15.75" x14ac:dyDescent="0.25">
      <c r="C272" s="217" t="s">
        <v>471</v>
      </c>
      <c r="D272" s="218" t="s">
        <v>1546</v>
      </c>
      <c r="E272" s="103"/>
      <c r="F272" s="103"/>
      <c r="G272" s="103"/>
      <c r="H272" s="84"/>
      <c r="I272" s="84"/>
      <c r="J272" s="84"/>
      <c r="K272" s="122"/>
    </row>
    <row r="273" spans="3:12" ht="18.75" x14ac:dyDescent="0.25">
      <c r="C273" s="220" t="str">
        <f>IFERROR(VLOOKUP(D272,'[2]Desarrollo Curricular'!$E:$F,2,FALSE),IFERROR(VLOOKUP(D272,[2]Investigación!$E:$F,2,FALSE),IFERROR(VLOOKUP(D272,'[2]Vinculación Univ. Sociedad'!$E:$F,2,FALSE),IFERROR(VLOOKUP(D272,'[2]Docencia y Recursos Humanos '!$E:$F,2,FALSE),IFERROR(VLOOKUP(D272,[2]Estudiantes!$E:$F,2,FALSE),IFERROR(VLOOKUP(D272,'[2]Gestion Administrativa'!$E:$F,2,FALSE),IFERROR(VLOOKUP(D272,'[2]Gestion Academica'!$E:$F,2,FALSE),IFERROR(VLOOKUP(D272,[2]Graduados!$E:$F,2,FALSE),IFERROR(VLOOKUP(D272,'[2]Gestión del Conocimiento'!$E:$F,2,FALSE),IFERROR(VLOOKUP(D272,[2]Gobernabilidad!$E:$F,2,FALSE),IFERROR(VLOOKUP(D272,'[2]NIVEL DE ES Y  SISTEMA NACIONAL'!$E:$F,2,FALSE),VLOOKUP(D272,'[2]Lo Esencial'!$E:$F,2,0))))))))))))</f>
        <v>a.1 Realización de investigaciones de mercado que permitan evaluar la pertinencia de los planes de estudio.                                                                                                              a.2 Intitucionalización de comisiones y sub comisiones de desarrollo curricular.</v>
      </c>
      <c r="D273" s="31"/>
      <c r="E273" s="103"/>
      <c r="F273" s="103"/>
      <c r="G273" s="103"/>
      <c r="H273" s="84"/>
      <c r="I273" s="84"/>
      <c r="J273" s="84"/>
      <c r="K273" s="122"/>
    </row>
    <row r="274" spans="3:12" ht="15.75" thickBot="1" x14ac:dyDescent="0.3">
      <c r="C274" s="69" t="s">
        <v>1732</v>
      </c>
      <c r="D274" s="31"/>
      <c r="E274" s="103"/>
      <c r="F274" s="103"/>
      <c r="G274" s="103"/>
      <c r="H274" s="84"/>
      <c r="I274" s="84"/>
      <c r="J274" s="84"/>
      <c r="K274" s="122"/>
    </row>
    <row r="275" spans="3:12" ht="30.75" thickBot="1" x14ac:dyDescent="0.3">
      <c r="C275" s="136" t="s">
        <v>44</v>
      </c>
      <c r="D275" s="139" t="s">
        <v>45</v>
      </c>
      <c r="E275" s="138" t="s">
        <v>55</v>
      </c>
      <c r="F275" s="138" t="s">
        <v>57</v>
      </c>
      <c r="G275" s="137" t="s">
        <v>27</v>
      </c>
      <c r="H275" s="143" t="s">
        <v>208</v>
      </c>
      <c r="I275" s="138" t="s">
        <v>46</v>
      </c>
      <c r="J275" s="138" t="s">
        <v>209</v>
      </c>
      <c r="K275" s="138" t="s">
        <v>491</v>
      </c>
      <c r="L275" s="138" t="s">
        <v>492</v>
      </c>
    </row>
    <row r="276" spans="3:12" x14ac:dyDescent="0.25">
      <c r="C276" s="105" t="s">
        <v>47</v>
      </c>
      <c r="D276" s="789">
        <v>30</v>
      </c>
      <c r="E276" s="168"/>
      <c r="F276" s="125"/>
      <c r="G276" s="107">
        <f t="shared" ref="G276:G284" si="27">E276*F276</f>
        <v>0</v>
      </c>
      <c r="H276" s="171" t="s">
        <v>207</v>
      </c>
      <c r="I276" s="108"/>
      <c r="J276" s="108" t="str">
        <f>VLOOKUP(I276,[2]Presupuesto!$B$8:$C$584,2,0)</f>
        <v>Total Plan Operativo</v>
      </c>
      <c r="K276" s="231" t="s">
        <v>561</v>
      </c>
      <c r="L276" s="108" t="s">
        <v>477</v>
      </c>
    </row>
    <row r="277" spans="3:12" x14ac:dyDescent="0.25">
      <c r="C277" s="109" t="s">
        <v>48</v>
      </c>
      <c r="D277" s="790"/>
      <c r="E277" s="215">
        <v>30</v>
      </c>
      <c r="F277" s="110">
        <v>50</v>
      </c>
      <c r="G277" s="107">
        <f t="shared" si="27"/>
        <v>1500</v>
      </c>
      <c r="H277" s="171" t="s">
        <v>207</v>
      </c>
      <c r="I277" s="108" t="s">
        <v>373</v>
      </c>
      <c r="J277" s="108" t="str">
        <f>VLOOKUP(I277,[2]Presupuesto!$B$8:$C$584,2,0)</f>
        <v>IMPRENTA, PUBLIC. Y REPRODUC. (25300-00)</v>
      </c>
      <c r="K277" s="231" t="s">
        <v>561</v>
      </c>
      <c r="L277" s="108" t="s">
        <v>477</v>
      </c>
    </row>
    <row r="278" spans="3:12" x14ac:dyDescent="0.25">
      <c r="C278" s="109" t="s">
        <v>49</v>
      </c>
      <c r="D278" s="790"/>
      <c r="E278" s="215">
        <v>30</v>
      </c>
      <c r="F278" s="110">
        <v>100</v>
      </c>
      <c r="G278" s="107">
        <f t="shared" si="27"/>
        <v>3000</v>
      </c>
      <c r="H278" s="171" t="s">
        <v>207</v>
      </c>
      <c r="I278" s="108" t="s">
        <v>390</v>
      </c>
      <c r="J278" s="108" t="str">
        <f>VLOOKUP(I278,[2]Presupuesto!$B$8:$C$584,2,0)</f>
        <v>ALIMENTOS Y BEBIDAS PARA PERSONAS (31100-00)</v>
      </c>
      <c r="K278" s="231" t="s">
        <v>561</v>
      </c>
      <c r="L278" s="108" t="s">
        <v>477</v>
      </c>
    </row>
    <row r="279" spans="3:12" x14ac:dyDescent="0.25">
      <c r="C279" s="109" t="s">
        <v>50</v>
      </c>
      <c r="D279" s="790"/>
      <c r="E279" s="161"/>
      <c r="F279" s="128"/>
      <c r="G279" s="107">
        <f t="shared" si="27"/>
        <v>0</v>
      </c>
      <c r="H279" s="171"/>
      <c r="I279" s="108"/>
      <c r="J279" s="108" t="str">
        <f>VLOOKUP(I279,[2]Presupuesto!$B$8:$C$584,2,0)</f>
        <v>Total Plan Operativo</v>
      </c>
      <c r="K279" s="231" t="s">
        <v>561</v>
      </c>
      <c r="L279" s="108" t="s">
        <v>477</v>
      </c>
    </row>
    <row r="280" spans="3:12" x14ac:dyDescent="0.25">
      <c r="C280" s="109" t="s">
        <v>501</v>
      </c>
      <c r="D280" s="790"/>
      <c r="E280" s="161"/>
      <c r="F280" s="128"/>
      <c r="G280" s="107">
        <f t="shared" si="27"/>
        <v>0</v>
      </c>
      <c r="H280" s="171"/>
      <c r="I280" s="108"/>
      <c r="J280" s="108" t="str">
        <f>VLOOKUP(I280,[2]Presupuesto!$B$8:$C$584,2,0)</f>
        <v>Total Plan Operativo</v>
      </c>
      <c r="K280" s="231" t="s">
        <v>561</v>
      </c>
      <c r="L280" s="108" t="s">
        <v>477</v>
      </c>
    </row>
    <row r="281" spans="3:12" x14ac:dyDescent="0.25">
      <c r="C281" s="109" t="s">
        <v>51</v>
      </c>
      <c r="D281" s="790"/>
      <c r="E281" s="215">
        <f>(D276*25)/500</f>
        <v>1.5</v>
      </c>
      <c r="F281" s="110">
        <v>85</v>
      </c>
      <c r="G281" s="107">
        <f t="shared" si="27"/>
        <v>127.5</v>
      </c>
      <c r="H281" s="171" t="s">
        <v>207</v>
      </c>
      <c r="I281" s="108" t="s">
        <v>395</v>
      </c>
      <c r="J281" s="108" t="str">
        <f>VLOOKUP(I281,[2]Presupuesto!$B$8:$C$584,2,0)</f>
        <v>PRODUCTOS DE PAPEL Y CARTON (33400-00)</v>
      </c>
      <c r="K281" s="231" t="s">
        <v>561</v>
      </c>
      <c r="L281" s="108" t="s">
        <v>477</v>
      </c>
    </row>
    <row r="282" spans="3:12" x14ac:dyDescent="0.25">
      <c r="C282" s="109" t="s">
        <v>189</v>
      </c>
      <c r="D282" s="790"/>
      <c r="E282" s="215">
        <v>30</v>
      </c>
      <c r="F282" s="110">
        <v>7</v>
      </c>
      <c r="G282" s="107">
        <f t="shared" si="27"/>
        <v>210</v>
      </c>
      <c r="H282" s="171" t="s">
        <v>207</v>
      </c>
      <c r="I282" s="108" t="s">
        <v>406</v>
      </c>
      <c r="J282" s="108" t="str">
        <f>VLOOKUP(I282,[2]Presupuesto!$B$8:$C$584,2,0)</f>
        <v>UTILES DE ESCRITORIO, OFICINA Y ENZE¥ANZA</v>
      </c>
      <c r="K282" s="231" t="s">
        <v>561</v>
      </c>
      <c r="L282" s="108" t="s">
        <v>477</v>
      </c>
    </row>
    <row r="283" spans="3:12" x14ac:dyDescent="0.25">
      <c r="C283" s="109" t="s">
        <v>34</v>
      </c>
      <c r="D283" s="790"/>
      <c r="E283" s="215">
        <v>4</v>
      </c>
      <c r="F283" s="110">
        <v>10</v>
      </c>
      <c r="G283" s="107">
        <f t="shared" si="27"/>
        <v>40</v>
      </c>
      <c r="H283" s="171" t="s">
        <v>207</v>
      </c>
      <c r="I283" s="108" t="s">
        <v>406</v>
      </c>
      <c r="J283" s="108" t="str">
        <f>VLOOKUP(I283,[2]Presupuesto!$B$8:$C$584,2,0)</f>
        <v>UTILES DE ESCRITORIO, OFICINA Y ENZE¥ANZA</v>
      </c>
      <c r="K283" s="231" t="s">
        <v>561</v>
      </c>
      <c r="L283" s="108" t="s">
        <v>477</v>
      </c>
    </row>
    <row r="284" spans="3:12" x14ac:dyDescent="0.25">
      <c r="C284" s="119" t="s">
        <v>52</v>
      </c>
      <c r="D284" s="790"/>
      <c r="E284" s="224"/>
      <c r="F284" s="129"/>
      <c r="G284" s="107">
        <f t="shared" si="27"/>
        <v>0</v>
      </c>
      <c r="H284" s="171"/>
      <c r="I284" s="108"/>
      <c r="J284" s="108" t="str">
        <f>VLOOKUP(I284,[2]Presupuesto!$B$8:$C$584,2,0)</f>
        <v>Total Plan Operativo</v>
      </c>
      <c r="K284" s="231" t="s">
        <v>561</v>
      </c>
      <c r="L284" s="108" t="s">
        <v>477</v>
      </c>
    </row>
    <row r="285" spans="3:12" ht="15.75" thickBot="1" x14ac:dyDescent="0.3">
      <c r="C285" s="228" t="s">
        <v>512</v>
      </c>
      <c r="D285" s="229">
        <v>1</v>
      </c>
      <c r="E285" s="230">
        <v>1</v>
      </c>
      <c r="F285" s="114">
        <f>HLOOKUP(C285,$AH$2:$BU$3,2,0)</f>
        <v>2000</v>
      </c>
      <c r="G285" s="115">
        <f>D285*E285*F285</f>
        <v>2000</v>
      </c>
      <c r="H285" s="171" t="s">
        <v>207</v>
      </c>
      <c r="I285" s="108" t="s">
        <v>380</v>
      </c>
      <c r="J285" s="116" t="str">
        <f>VLOOKUP(I285,[2]Presupuesto!$B$8:$C$584,2,0)</f>
        <v>VIATICOS (26200-00)</v>
      </c>
      <c r="K285" s="231" t="s">
        <v>561</v>
      </c>
      <c r="L285" s="108" t="s">
        <v>477</v>
      </c>
    </row>
    <row r="286" spans="3:12" ht="15.75" thickBot="1" x14ac:dyDescent="0.3">
      <c r="C286" s="103"/>
      <c r="E286" s="122"/>
      <c r="F286" s="122"/>
      <c r="G286" s="122"/>
      <c r="H286" s="185"/>
      <c r="I286" s="122"/>
      <c r="J286" s="122"/>
      <c r="K286" s="122"/>
    </row>
    <row r="287" spans="3:12" ht="15.75" thickBot="1" x14ac:dyDescent="0.3">
      <c r="C287" s="29" t="s">
        <v>43</v>
      </c>
      <c r="D287" s="30">
        <f>SUM(G294:G303)</f>
        <v>9950</v>
      </c>
      <c r="E287" s="103"/>
      <c r="F287" s="103"/>
      <c r="G287" s="103"/>
      <c r="H287" s="84"/>
      <c r="I287" s="84"/>
      <c r="J287" s="84"/>
      <c r="K287" s="122"/>
    </row>
    <row r="288" spans="3:12" x14ac:dyDescent="0.25">
      <c r="C288" s="69"/>
      <c r="D288" s="31"/>
      <c r="E288" s="103"/>
      <c r="F288" s="103"/>
      <c r="G288" s="103"/>
      <c r="H288" s="84"/>
      <c r="I288" s="84"/>
      <c r="J288" s="84"/>
      <c r="K288" s="122"/>
    </row>
    <row r="289" spans="3:12" x14ac:dyDescent="0.25">
      <c r="C289" s="69"/>
      <c r="D289" s="31"/>
      <c r="E289" s="103"/>
      <c r="F289" s="103"/>
      <c r="G289" s="103"/>
      <c r="H289" s="84"/>
      <c r="I289" s="84"/>
      <c r="J289" s="84"/>
      <c r="K289" s="122"/>
    </row>
    <row r="290" spans="3:12" ht="15.75" x14ac:dyDescent="0.25">
      <c r="C290" s="217" t="s">
        <v>471</v>
      </c>
      <c r="D290" s="218" t="s">
        <v>1546</v>
      </c>
      <c r="E290" s="103"/>
      <c r="F290" s="103"/>
      <c r="G290" s="103"/>
      <c r="H290" s="84"/>
      <c r="I290" s="84"/>
      <c r="J290" s="84"/>
      <c r="K290" s="122"/>
    </row>
    <row r="291" spans="3:12" ht="18.75" x14ac:dyDescent="0.25">
      <c r="C291" s="220" t="str">
        <f>IFERROR(VLOOKUP(D290,'[2]Desarrollo Curricular'!$E:$F,2,FALSE),IFERROR(VLOOKUP(D290,[2]Investigación!$E:$F,2,FALSE),IFERROR(VLOOKUP(D290,'[2]Vinculación Univ. Sociedad'!$E:$F,2,FALSE),IFERROR(VLOOKUP(D290,'[2]Docencia y Recursos Humanos '!$E:$F,2,FALSE),IFERROR(VLOOKUP(D290,[2]Estudiantes!$E:$F,2,FALSE),IFERROR(VLOOKUP(D290,'[2]Gestion Administrativa'!$E:$F,2,FALSE),IFERROR(VLOOKUP(D290,'[2]Gestion Academica'!$E:$F,2,FALSE),IFERROR(VLOOKUP(D290,[2]Graduados!$E:$F,2,FALSE),IFERROR(VLOOKUP(D290,'[2]Gestión del Conocimiento'!$E:$F,2,FALSE),IFERROR(VLOOKUP(D290,[2]Gobernabilidad!$E:$F,2,FALSE),IFERROR(VLOOKUP(D290,'[2]NIVEL DE ES Y  SISTEMA NACIONAL'!$E:$F,2,FALSE),VLOOKUP(D290,'[2]Lo Esencial'!$E:$F,2,0))))))))))))</f>
        <v>a.1 Realización de investigaciones de mercado que permitan evaluar la pertinencia de los planes de estudio.                                                                                                              a.2 Intitucionalización de comisiones y sub comisiones de desarrollo curricular.</v>
      </c>
      <c r="D291" s="31"/>
      <c r="E291" s="103"/>
      <c r="F291" s="103"/>
      <c r="G291" s="103"/>
      <c r="H291" s="84"/>
      <c r="I291" s="84"/>
      <c r="J291" s="84"/>
      <c r="K291" s="122"/>
    </row>
    <row r="292" spans="3:12" ht="15.75" thickBot="1" x14ac:dyDescent="0.3">
      <c r="C292" s="69" t="s">
        <v>1732</v>
      </c>
      <c r="D292" s="31"/>
      <c r="E292" s="103"/>
      <c r="F292" s="103"/>
      <c r="G292" s="103"/>
      <c r="H292" s="84"/>
      <c r="I292" s="84"/>
      <c r="J292" s="84"/>
      <c r="K292" s="122"/>
    </row>
    <row r="293" spans="3:12" ht="30.75" thickBot="1" x14ac:dyDescent="0.3">
      <c r="C293" s="136" t="s">
        <v>44</v>
      </c>
      <c r="D293" s="139" t="s">
        <v>45</v>
      </c>
      <c r="E293" s="138" t="s">
        <v>55</v>
      </c>
      <c r="F293" s="138" t="s">
        <v>57</v>
      </c>
      <c r="G293" s="137" t="s">
        <v>27</v>
      </c>
      <c r="H293" s="143" t="s">
        <v>208</v>
      </c>
      <c r="I293" s="138" t="s">
        <v>46</v>
      </c>
      <c r="J293" s="138" t="s">
        <v>209</v>
      </c>
      <c r="K293" s="138" t="s">
        <v>491</v>
      </c>
      <c r="L293" s="138" t="s">
        <v>492</v>
      </c>
    </row>
    <row r="294" spans="3:12" x14ac:dyDescent="0.25">
      <c r="C294" s="105" t="s">
        <v>47</v>
      </c>
      <c r="D294" s="789">
        <v>30</v>
      </c>
      <c r="E294" s="168">
        <v>1</v>
      </c>
      <c r="F294" s="125">
        <v>5000</v>
      </c>
      <c r="G294" s="107">
        <f t="shared" ref="G294:G302" si="28">E294*F294</f>
        <v>5000</v>
      </c>
      <c r="H294" s="171" t="s">
        <v>207</v>
      </c>
      <c r="I294" s="108" t="s">
        <v>369</v>
      </c>
      <c r="J294" s="108" t="str">
        <f>VLOOKUP(I294,[2]Presupuesto!$B$8:$C$584,2,0)</f>
        <v>SERVICIOS TECNICOS Y PROFESIONALES DE CAPAC. (24500-00)</v>
      </c>
      <c r="K294" s="231" t="s">
        <v>561</v>
      </c>
      <c r="L294" s="108" t="s">
        <v>478</v>
      </c>
    </row>
    <row r="295" spans="3:12" x14ac:dyDescent="0.25">
      <c r="C295" s="109" t="s">
        <v>48</v>
      </c>
      <c r="D295" s="790"/>
      <c r="E295" s="215">
        <f>D294</f>
        <v>30</v>
      </c>
      <c r="F295" s="110">
        <v>50</v>
      </c>
      <c r="G295" s="107">
        <f t="shared" si="28"/>
        <v>1500</v>
      </c>
      <c r="H295" s="171" t="s">
        <v>207</v>
      </c>
      <c r="I295" s="108" t="s">
        <v>373</v>
      </c>
      <c r="J295" s="108" t="str">
        <f>VLOOKUP(I295,[2]Presupuesto!$B$8:$C$584,2,0)</f>
        <v>IMPRENTA, PUBLIC. Y REPRODUC. (25300-00)</v>
      </c>
      <c r="K295" s="231" t="s">
        <v>561</v>
      </c>
      <c r="L295" s="108" t="s">
        <v>478</v>
      </c>
    </row>
    <row r="296" spans="3:12" x14ac:dyDescent="0.25">
      <c r="C296" s="109" t="s">
        <v>49</v>
      </c>
      <c r="D296" s="790"/>
      <c r="E296" s="215">
        <f>D294</f>
        <v>30</v>
      </c>
      <c r="F296" s="110">
        <v>100</v>
      </c>
      <c r="G296" s="107">
        <f t="shared" si="28"/>
        <v>3000</v>
      </c>
      <c r="H296" s="171" t="s">
        <v>207</v>
      </c>
      <c r="I296" s="108" t="s">
        <v>390</v>
      </c>
      <c r="J296" s="108" t="str">
        <f>VLOOKUP(I296,[2]Presupuesto!$B$8:$C$584,2,0)</f>
        <v>ALIMENTOS Y BEBIDAS PARA PERSONAS (31100-00)</v>
      </c>
      <c r="K296" s="231" t="s">
        <v>561</v>
      </c>
      <c r="L296" s="108" t="s">
        <v>478</v>
      </c>
    </row>
    <row r="297" spans="3:12" x14ac:dyDescent="0.25">
      <c r="C297" s="109" t="s">
        <v>50</v>
      </c>
      <c r="D297" s="790"/>
      <c r="E297" s="161"/>
      <c r="F297" s="128"/>
      <c r="G297" s="107">
        <f t="shared" si="28"/>
        <v>0</v>
      </c>
      <c r="H297" s="171"/>
      <c r="I297" s="108"/>
      <c r="J297" s="108" t="str">
        <f>VLOOKUP(I297,[2]Presupuesto!$B$8:$C$584,2,0)</f>
        <v>Total Plan Operativo</v>
      </c>
      <c r="K297" s="231" t="s">
        <v>561</v>
      </c>
      <c r="L297" s="108" t="s">
        <v>478</v>
      </c>
    </row>
    <row r="298" spans="3:12" x14ac:dyDescent="0.25">
      <c r="C298" s="109" t="s">
        <v>501</v>
      </c>
      <c r="D298" s="790"/>
      <c r="E298" s="161"/>
      <c r="F298" s="128"/>
      <c r="G298" s="107">
        <f t="shared" si="28"/>
        <v>0</v>
      </c>
      <c r="H298" s="171"/>
      <c r="I298" s="108"/>
      <c r="J298" s="108" t="str">
        <f>VLOOKUP(I298,[2]Presupuesto!$B$8:$C$584,2,0)</f>
        <v>Total Plan Operativo</v>
      </c>
      <c r="K298" s="231" t="s">
        <v>561</v>
      </c>
      <c r="L298" s="108" t="s">
        <v>478</v>
      </c>
    </row>
    <row r="299" spans="3:12" x14ac:dyDescent="0.25">
      <c r="C299" s="109" t="s">
        <v>51</v>
      </c>
      <c r="D299" s="790"/>
      <c r="E299" s="215">
        <v>2</v>
      </c>
      <c r="F299" s="110">
        <v>85</v>
      </c>
      <c r="G299" s="107">
        <f t="shared" si="28"/>
        <v>170</v>
      </c>
      <c r="H299" s="171" t="s">
        <v>207</v>
      </c>
      <c r="I299" s="108" t="s">
        <v>395</v>
      </c>
      <c r="J299" s="108" t="str">
        <f>VLOOKUP(I299,[2]Presupuesto!$B$8:$C$584,2,0)</f>
        <v>PRODUCTOS DE PAPEL Y CARTON (33400-00)</v>
      </c>
      <c r="K299" s="231" t="s">
        <v>561</v>
      </c>
      <c r="L299" s="108" t="s">
        <v>478</v>
      </c>
    </row>
    <row r="300" spans="3:12" x14ac:dyDescent="0.25">
      <c r="C300" s="109" t="s">
        <v>189</v>
      </c>
      <c r="D300" s="790"/>
      <c r="E300" s="215">
        <v>30</v>
      </c>
      <c r="F300" s="110">
        <v>8</v>
      </c>
      <c r="G300" s="107">
        <f t="shared" si="28"/>
        <v>240</v>
      </c>
      <c r="H300" s="171" t="s">
        <v>207</v>
      </c>
      <c r="I300" s="108" t="s">
        <v>406</v>
      </c>
      <c r="J300" s="108" t="str">
        <f>VLOOKUP(I300,[2]Presupuesto!$B$8:$C$584,2,0)</f>
        <v>UTILES DE ESCRITORIO, OFICINA Y ENZE¥ANZA</v>
      </c>
      <c r="K300" s="231" t="s">
        <v>561</v>
      </c>
      <c r="L300" s="108" t="s">
        <v>478</v>
      </c>
    </row>
    <row r="301" spans="3:12" x14ac:dyDescent="0.25">
      <c r="C301" s="109" t="s">
        <v>34</v>
      </c>
      <c r="D301" s="790"/>
      <c r="E301" s="215">
        <v>4</v>
      </c>
      <c r="F301" s="110">
        <v>10</v>
      </c>
      <c r="G301" s="107">
        <f t="shared" si="28"/>
        <v>40</v>
      </c>
      <c r="H301" s="171" t="s">
        <v>207</v>
      </c>
      <c r="I301" s="108" t="s">
        <v>406</v>
      </c>
      <c r="J301" s="108" t="str">
        <f>VLOOKUP(I301,[2]Presupuesto!$B$8:$C$584,2,0)</f>
        <v>UTILES DE ESCRITORIO, OFICINA Y ENZE¥ANZA</v>
      </c>
      <c r="K301" s="231" t="s">
        <v>561</v>
      </c>
      <c r="L301" s="108" t="s">
        <v>478</v>
      </c>
    </row>
    <row r="302" spans="3:12" x14ac:dyDescent="0.25">
      <c r="C302" s="119" t="s">
        <v>52</v>
      </c>
      <c r="D302" s="790"/>
      <c r="E302" s="224"/>
      <c r="F302" s="129"/>
      <c r="G302" s="107">
        <f t="shared" si="28"/>
        <v>0</v>
      </c>
      <c r="H302" s="171"/>
      <c r="I302" s="108"/>
      <c r="J302" s="108" t="str">
        <f>VLOOKUP(I302,[2]Presupuesto!$B$8:$C$584,2,0)</f>
        <v>Total Plan Operativo</v>
      </c>
      <c r="K302" s="231" t="s">
        <v>561</v>
      </c>
      <c r="L302" s="108" t="s">
        <v>478</v>
      </c>
    </row>
    <row r="303" spans="3:12" ht="15.75" thickBot="1" x14ac:dyDescent="0.3">
      <c r="C303" s="228" t="s">
        <v>512</v>
      </c>
      <c r="D303" s="229"/>
      <c r="E303" s="230"/>
      <c r="F303" s="114"/>
      <c r="G303" s="115">
        <f>D303*E303*F303</f>
        <v>0</v>
      </c>
      <c r="H303" s="171"/>
      <c r="I303" s="108" t="s">
        <v>1540</v>
      </c>
      <c r="J303" s="116" t="str">
        <f>VLOOKUP(I303,[2]Presupuesto!$B$8:$C$584,2,0)</f>
        <v>OTROS INTERESES</v>
      </c>
      <c r="K303" s="231" t="s">
        <v>561</v>
      </c>
      <c r="L303" s="108" t="s">
        <v>478</v>
      </c>
    </row>
    <row r="305" spans="3:12" ht="15.75" thickBot="1" x14ac:dyDescent="0.3"/>
    <row r="306" spans="3:12" ht="15.75" thickBot="1" x14ac:dyDescent="0.3">
      <c r="C306" s="29" t="s">
        <v>43</v>
      </c>
      <c r="D306" s="30">
        <f>SUM(G313:G322)</f>
        <v>50000</v>
      </c>
      <c r="E306" s="103"/>
      <c r="F306" s="103"/>
      <c r="G306" s="103"/>
      <c r="H306" s="84"/>
      <c r="I306" s="84"/>
      <c r="J306" s="84"/>
      <c r="K306" s="122"/>
    </row>
    <row r="307" spans="3:12" x14ac:dyDescent="0.25">
      <c r="C307" s="69"/>
      <c r="D307" s="31"/>
      <c r="E307" s="103"/>
      <c r="F307" s="103"/>
      <c r="G307" s="103"/>
      <c r="H307" s="84"/>
      <c r="I307" s="84"/>
      <c r="J307" s="84"/>
      <c r="K307" s="122"/>
    </row>
    <row r="308" spans="3:12" x14ac:dyDescent="0.25">
      <c r="C308" s="69"/>
      <c r="D308" s="31"/>
      <c r="E308" s="103"/>
      <c r="F308" s="103"/>
      <c r="G308" s="103"/>
      <c r="H308" s="84"/>
      <c r="I308" s="84"/>
      <c r="J308" s="84"/>
      <c r="K308" s="122"/>
    </row>
    <row r="309" spans="3:12" ht="15.75" x14ac:dyDescent="0.25">
      <c r="C309" s="217" t="s">
        <v>471</v>
      </c>
      <c r="D309" s="218"/>
      <c r="E309" s="103"/>
      <c r="F309" s="103"/>
      <c r="G309" s="103"/>
      <c r="H309" s="84"/>
      <c r="I309" s="84"/>
      <c r="J309" s="84"/>
      <c r="K309" s="122"/>
    </row>
    <row r="310" spans="3:12" ht="18.75" x14ac:dyDescent="0.25">
      <c r="C310" s="220"/>
      <c r="D310" s="31"/>
      <c r="E310" s="103"/>
      <c r="F310" s="103"/>
      <c r="G310" s="103"/>
      <c r="H310" s="84"/>
      <c r="I310" s="84"/>
      <c r="J310" s="84"/>
      <c r="K310" s="122"/>
    </row>
    <row r="311" spans="3:12" ht="15.75" thickBot="1" x14ac:dyDescent="0.3">
      <c r="C311" s="69" t="s">
        <v>1787</v>
      </c>
      <c r="D311" s="31"/>
      <c r="E311" s="103"/>
      <c r="F311" s="103"/>
      <c r="G311" s="103"/>
      <c r="H311" s="84"/>
      <c r="I311" s="84"/>
      <c r="J311" s="84"/>
      <c r="K311" s="122"/>
    </row>
    <row r="312" spans="3:12" ht="30.75" thickBot="1" x14ac:dyDescent="0.3">
      <c r="C312" s="136" t="s">
        <v>44</v>
      </c>
      <c r="D312" s="139" t="s">
        <v>45</v>
      </c>
      <c r="E312" s="138" t="s">
        <v>55</v>
      </c>
      <c r="F312" s="138" t="s">
        <v>57</v>
      </c>
      <c r="G312" s="137" t="s">
        <v>27</v>
      </c>
      <c r="H312" s="143" t="s">
        <v>208</v>
      </c>
      <c r="I312" s="138" t="s">
        <v>46</v>
      </c>
      <c r="J312" s="138" t="s">
        <v>209</v>
      </c>
      <c r="K312" s="138" t="s">
        <v>491</v>
      </c>
      <c r="L312" s="138" t="s">
        <v>492</v>
      </c>
    </row>
    <row r="313" spans="3:12" x14ac:dyDescent="0.25">
      <c r="C313" s="105" t="s">
        <v>47</v>
      </c>
      <c r="D313" s="789">
        <v>200</v>
      </c>
      <c r="E313" s="168">
        <v>4</v>
      </c>
      <c r="F313" s="125">
        <v>5000</v>
      </c>
      <c r="G313" s="107">
        <f t="shared" ref="G313:G321" si="29">E313*F313</f>
        <v>20000</v>
      </c>
      <c r="H313" s="171" t="s">
        <v>207</v>
      </c>
      <c r="I313" s="108" t="s">
        <v>369</v>
      </c>
      <c r="J313" s="108" t="str">
        <f>VLOOKUP(I313,[2]Presupuesto!$B$8:$C$584,2,0)</f>
        <v>SERVICIOS TECNICOS Y PROFESIONALES DE CAPAC. (24500-00)</v>
      </c>
      <c r="K313" s="231" t="s">
        <v>561</v>
      </c>
      <c r="L313" s="108" t="s">
        <v>478</v>
      </c>
    </row>
    <row r="314" spans="3:12" x14ac:dyDescent="0.25">
      <c r="C314" s="109" t="s">
        <v>48</v>
      </c>
      <c r="D314" s="790"/>
      <c r="E314" s="215">
        <f>D313</f>
        <v>200</v>
      </c>
      <c r="F314" s="110">
        <v>50</v>
      </c>
      <c r="G314" s="107">
        <f t="shared" si="29"/>
        <v>10000</v>
      </c>
      <c r="H314" s="171" t="s">
        <v>207</v>
      </c>
      <c r="I314" s="108" t="s">
        <v>373</v>
      </c>
      <c r="J314" s="108" t="str">
        <f>VLOOKUP(I314,[2]Presupuesto!$B$8:$C$584,2,0)</f>
        <v>IMPRENTA, PUBLIC. Y REPRODUC. (25300-00)</v>
      </c>
      <c r="K314" s="231" t="s">
        <v>561</v>
      </c>
      <c r="L314" s="108" t="s">
        <v>478</v>
      </c>
    </row>
    <row r="315" spans="3:12" x14ac:dyDescent="0.25">
      <c r="C315" s="109" t="s">
        <v>49</v>
      </c>
      <c r="D315" s="790"/>
      <c r="E315" s="215">
        <f>D313</f>
        <v>200</v>
      </c>
      <c r="F315" s="110">
        <v>100</v>
      </c>
      <c r="G315" s="107">
        <f t="shared" si="29"/>
        <v>20000</v>
      </c>
      <c r="H315" s="171" t="s">
        <v>207</v>
      </c>
      <c r="I315" s="108" t="s">
        <v>390</v>
      </c>
      <c r="J315" s="108" t="str">
        <f>VLOOKUP(I315,[2]Presupuesto!$B$8:$C$584,2,0)</f>
        <v>ALIMENTOS Y BEBIDAS PARA PERSONAS (31100-00)</v>
      </c>
      <c r="K315" s="231" t="s">
        <v>561</v>
      </c>
      <c r="L315" s="108" t="s">
        <v>478</v>
      </c>
    </row>
    <row r="316" spans="3:12" x14ac:dyDescent="0.25">
      <c r="C316" s="109" t="s">
        <v>50</v>
      </c>
      <c r="D316" s="790"/>
      <c r="E316" s="161"/>
      <c r="F316" s="128"/>
      <c r="G316" s="107">
        <f t="shared" si="29"/>
        <v>0</v>
      </c>
      <c r="H316" s="171"/>
      <c r="I316" s="108"/>
      <c r="J316" s="108" t="str">
        <f>VLOOKUP(I316,[2]Presupuesto!$B$8:$C$584,2,0)</f>
        <v>Total Plan Operativo</v>
      </c>
      <c r="K316" s="231" t="s">
        <v>561</v>
      </c>
      <c r="L316" s="108" t="s">
        <v>478</v>
      </c>
    </row>
    <row r="317" spans="3:12" x14ac:dyDescent="0.25">
      <c r="C317" s="109" t="s">
        <v>501</v>
      </c>
      <c r="D317" s="790"/>
      <c r="E317" s="161"/>
      <c r="F317" s="128"/>
      <c r="G317" s="107">
        <f t="shared" si="29"/>
        <v>0</v>
      </c>
      <c r="H317" s="171"/>
      <c r="I317" s="108"/>
      <c r="J317" s="108" t="str">
        <f>VLOOKUP(I317,[2]Presupuesto!$B$8:$C$584,2,0)</f>
        <v>Total Plan Operativo</v>
      </c>
      <c r="K317" s="231" t="s">
        <v>561</v>
      </c>
      <c r="L317" s="108" t="s">
        <v>478</v>
      </c>
    </row>
    <row r="318" spans="3:12" x14ac:dyDescent="0.25">
      <c r="C318" s="109" t="s">
        <v>51</v>
      </c>
      <c r="D318" s="790"/>
      <c r="E318" s="215">
        <v>0</v>
      </c>
      <c r="F318" s="110">
        <v>85</v>
      </c>
      <c r="G318" s="107">
        <f t="shared" si="29"/>
        <v>0</v>
      </c>
      <c r="H318" s="171" t="s">
        <v>207</v>
      </c>
      <c r="I318" s="108" t="s">
        <v>395</v>
      </c>
      <c r="J318" s="108" t="str">
        <f>VLOOKUP(I318,[2]Presupuesto!$B$8:$C$584,2,0)</f>
        <v>PRODUCTOS DE PAPEL Y CARTON (33400-00)</v>
      </c>
      <c r="K318" s="231" t="s">
        <v>561</v>
      </c>
      <c r="L318" s="108" t="s">
        <v>478</v>
      </c>
    </row>
    <row r="319" spans="3:12" x14ac:dyDescent="0.25">
      <c r="C319" s="109" t="s">
        <v>189</v>
      </c>
      <c r="D319" s="790"/>
      <c r="E319" s="215"/>
      <c r="F319" s="110">
        <v>8</v>
      </c>
      <c r="G319" s="107">
        <f t="shared" si="29"/>
        <v>0</v>
      </c>
      <c r="H319" s="171" t="s">
        <v>207</v>
      </c>
      <c r="I319" s="108" t="s">
        <v>406</v>
      </c>
      <c r="J319" s="108" t="str">
        <f>VLOOKUP(I319,[2]Presupuesto!$B$8:$C$584,2,0)</f>
        <v>UTILES DE ESCRITORIO, OFICINA Y ENZE¥ANZA</v>
      </c>
      <c r="K319" s="231" t="s">
        <v>561</v>
      </c>
      <c r="L319" s="108" t="s">
        <v>478</v>
      </c>
    </row>
    <row r="320" spans="3:12" x14ac:dyDescent="0.25">
      <c r="C320" s="109" t="s">
        <v>34</v>
      </c>
      <c r="D320" s="790"/>
      <c r="E320" s="215"/>
      <c r="F320" s="110">
        <v>10</v>
      </c>
      <c r="G320" s="107">
        <f t="shared" si="29"/>
        <v>0</v>
      </c>
      <c r="H320" s="171" t="s">
        <v>207</v>
      </c>
      <c r="I320" s="108" t="s">
        <v>406</v>
      </c>
      <c r="J320" s="108" t="str">
        <f>VLOOKUP(I320,[2]Presupuesto!$B$8:$C$584,2,0)</f>
        <v>UTILES DE ESCRITORIO, OFICINA Y ENZE¥ANZA</v>
      </c>
      <c r="K320" s="231" t="s">
        <v>561</v>
      </c>
      <c r="L320" s="108" t="s">
        <v>478</v>
      </c>
    </row>
    <row r="321" spans="3:12" x14ac:dyDescent="0.25">
      <c r="C321" s="119" t="s">
        <v>52</v>
      </c>
      <c r="D321" s="790"/>
      <c r="E321" s="224"/>
      <c r="F321" s="129"/>
      <c r="G321" s="107">
        <f t="shared" si="29"/>
        <v>0</v>
      </c>
      <c r="H321" s="171"/>
      <c r="I321" s="108"/>
      <c r="J321" s="108" t="str">
        <f>VLOOKUP(I321,[2]Presupuesto!$B$8:$C$584,2,0)</f>
        <v>Total Plan Operativo</v>
      </c>
      <c r="K321" s="231" t="s">
        <v>561</v>
      </c>
      <c r="L321" s="108" t="s">
        <v>478</v>
      </c>
    </row>
    <row r="322" spans="3:12" ht="15.75" thickBot="1" x14ac:dyDescent="0.3">
      <c r="C322" s="228" t="s">
        <v>512</v>
      </c>
      <c r="D322" s="229"/>
      <c r="E322" s="230"/>
      <c r="F322" s="114"/>
      <c r="G322" s="115">
        <f>D322*E322*F322</f>
        <v>0</v>
      </c>
      <c r="H322" s="171"/>
      <c r="I322" s="108" t="s">
        <v>1540</v>
      </c>
      <c r="J322" s="116" t="str">
        <f>VLOOKUP(I322,[2]Presupuesto!$B$8:$C$584,2,0)</f>
        <v>OTROS INTERESES</v>
      </c>
      <c r="K322" s="231" t="s">
        <v>561</v>
      </c>
      <c r="L322" s="108" t="s">
        <v>478</v>
      </c>
    </row>
    <row r="324" spans="3:12" ht="15.75" thickBot="1" x14ac:dyDescent="0.3"/>
    <row r="325" spans="3:12" ht="15.75" thickBot="1" x14ac:dyDescent="0.3">
      <c r="C325" s="29" t="s">
        <v>43</v>
      </c>
      <c r="D325" s="30">
        <f>SUM(G332:G341)</f>
        <v>105800</v>
      </c>
      <c r="E325" s="103"/>
      <c r="F325" s="103"/>
      <c r="G325" s="103"/>
      <c r="H325" s="84"/>
      <c r="I325" s="84"/>
      <c r="J325" s="84"/>
      <c r="K325" s="122"/>
    </row>
    <row r="326" spans="3:12" x14ac:dyDescent="0.25">
      <c r="C326" s="69"/>
      <c r="D326" s="31"/>
      <c r="E326" s="103"/>
      <c r="F326" s="103"/>
      <c r="G326" s="103"/>
      <c r="H326" s="84"/>
      <c r="I326" s="84"/>
      <c r="J326" s="84"/>
      <c r="K326" s="122"/>
    </row>
    <row r="327" spans="3:12" x14ac:dyDescent="0.25">
      <c r="C327" s="69"/>
      <c r="D327" s="31"/>
      <c r="E327" s="103"/>
      <c r="F327" s="103"/>
      <c r="G327" s="103"/>
      <c r="H327" s="84"/>
      <c r="I327" s="84"/>
      <c r="J327" s="84"/>
      <c r="K327" s="122"/>
    </row>
    <row r="328" spans="3:12" ht="15.75" x14ac:dyDescent="0.25">
      <c r="C328" s="217" t="s">
        <v>471</v>
      </c>
      <c r="D328" s="218"/>
      <c r="E328" s="103"/>
      <c r="F328" s="103"/>
      <c r="G328" s="103"/>
      <c r="H328" s="84"/>
      <c r="I328" s="84"/>
      <c r="J328" s="84"/>
      <c r="K328" s="122"/>
    </row>
    <row r="329" spans="3:12" ht="18.75" x14ac:dyDescent="0.25">
      <c r="C329" s="220"/>
      <c r="D329" s="31"/>
      <c r="E329" s="103"/>
      <c r="F329" s="103"/>
      <c r="G329" s="103"/>
      <c r="H329" s="84"/>
      <c r="I329" s="84"/>
      <c r="J329" s="84"/>
      <c r="K329" s="122"/>
    </row>
    <row r="330" spans="3:12" ht="15.75" thickBot="1" x14ac:dyDescent="0.3">
      <c r="C330" s="69" t="s">
        <v>1823</v>
      </c>
      <c r="D330" s="31"/>
      <c r="E330" s="103"/>
      <c r="F330" s="103"/>
      <c r="G330" s="103"/>
      <c r="H330" s="84"/>
      <c r="I330" s="84"/>
      <c r="J330" s="84"/>
      <c r="K330" s="122"/>
    </row>
    <row r="331" spans="3:12" ht="30.75" thickBot="1" x14ac:dyDescent="0.3">
      <c r="C331" s="136" t="s">
        <v>44</v>
      </c>
      <c r="D331" s="139" t="s">
        <v>45</v>
      </c>
      <c r="E331" s="138" t="s">
        <v>55</v>
      </c>
      <c r="F331" s="138" t="s">
        <v>57</v>
      </c>
      <c r="G331" s="137" t="s">
        <v>27</v>
      </c>
      <c r="H331" s="143" t="s">
        <v>208</v>
      </c>
      <c r="I331" s="138" t="s">
        <v>46</v>
      </c>
      <c r="J331" s="138" t="s">
        <v>209</v>
      </c>
      <c r="K331" s="138" t="s">
        <v>491</v>
      </c>
      <c r="L331" s="138" t="s">
        <v>492</v>
      </c>
    </row>
    <row r="332" spans="3:12" x14ac:dyDescent="0.25">
      <c r="C332" s="105" t="s">
        <v>47</v>
      </c>
      <c r="D332" s="789">
        <v>51</v>
      </c>
      <c r="E332" s="168">
        <v>1</v>
      </c>
      <c r="F332" s="125">
        <v>65000</v>
      </c>
      <c r="G332" s="107">
        <f t="shared" ref="G332:G340" si="30">E332*F332</f>
        <v>65000</v>
      </c>
      <c r="H332" s="171" t="s">
        <v>207</v>
      </c>
      <c r="I332" s="108" t="s">
        <v>369</v>
      </c>
      <c r="J332" s="108" t="str">
        <f>VLOOKUP(I332,[2]Presupuesto!$B$8:$C$584,2,0)</f>
        <v>SERVICIOS TECNICOS Y PROFESIONALES DE CAPAC. (24500-00)</v>
      </c>
      <c r="K332" s="231" t="s">
        <v>561</v>
      </c>
      <c r="L332" s="108" t="s">
        <v>478</v>
      </c>
    </row>
    <row r="333" spans="3:12" x14ac:dyDescent="0.25">
      <c r="C333" s="109" t="s">
        <v>48</v>
      </c>
      <c r="D333" s="790"/>
      <c r="E333" s="215">
        <v>0</v>
      </c>
      <c r="F333" s="110">
        <v>50</v>
      </c>
      <c r="G333" s="107">
        <f t="shared" si="30"/>
        <v>0</v>
      </c>
      <c r="H333" s="171" t="s">
        <v>207</v>
      </c>
      <c r="I333" s="108" t="s">
        <v>373</v>
      </c>
      <c r="J333" s="108" t="str">
        <f>VLOOKUP(I333,[2]Presupuesto!$B$8:$C$584,2,0)</f>
        <v>IMPRENTA, PUBLIC. Y REPRODUC. (25300-00)</v>
      </c>
      <c r="K333" s="231" t="s">
        <v>561</v>
      </c>
      <c r="L333" s="108" t="s">
        <v>478</v>
      </c>
    </row>
    <row r="334" spans="3:12" x14ac:dyDescent="0.25">
      <c r="C334" s="109" t="s">
        <v>49</v>
      </c>
      <c r="D334" s="790"/>
      <c r="E334" s="215">
        <v>51</v>
      </c>
      <c r="F334" s="110">
        <v>800</v>
      </c>
      <c r="G334" s="107">
        <f t="shared" si="30"/>
        <v>40800</v>
      </c>
      <c r="H334" s="171" t="s">
        <v>207</v>
      </c>
      <c r="I334" s="108" t="s">
        <v>390</v>
      </c>
      <c r="J334" s="108" t="str">
        <f>VLOOKUP(I334,[2]Presupuesto!$B$8:$C$584,2,0)</f>
        <v>ALIMENTOS Y BEBIDAS PARA PERSONAS (31100-00)</v>
      </c>
      <c r="K334" s="231" t="s">
        <v>561</v>
      </c>
      <c r="L334" s="108" t="s">
        <v>478</v>
      </c>
    </row>
    <row r="335" spans="3:12" x14ac:dyDescent="0.25">
      <c r="C335" s="109" t="s">
        <v>50</v>
      </c>
      <c r="D335" s="790"/>
      <c r="E335" s="161"/>
      <c r="F335" s="128"/>
      <c r="G335" s="107">
        <f t="shared" si="30"/>
        <v>0</v>
      </c>
      <c r="H335" s="171"/>
      <c r="I335" s="108"/>
      <c r="J335" s="108" t="str">
        <f>VLOOKUP(I335,[2]Presupuesto!$B$8:$C$584,2,0)</f>
        <v>Total Plan Operativo</v>
      </c>
      <c r="K335" s="231" t="s">
        <v>561</v>
      </c>
      <c r="L335" s="108" t="s">
        <v>478</v>
      </c>
    </row>
    <row r="336" spans="3:12" x14ac:dyDescent="0.25">
      <c r="C336" s="109" t="s">
        <v>501</v>
      </c>
      <c r="D336" s="790"/>
      <c r="E336" s="161"/>
      <c r="F336" s="128"/>
      <c r="G336" s="107">
        <f t="shared" si="30"/>
        <v>0</v>
      </c>
      <c r="H336" s="171"/>
      <c r="I336" s="108"/>
      <c r="J336" s="108" t="str">
        <f>VLOOKUP(I336,[2]Presupuesto!$B$8:$C$584,2,0)</f>
        <v>Total Plan Operativo</v>
      </c>
      <c r="K336" s="231" t="s">
        <v>561</v>
      </c>
      <c r="L336" s="108" t="s">
        <v>478</v>
      </c>
    </row>
    <row r="337" spans="3:12" x14ac:dyDescent="0.25">
      <c r="C337" s="109" t="s">
        <v>51</v>
      </c>
      <c r="D337" s="790"/>
      <c r="E337" s="215"/>
      <c r="F337" s="110">
        <v>85</v>
      </c>
      <c r="G337" s="107">
        <f t="shared" si="30"/>
        <v>0</v>
      </c>
      <c r="H337" s="171" t="s">
        <v>207</v>
      </c>
      <c r="I337" s="108" t="s">
        <v>395</v>
      </c>
      <c r="J337" s="108" t="str">
        <f>VLOOKUP(I337,[2]Presupuesto!$B$8:$C$584,2,0)</f>
        <v>PRODUCTOS DE PAPEL Y CARTON (33400-00)</v>
      </c>
      <c r="K337" s="231" t="s">
        <v>561</v>
      </c>
      <c r="L337" s="108" t="s">
        <v>478</v>
      </c>
    </row>
    <row r="338" spans="3:12" x14ac:dyDescent="0.25">
      <c r="C338" s="109" t="s">
        <v>189</v>
      </c>
      <c r="D338" s="790"/>
      <c r="E338" s="215"/>
      <c r="F338" s="110">
        <v>8</v>
      </c>
      <c r="G338" s="107">
        <f t="shared" si="30"/>
        <v>0</v>
      </c>
      <c r="H338" s="171" t="s">
        <v>207</v>
      </c>
      <c r="I338" s="108" t="s">
        <v>406</v>
      </c>
      <c r="J338" s="108" t="str">
        <f>VLOOKUP(I338,[2]Presupuesto!$B$8:$C$584,2,0)</f>
        <v>UTILES DE ESCRITORIO, OFICINA Y ENZE¥ANZA</v>
      </c>
      <c r="K338" s="231" t="s">
        <v>561</v>
      </c>
      <c r="L338" s="108" t="s">
        <v>478</v>
      </c>
    </row>
    <row r="339" spans="3:12" x14ac:dyDescent="0.25">
      <c r="C339" s="109" t="s">
        <v>34</v>
      </c>
      <c r="D339" s="790"/>
      <c r="E339" s="215"/>
      <c r="F339" s="110">
        <v>10</v>
      </c>
      <c r="G339" s="107">
        <f t="shared" si="30"/>
        <v>0</v>
      </c>
      <c r="H339" s="171" t="s">
        <v>207</v>
      </c>
      <c r="I339" s="108" t="s">
        <v>406</v>
      </c>
      <c r="J339" s="108" t="str">
        <f>VLOOKUP(I339,[2]Presupuesto!$B$8:$C$584,2,0)</f>
        <v>UTILES DE ESCRITORIO, OFICINA Y ENZE¥ANZA</v>
      </c>
      <c r="K339" s="231" t="s">
        <v>561</v>
      </c>
      <c r="L339" s="108" t="s">
        <v>478</v>
      </c>
    </row>
    <row r="340" spans="3:12" x14ac:dyDescent="0.25">
      <c r="C340" s="119" t="s">
        <v>52</v>
      </c>
      <c r="D340" s="790"/>
      <c r="E340" s="224"/>
      <c r="F340" s="129"/>
      <c r="G340" s="107">
        <f t="shared" si="30"/>
        <v>0</v>
      </c>
      <c r="H340" s="171"/>
      <c r="I340" s="108"/>
      <c r="J340" s="108" t="str">
        <f>VLOOKUP(I340,[2]Presupuesto!$B$8:$C$584,2,0)</f>
        <v>Total Plan Operativo</v>
      </c>
      <c r="K340" s="231" t="s">
        <v>561</v>
      </c>
      <c r="L340" s="108" t="s">
        <v>478</v>
      </c>
    </row>
    <row r="341" spans="3:12" ht="15.75" thickBot="1" x14ac:dyDescent="0.3">
      <c r="C341" s="228" t="s">
        <v>512</v>
      </c>
      <c r="D341" s="229"/>
      <c r="E341" s="230"/>
      <c r="F341" s="114"/>
      <c r="G341" s="115">
        <f>D341*E341*F341</f>
        <v>0</v>
      </c>
      <c r="H341" s="171"/>
      <c r="I341" s="108" t="s">
        <v>1540</v>
      </c>
      <c r="J341" s="116" t="str">
        <f>VLOOKUP(I341,[2]Presupuesto!$B$8:$C$584,2,0)</f>
        <v>OTROS INTERESES</v>
      </c>
      <c r="K341" s="231" t="s">
        <v>561</v>
      </c>
      <c r="L341" s="108" t="s">
        <v>478</v>
      </c>
    </row>
    <row r="343" spans="3:12" ht="15.75" thickBot="1" x14ac:dyDescent="0.3"/>
    <row r="344" spans="3:12" ht="15.75" thickBot="1" x14ac:dyDescent="0.3">
      <c r="C344" s="29" t="s">
        <v>43</v>
      </c>
      <c r="D344" s="514">
        <f>SUM(G351:G360)</f>
        <v>5392.5</v>
      </c>
      <c r="E344" s="103"/>
      <c r="F344" s="103"/>
      <c r="G344" s="103"/>
      <c r="H344" s="84"/>
      <c r="I344" s="84"/>
      <c r="J344" s="84"/>
      <c r="K344" s="122"/>
    </row>
    <row r="345" spans="3:12" x14ac:dyDescent="0.25">
      <c r="C345" s="69"/>
      <c r="D345" s="31"/>
      <c r="E345" s="103"/>
      <c r="F345" s="103"/>
      <c r="G345" s="103"/>
      <c r="H345" s="84"/>
      <c r="I345" s="84"/>
      <c r="J345" s="84"/>
      <c r="K345" s="122"/>
    </row>
    <row r="346" spans="3:12" x14ac:dyDescent="0.25">
      <c r="C346" s="69"/>
      <c r="D346" s="31"/>
      <c r="E346" s="103"/>
      <c r="F346" s="103"/>
      <c r="G346" s="103"/>
      <c r="H346" s="84"/>
      <c r="I346" s="84"/>
      <c r="J346" s="84"/>
      <c r="K346" s="122"/>
    </row>
    <row r="347" spans="3:12" ht="15.75" x14ac:dyDescent="0.25">
      <c r="C347" s="217" t="s">
        <v>471</v>
      </c>
      <c r="D347" s="218" t="s">
        <v>1835</v>
      </c>
      <c r="E347" s="103"/>
      <c r="F347" s="103"/>
      <c r="G347" s="103"/>
      <c r="H347" s="84"/>
      <c r="I347" s="84"/>
      <c r="J347" s="84"/>
      <c r="K347" s="122"/>
    </row>
    <row r="348" spans="3:12" ht="18.75" x14ac:dyDescent="0.25">
      <c r="C348" s="220" t="str">
        <f>IFERROR(VLOOKUP(D347,'[3]Desarrollo Curricular'!$E:$F,2,FALSE),IFERROR(VLOOKUP(D347,[3]Investigación!$E:$F,2,FALSE),IFERROR(VLOOKUP(D347,'[3]Vinculación Univ. Sociedad'!$E:$F,2,FALSE),IFERROR(VLOOKUP(D347,'[3]Docencia y Recursos Humanos '!$E:$F,2,FALSE),IFERROR(VLOOKUP(D347,[3]Estudiantes!$E:$F,2,FALSE),IFERROR(VLOOKUP(D347,'[3]Gestion Administrativa'!$E:$F,2,FALSE),IFERROR(VLOOKUP(D347,'[3]Gestion Academica'!$E:$F,2,FALSE),IFERROR(VLOOKUP(D347,[3]Graduados!$E:$F,2,FALSE),IFERROR(VLOOKUP(D347,'[3]Gestión del Conocimiento'!$E:$F,2,FALSE),IFERROR(VLOOKUP(D347,[3]Gobernabilidad!$E:$F,2,FALSE),IFERROR(VLOOKUP(D347,'[3]NIVEL DE ES Y  SISTEMA NACIONAL'!$E:$F,2,FALSE),VLOOKUP(D347,'[3]Lo Esencial'!$E:$F,2,0))))))))))))</f>
        <v>a.1 Creación y fortalecimiento del comité de investigación científica y de vinculación Universidad-Sociedad de Derecho</v>
      </c>
      <c r="D348" s="31"/>
      <c r="E348" s="103"/>
      <c r="F348" s="103"/>
      <c r="G348" s="103"/>
      <c r="H348" s="84"/>
      <c r="I348" s="84"/>
      <c r="J348" s="84"/>
      <c r="K348" s="122"/>
    </row>
    <row r="349" spans="3:12" ht="15.75" thickBot="1" x14ac:dyDescent="0.3">
      <c r="C349" s="69"/>
      <c r="D349" s="31"/>
      <c r="E349" s="103"/>
      <c r="F349" s="103"/>
      <c r="G349" s="103"/>
      <c r="H349" s="84"/>
      <c r="I349" s="84"/>
      <c r="J349" s="84"/>
      <c r="K349" s="122"/>
    </row>
    <row r="350" spans="3:12" ht="30.75" thickBot="1" x14ac:dyDescent="0.3">
      <c r="C350" s="136" t="s">
        <v>44</v>
      </c>
      <c r="D350" s="139" t="s">
        <v>45</v>
      </c>
      <c r="E350" s="138" t="s">
        <v>55</v>
      </c>
      <c r="F350" s="138" t="s">
        <v>57</v>
      </c>
      <c r="G350" s="137" t="s">
        <v>27</v>
      </c>
      <c r="H350" s="143" t="s">
        <v>208</v>
      </c>
      <c r="I350" s="138" t="s">
        <v>46</v>
      </c>
      <c r="J350" s="138" t="s">
        <v>209</v>
      </c>
      <c r="K350" s="138" t="s">
        <v>491</v>
      </c>
      <c r="L350" s="138" t="s">
        <v>492</v>
      </c>
    </row>
    <row r="351" spans="3:12" x14ac:dyDescent="0.25">
      <c r="C351" s="105" t="s">
        <v>47</v>
      </c>
      <c r="D351" s="789">
        <v>10</v>
      </c>
      <c r="E351" s="168">
        <v>0</v>
      </c>
      <c r="F351" s="125">
        <v>20000</v>
      </c>
      <c r="G351" s="107">
        <f t="shared" ref="G351:G359" si="31">E351*F351</f>
        <v>0</v>
      </c>
      <c r="H351" s="171" t="s">
        <v>207</v>
      </c>
      <c r="I351" s="108" t="s">
        <v>369</v>
      </c>
      <c r="J351" s="108" t="str">
        <f>VLOOKUP(I351,[3]Presupuesto!$B$8:$C$584,2,0)</f>
        <v>SERVICIOS TECNICOS Y PROFESIONALES DE CAPAC. (24500-00)</v>
      </c>
      <c r="K351" s="231" t="s">
        <v>187</v>
      </c>
      <c r="L351" s="108" t="s">
        <v>476</v>
      </c>
    </row>
    <row r="352" spans="3:12" x14ac:dyDescent="0.25">
      <c r="C352" s="109" t="s">
        <v>48</v>
      </c>
      <c r="D352" s="790"/>
      <c r="E352" s="215">
        <v>10</v>
      </c>
      <c r="F352" s="110">
        <v>50</v>
      </c>
      <c r="G352" s="107">
        <f t="shared" si="31"/>
        <v>500</v>
      </c>
      <c r="H352" s="171" t="s">
        <v>207</v>
      </c>
      <c r="I352" s="108" t="s">
        <v>373</v>
      </c>
      <c r="J352" s="108" t="str">
        <f>VLOOKUP(I352,[3]Presupuesto!$B$8:$C$584,2,0)</f>
        <v>IMPRENTA, PUBLIC. Y REPRODUC. (25300-00)</v>
      </c>
      <c r="K352" s="231" t="s">
        <v>187</v>
      </c>
      <c r="L352" s="108" t="s">
        <v>476</v>
      </c>
    </row>
    <row r="353" spans="3:12" x14ac:dyDescent="0.25">
      <c r="C353" s="109" t="s">
        <v>49</v>
      </c>
      <c r="D353" s="790"/>
      <c r="E353" s="215">
        <v>10</v>
      </c>
      <c r="F353" s="110">
        <v>150</v>
      </c>
      <c r="G353" s="107">
        <f t="shared" si="31"/>
        <v>1500</v>
      </c>
      <c r="H353" s="171" t="s">
        <v>207</v>
      </c>
      <c r="I353" s="108" t="s">
        <v>390</v>
      </c>
      <c r="J353" s="108" t="str">
        <f>VLOOKUP(I353,[3]Presupuesto!$B$8:$C$584,2,0)</f>
        <v>ALIMENTOS Y BEBIDAS PARA PERSONAS (31100-00)</v>
      </c>
      <c r="K353" s="231" t="s">
        <v>187</v>
      </c>
      <c r="L353" s="108" t="s">
        <v>476</v>
      </c>
    </row>
    <row r="354" spans="3:12" x14ac:dyDescent="0.25">
      <c r="C354" s="109" t="s">
        <v>50</v>
      </c>
      <c r="D354" s="790"/>
      <c r="E354" s="161">
        <v>0</v>
      </c>
      <c r="F354" s="128">
        <v>10000</v>
      </c>
      <c r="G354" s="107">
        <f t="shared" si="31"/>
        <v>0</v>
      </c>
      <c r="H354" s="171" t="s">
        <v>207</v>
      </c>
      <c r="I354" s="108" t="s">
        <v>1528</v>
      </c>
      <c r="J354" s="108" t="str">
        <f>VLOOKUP(I354,[3]Presupuesto!$B$8:$C$584,2,0)</f>
        <v>COMISIONES</v>
      </c>
      <c r="K354" s="231" t="s">
        <v>187</v>
      </c>
      <c r="L354" s="108" t="s">
        <v>476</v>
      </c>
    </row>
    <row r="355" spans="3:12" x14ac:dyDescent="0.25">
      <c r="C355" s="109" t="s">
        <v>501</v>
      </c>
      <c r="D355" s="790"/>
      <c r="E355" s="161">
        <v>10</v>
      </c>
      <c r="F355" s="128">
        <v>250</v>
      </c>
      <c r="G355" s="107">
        <f t="shared" si="31"/>
        <v>2500</v>
      </c>
      <c r="H355" s="171" t="s">
        <v>207</v>
      </c>
      <c r="I355" s="108" t="s">
        <v>1528</v>
      </c>
      <c r="J355" s="108" t="str">
        <f>VLOOKUP(I355,[2]Presupuesto!$B$8:$C$584,2,0)</f>
        <v>COMISIONES</v>
      </c>
      <c r="K355" s="231" t="s">
        <v>187</v>
      </c>
      <c r="L355" s="108" t="s">
        <v>476</v>
      </c>
    </row>
    <row r="356" spans="3:12" x14ac:dyDescent="0.25">
      <c r="C356" s="109" t="s">
        <v>51</v>
      </c>
      <c r="D356" s="790"/>
      <c r="E356" s="215">
        <f>(D351*25)/500</f>
        <v>0.5</v>
      </c>
      <c r="F356" s="110">
        <v>85</v>
      </c>
      <c r="G356" s="107">
        <f t="shared" si="31"/>
        <v>42.5</v>
      </c>
      <c r="H356" s="171" t="s">
        <v>207</v>
      </c>
      <c r="I356" s="108" t="s">
        <v>395</v>
      </c>
      <c r="J356" s="108" t="str">
        <f>VLOOKUP(I356,[2]Presupuesto!$B$8:$C$584,2,0)</f>
        <v>PRODUCTOS DE PAPEL Y CARTON (33400-00)</v>
      </c>
      <c r="K356" s="231" t="s">
        <v>187</v>
      </c>
      <c r="L356" s="108" t="s">
        <v>476</v>
      </c>
    </row>
    <row r="357" spans="3:12" x14ac:dyDescent="0.25">
      <c r="C357" s="109" t="s">
        <v>189</v>
      </c>
      <c r="D357" s="790"/>
      <c r="E357" s="215">
        <v>10</v>
      </c>
      <c r="F357" s="110">
        <v>36</v>
      </c>
      <c r="G357" s="107">
        <f t="shared" si="31"/>
        <v>360</v>
      </c>
      <c r="H357" s="171" t="s">
        <v>207</v>
      </c>
      <c r="I357" s="108" t="s">
        <v>406</v>
      </c>
      <c r="J357" s="108" t="str">
        <f>VLOOKUP(I357,[3]Presupuesto!$B$8:$C$584,2,0)</f>
        <v>UTILES DE ESCRITORIO, OFICINA Y ENZE¥ANZA</v>
      </c>
      <c r="K357" s="231" t="s">
        <v>187</v>
      </c>
      <c r="L357" s="108" t="s">
        <v>476</v>
      </c>
    </row>
    <row r="358" spans="3:12" x14ac:dyDescent="0.25">
      <c r="C358" s="109" t="s">
        <v>34</v>
      </c>
      <c r="D358" s="790"/>
      <c r="E358" s="215">
        <v>3</v>
      </c>
      <c r="F358" s="110">
        <v>80</v>
      </c>
      <c r="G358" s="107">
        <f t="shared" si="31"/>
        <v>240</v>
      </c>
      <c r="H358" s="171" t="s">
        <v>207</v>
      </c>
      <c r="I358" s="108" t="s">
        <v>406</v>
      </c>
      <c r="J358" s="108" t="str">
        <f>VLOOKUP(I358,[3]Presupuesto!$B$8:$C$584,2,0)</f>
        <v>UTILES DE ESCRITORIO, OFICINA Y ENZE¥ANZA</v>
      </c>
      <c r="K358" s="231" t="s">
        <v>187</v>
      </c>
      <c r="L358" s="108" t="s">
        <v>476</v>
      </c>
    </row>
    <row r="359" spans="3:12" x14ac:dyDescent="0.25">
      <c r="C359" s="119" t="s">
        <v>52</v>
      </c>
      <c r="D359" s="790"/>
      <c r="E359" s="224">
        <v>10</v>
      </c>
      <c r="F359" s="129">
        <v>25</v>
      </c>
      <c r="G359" s="107">
        <f t="shared" si="31"/>
        <v>250</v>
      </c>
      <c r="H359" s="171" t="s">
        <v>207</v>
      </c>
      <c r="I359" s="108" t="s">
        <v>406</v>
      </c>
      <c r="J359" s="108" t="str">
        <f>VLOOKUP(I359,[3]Presupuesto!$B$8:$C$584,2,0)</f>
        <v>UTILES DE ESCRITORIO, OFICINA Y ENZE¥ANZA</v>
      </c>
      <c r="K359" s="231" t="s">
        <v>187</v>
      </c>
      <c r="L359" s="108" t="s">
        <v>476</v>
      </c>
    </row>
    <row r="360" spans="3:12" ht="15.75" thickBot="1" x14ac:dyDescent="0.3">
      <c r="C360" s="228" t="s">
        <v>514</v>
      </c>
      <c r="D360" s="229">
        <v>0</v>
      </c>
      <c r="E360" s="230">
        <v>0</v>
      </c>
      <c r="F360" s="114">
        <f>HLOOKUP(C360,$AH$2:$BU$3,2,0)</f>
        <v>1150</v>
      </c>
      <c r="G360" s="115">
        <f>D360*E360*F360</f>
        <v>0</v>
      </c>
      <c r="H360" s="171" t="s">
        <v>207</v>
      </c>
      <c r="I360" s="108" t="s">
        <v>1528</v>
      </c>
      <c r="J360" s="116" t="str">
        <f>VLOOKUP(I360,[3]Presupuesto!$B$8:$C$584,2,0)</f>
        <v>COMISIONES</v>
      </c>
      <c r="K360" s="231" t="s">
        <v>187</v>
      </c>
      <c r="L360" s="108" t="s">
        <v>476</v>
      </c>
    </row>
    <row r="362" spans="3:12" ht="15.75" thickBot="1" x14ac:dyDescent="0.3"/>
    <row r="363" spans="3:12" ht="15.75" thickBot="1" x14ac:dyDescent="0.3">
      <c r="C363" s="29" t="s">
        <v>43</v>
      </c>
      <c r="D363" s="30">
        <f>SUM(G370:G379)</f>
        <v>24400</v>
      </c>
      <c r="E363" s="103"/>
      <c r="F363" s="103"/>
      <c r="G363" s="103"/>
      <c r="H363" s="84"/>
      <c r="I363" s="84"/>
      <c r="J363" s="84"/>
      <c r="K363" s="122"/>
    </row>
    <row r="364" spans="3:12" x14ac:dyDescent="0.25">
      <c r="C364" s="69"/>
      <c r="D364" s="31"/>
      <c r="E364" s="103"/>
      <c r="F364" s="103"/>
      <c r="G364" s="103"/>
      <c r="H364" s="84"/>
      <c r="I364" s="84"/>
      <c r="J364" s="84"/>
      <c r="K364" s="122"/>
    </row>
    <row r="365" spans="3:12" x14ac:dyDescent="0.25">
      <c r="C365" s="69"/>
      <c r="D365" s="31"/>
      <c r="E365" s="103"/>
      <c r="F365" s="103"/>
      <c r="G365" s="103"/>
      <c r="H365" s="84"/>
      <c r="I365" s="84"/>
      <c r="J365" s="84"/>
      <c r="K365" s="122"/>
    </row>
    <row r="366" spans="3:12" ht="15.75" x14ac:dyDescent="0.25">
      <c r="C366" s="217" t="s">
        <v>471</v>
      </c>
      <c r="D366" s="218"/>
      <c r="E366" s="103"/>
      <c r="F366" s="103"/>
      <c r="G366" s="103"/>
      <c r="H366" s="84"/>
      <c r="I366" s="84"/>
      <c r="J366" s="84"/>
      <c r="K366" s="122"/>
    </row>
    <row r="367" spans="3:12" ht="18.75" x14ac:dyDescent="0.25">
      <c r="C367" s="220">
        <f>IFERROR(VLOOKUP(D366,'[4]Desarrollo Curricular'!$E:$F,2,FALSE),IFERROR(VLOOKUP(D366,[4]Investigación!$E:$F,2,FALSE),IFERROR(VLOOKUP(D366,'[4]Vinculación Univ. Sociedad'!$E:$F,2,FALSE),IFERROR(VLOOKUP(D366,'[4]Docencia y Recursos Humanos '!$E:$F,2,FALSE),IFERROR(VLOOKUP(D366,[4]Estudiantes!$E:$F,2,FALSE),IFERROR(VLOOKUP(D366,'[4]Gestion Administrativa'!$E:$F,2,FALSE),IFERROR(VLOOKUP(D366,'[4]Gestion Academica'!$E:$F,2,FALSE),IFERROR(VLOOKUP(D366,[4]Graduados!$E:$F,2,FALSE),IFERROR(VLOOKUP(D366,'[4]Gestión del Conocimiento'!$E:$F,2,FALSE),IFERROR(VLOOKUP(D366,[4]Gobernabilidad!$E:$F,2,FALSE),IFERROR(VLOOKUP(D366,'[4]NIVEL DE ES Y  SISTEMA NACIONAL'!$E:$F,2,FALSE),VLOOKUP(D366,'[4]Lo Esencial'!$E:$F,2,0))))))))))))</f>
        <v>0</v>
      </c>
      <c r="D367" s="31"/>
      <c r="E367" s="103"/>
      <c r="F367" s="103"/>
      <c r="G367" s="103"/>
      <c r="H367" s="84"/>
      <c r="I367" s="84"/>
      <c r="J367" s="84"/>
      <c r="K367" s="122"/>
    </row>
    <row r="368" spans="3:12" ht="15.75" thickBot="1" x14ac:dyDescent="0.3">
      <c r="C368" s="69" t="s">
        <v>1885</v>
      </c>
      <c r="D368" s="31"/>
      <c r="E368" s="103"/>
      <c r="F368" s="103"/>
      <c r="G368" s="103"/>
      <c r="H368" s="84"/>
      <c r="I368" s="84"/>
      <c r="J368" s="84"/>
      <c r="K368" s="122"/>
    </row>
    <row r="369" spans="3:12" ht="30.75" thickBot="1" x14ac:dyDescent="0.3">
      <c r="C369" s="136" t="s">
        <v>44</v>
      </c>
      <c r="D369" s="139" t="s">
        <v>45</v>
      </c>
      <c r="E369" s="138" t="s">
        <v>55</v>
      </c>
      <c r="F369" s="138" t="s">
        <v>57</v>
      </c>
      <c r="G369" s="137" t="s">
        <v>27</v>
      </c>
      <c r="H369" s="143" t="s">
        <v>208</v>
      </c>
      <c r="I369" s="138" t="s">
        <v>46</v>
      </c>
      <c r="J369" s="138" t="s">
        <v>209</v>
      </c>
      <c r="K369" s="138" t="s">
        <v>491</v>
      </c>
      <c r="L369" s="138" t="s">
        <v>492</v>
      </c>
    </row>
    <row r="370" spans="3:12" x14ac:dyDescent="0.25">
      <c r="C370" s="105" t="s">
        <v>47</v>
      </c>
      <c r="D370" s="789">
        <v>20</v>
      </c>
      <c r="E370" s="168">
        <v>4</v>
      </c>
      <c r="F370" s="125">
        <v>800</v>
      </c>
      <c r="G370" s="107">
        <f t="shared" ref="G370:G378" si="32">E370*F370</f>
        <v>3200</v>
      </c>
      <c r="H370" s="171" t="s">
        <v>207</v>
      </c>
      <c r="I370" s="108" t="s">
        <v>369</v>
      </c>
      <c r="J370" s="108" t="str">
        <f>VLOOKUP(I370,[4]Presupuesto!$B$8:$C$584,2,0)</f>
        <v>SERVICIOS TECNICOS Y PROFESIONALES DE CAPAC. (24500-00)</v>
      </c>
      <c r="K370" s="231" t="s">
        <v>562</v>
      </c>
      <c r="L370" s="108" t="s">
        <v>493</v>
      </c>
    </row>
    <row r="371" spans="3:12" x14ac:dyDescent="0.25">
      <c r="C371" s="109" t="s">
        <v>48</v>
      </c>
      <c r="D371" s="790"/>
      <c r="E371" s="215"/>
      <c r="F371" s="110"/>
      <c r="G371" s="107">
        <f t="shared" si="32"/>
        <v>0</v>
      </c>
      <c r="H371" s="171"/>
      <c r="I371" s="108"/>
      <c r="J371" s="108"/>
      <c r="K371" s="108"/>
      <c r="L371" s="108" t="s">
        <v>493</v>
      </c>
    </row>
    <row r="372" spans="3:12" x14ac:dyDescent="0.25">
      <c r="C372" s="109" t="s">
        <v>49</v>
      </c>
      <c r="D372" s="790"/>
      <c r="E372" s="215">
        <v>20</v>
      </c>
      <c r="F372" s="110">
        <v>60</v>
      </c>
      <c r="G372" s="107">
        <f t="shared" si="32"/>
        <v>1200</v>
      </c>
      <c r="H372" s="171" t="s">
        <v>207</v>
      </c>
      <c r="I372" s="108" t="s">
        <v>997</v>
      </c>
      <c r="J372" s="108" t="str">
        <f>VLOOKUP(I372,[4]Presupuesto!$B$8:$C$584,2,0)</f>
        <v>ALIMENTOS B EBIDAS PARA PERSONAS</v>
      </c>
      <c r="K372" s="108" t="s">
        <v>562</v>
      </c>
      <c r="L372" s="108" t="s">
        <v>493</v>
      </c>
    </row>
    <row r="373" spans="3:12" x14ac:dyDescent="0.25">
      <c r="C373" s="109" t="s">
        <v>50</v>
      </c>
      <c r="D373" s="790"/>
      <c r="E373" s="161"/>
      <c r="F373" s="128"/>
      <c r="G373" s="107">
        <f t="shared" si="32"/>
        <v>0</v>
      </c>
      <c r="H373" s="171"/>
      <c r="I373" s="108"/>
      <c r="J373" s="108"/>
      <c r="K373" s="108"/>
      <c r="L373" s="108"/>
    </row>
    <row r="374" spans="3:12" x14ac:dyDescent="0.25">
      <c r="C374" s="109" t="s">
        <v>501</v>
      </c>
      <c r="D374" s="790"/>
      <c r="E374" s="161">
        <v>20</v>
      </c>
      <c r="F374" s="128">
        <v>1000</v>
      </c>
      <c r="G374" s="107">
        <f t="shared" si="32"/>
        <v>20000</v>
      </c>
      <c r="H374" s="171" t="s">
        <v>207</v>
      </c>
      <c r="I374" s="108" t="s">
        <v>395</v>
      </c>
      <c r="J374" s="108" t="str">
        <f>VLOOKUP(I374,[4]Presupuesto!$B$8:$C$584,2,0)</f>
        <v>PRODUCTOS DE PAPEL Y CARTON (33400-00)</v>
      </c>
      <c r="K374" s="108" t="s">
        <v>562</v>
      </c>
      <c r="L374" s="108" t="s">
        <v>493</v>
      </c>
    </row>
    <row r="375" spans="3:12" x14ac:dyDescent="0.25">
      <c r="C375" s="109" t="s">
        <v>51</v>
      </c>
      <c r="D375" s="790"/>
      <c r="E375" s="215"/>
      <c r="F375" s="110"/>
      <c r="G375" s="107"/>
      <c r="H375" s="171"/>
      <c r="I375" s="108"/>
      <c r="J375" s="108"/>
      <c r="K375" s="108"/>
      <c r="L375" s="108"/>
    </row>
    <row r="376" spans="3:12" x14ac:dyDescent="0.25">
      <c r="C376" s="109" t="s">
        <v>189</v>
      </c>
      <c r="D376" s="790"/>
      <c r="E376" s="215"/>
      <c r="F376" s="110"/>
      <c r="G376" s="107"/>
      <c r="H376" s="171"/>
      <c r="I376" s="108"/>
      <c r="J376" s="108"/>
      <c r="K376" s="108"/>
      <c r="L376" s="108"/>
    </row>
    <row r="377" spans="3:12" x14ac:dyDescent="0.25">
      <c r="C377" s="109" t="s">
        <v>34</v>
      </c>
      <c r="D377" s="790"/>
      <c r="E377" s="215"/>
      <c r="F377" s="110"/>
      <c r="G377" s="107"/>
      <c r="H377" s="171"/>
      <c r="I377" s="108"/>
      <c r="J377" s="108"/>
      <c r="K377" s="108"/>
      <c r="L377" s="108"/>
    </row>
    <row r="378" spans="3:12" x14ac:dyDescent="0.25">
      <c r="C378" s="119" t="s">
        <v>52</v>
      </c>
      <c r="D378" s="790"/>
      <c r="E378" s="224"/>
      <c r="F378" s="129"/>
      <c r="G378" s="107">
        <f t="shared" si="32"/>
        <v>0</v>
      </c>
      <c r="H378" s="171"/>
      <c r="I378" s="108"/>
      <c r="J378" s="108"/>
      <c r="K378" s="108"/>
      <c r="L378" s="108"/>
    </row>
    <row r="379" spans="3:12" ht="15.75" thickBot="1" x14ac:dyDescent="0.3">
      <c r="C379" s="228" t="s">
        <v>529</v>
      </c>
      <c r="D379" s="229"/>
      <c r="E379" s="230"/>
      <c r="F379" s="114"/>
      <c r="G379" s="115">
        <f>D379*E379*F379</f>
        <v>0</v>
      </c>
      <c r="H379" s="171"/>
      <c r="I379" s="108"/>
      <c r="J379" s="116"/>
      <c r="K379" s="108"/>
      <c r="L379" s="108"/>
    </row>
    <row r="381" spans="3:12" ht="15.75" thickBot="1" x14ac:dyDescent="0.3"/>
    <row r="382" spans="3:12" ht="15.75" thickBot="1" x14ac:dyDescent="0.3">
      <c r="C382" s="29" t="s">
        <v>43</v>
      </c>
      <c r="D382" s="30">
        <f>SUM(G389:G398)</f>
        <v>60280</v>
      </c>
      <c r="E382" s="103"/>
      <c r="F382" s="103"/>
      <c r="G382" s="103"/>
      <c r="H382" s="84"/>
      <c r="I382" s="84"/>
      <c r="J382" s="84"/>
      <c r="K382" s="122"/>
    </row>
    <row r="383" spans="3:12" x14ac:dyDescent="0.25">
      <c r="C383" s="69"/>
      <c r="D383" s="31"/>
      <c r="E383" s="103"/>
      <c r="F383" s="103"/>
      <c r="G383" s="103"/>
      <c r="H383" s="84"/>
      <c r="I383" s="84"/>
      <c r="J383" s="84"/>
      <c r="K383" s="122"/>
    </row>
    <row r="384" spans="3:12" x14ac:dyDescent="0.25">
      <c r="C384" s="69"/>
      <c r="D384" s="31"/>
      <c r="E384" s="103"/>
      <c r="F384" s="103"/>
      <c r="G384" s="103"/>
      <c r="H384" s="84"/>
      <c r="I384" s="84"/>
      <c r="J384" s="84"/>
      <c r="K384" s="122"/>
    </row>
    <row r="385" spans="3:12" ht="15.75" x14ac:dyDescent="0.25">
      <c r="C385" s="217" t="s">
        <v>471</v>
      </c>
      <c r="D385" s="218"/>
      <c r="E385" s="103"/>
      <c r="F385" s="103"/>
      <c r="G385" s="103"/>
      <c r="H385" s="84"/>
      <c r="I385" s="84"/>
      <c r="J385" s="84"/>
      <c r="K385" s="122"/>
    </row>
    <row r="386" spans="3:12" ht="18.75" x14ac:dyDescent="0.25">
      <c r="C386" s="220">
        <f>IFERROR(VLOOKUP(D385,'[4]Desarrollo Curricular'!$E:$F,2,FALSE),IFERROR(VLOOKUP(D385,[4]Investigación!$E:$F,2,FALSE),IFERROR(VLOOKUP(D385,'[4]Vinculación Univ. Sociedad'!$E:$F,2,FALSE),IFERROR(VLOOKUP(D385,'[4]Docencia y Recursos Humanos '!$E:$F,2,FALSE),IFERROR(VLOOKUP(D385,[4]Estudiantes!$E:$F,2,FALSE),IFERROR(VLOOKUP(D385,'[4]Gestion Administrativa'!$E:$F,2,FALSE),IFERROR(VLOOKUP(D385,'[4]Gestion Academica'!$E:$F,2,FALSE),IFERROR(VLOOKUP(D385,[4]Graduados!$E:$F,2,FALSE),IFERROR(VLOOKUP(D385,'[4]Gestión del Conocimiento'!$E:$F,2,FALSE),IFERROR(VLOOKUP(D385,[4]Gobernabilidad!$E:$F,2,FALSE),IFERROR(VLOOKUP(D385,'[4]NIVEL DE ES Y  SISTEMA NACIONAL'!$E:$F,2,FALSE),VLOOKUP(D385,'[4]Lo Esencial'!$E:$F,2,0))))))))))))</f>
        <v>0</v>
      </c>
      <c r="D386" s="31"/>
      <c r="E386" s="103"/>
      <c r="F386" s="103"/>
      <c r="G386" s="103"/>
      <c r="H386" s="84"/>
      <c r="I386" s="84"/>
      <c r="J386" s="84"/>
      <c r="K386" s="122"/>
    </row>
    <row r="387" spans="3:12" ht="15.75" thickBot="1" x14ac:dyDescent="0.3">
      <c r="C387" s="69" t="s">
        <v>1990</v>
      </c>
      <c r="D387" s="31"/>
      <c r="E387" s="103"/>
      <c r="F387" s="103"/>
      <c r="G387" s="103"/>
      <c r="H387" s="84"/>
      <c r="I387" s="84"/>
      <c r="J387" s="84"/>
      <c r="K387" s="122"/>
    </row>
    <row r="388" spans="3:12" ht="30.75" thickBot="1" x14ac:dyDescent="0.3">
      <c r="C388" s="136" t="s">
        <v>44</v>
      </c>
      <c r="D388" s="139" t="s">
        <v>45</v>
      </c>
      <c r="E388" s="138" t="s">
        <v>55</v>
      </c>
      <c r="F388" s="138" t="s">
        <v>57</v>
      </c>
      <c r="G388" s="137" t="s">
        <v>27</v>
      </c>
      <c r="H388" s="143" t="s">
        <v>208</v>
      </c>
      <c r="I388" s="138" t="s">
        <v>46</v>
      </c>
      <c r="J388" s="138" t="s">
        <v>209</v>
      </c>
      <c r="K388" s="138" t="s">
        <v>491</v>
      </c>
      <c r="L388" s="138" t="s">
        <v>492</v>
      </c>
    </row>
    <row r="389" spans="3:12" x14ac:dyDescent="0.25">
      <c r="C389" s="105" t="s">
        <v>47</v>
      </c>
      <c r="D389" s="789">
        <v>30</v>
      </c>
      <c r="E389" s="168">
        <v>2</v>
      </c>
      <c r="F389" s="125">
        <v>20000</v>
      </c>
      <c r="G389" s="107">
        <f t="shared" ref="G389:G397" si="33">E389*F389</f>
        <v>40000</v>
      </c>
      <c r="H389" s="171" t="s">
        <v>207</v>
      </c>
      <c r="I389" s="108" t="s">
        <v>369</v>
      </c>
      <c r="J389" s="108" t="str">
        <f>VLOOKUP(I389,[3]Presupuesto!$B$8:$C$584,2,0)</f>
        <v>SERVICIOS TECNICOS Y PROFESIONALES DE CAPAC. (24500-00)</v>
      </c>
      <c r="K389" s="231" t="s">
        <v>201</v>
      </c>
      <c r="L389" s="108" t="s">
        <v>476</v>
      </c>
    </row>
    <row r="390" spans="3:12" x14ac:dyDescent="0.25">
      <c r="C390" s="109" t="s">
        <v>48</v>
      </c>
      <c r="D390" s="790"/>
      <c r="E390" s="215">
        <v>30</v>
      </c>
      <c r="F390" s="110">
        <v>50</v>
      </c>
      <c r="G390" s="107">
        <f t="shared" si="33"/>
        <v>1500</v>
      </c>
      <c r="H390" s="171" t="s">
        <v>207</v>
      </c>
      <c r="I390" s="108" t="s">
        <v>373</v>
      </c>
      <c r="J390" s="108" t="str">
        <f>VLOOKUP(I390,[3]Presupuesto!$B$8:$C$584,2,0)</f>
        <v>IMPRENTA, PUBLIC. Y REPRODUC. (25300-00)</v>
      </c>
      <c r="K390" s="231" t="s">
        <v>201</v>
      </c>
      <c r="L390" s="108" t="s">
        <v>476</v>
      </c>
    </row>
    <row r="391" spans="3:12" x14ac:dyDescent="0.25">
      <c r="C391" s="109" t="s">
        <v>49</v>
      </c>
      <c r="D391" s="790"/>
      <c r="E391" s="215">
        <v>30</v>
      </c>
      <c r="F391" s="110">
        <v>150</v>
      </c>
      <c r="G391" s="107">
        <f t="shared" si="33"/>
        <v>4500</v>
      </c>
      <c r="H391" s="171" t="s">
        <v>207</v>
      </c>
      <c r="I391" s="108" t="s">
        <v>390</v>
      </c>
      <c r="J391" s="108" t="str">
        <f>VLOOKUP(I391,[3]Presupuesto!$B$8:$C$584,2,0)</f>
        <v>ALIMENTOS Y BEBIDAS PARA PERSONAS (31100-00)</v>
      </c>
      <c r="K391" s="231" t="s">
        <v>201</v>
      </c>
      <c r="L391" s="108" t="s">
        <v>476</v>
      </c>
    </row>
    <row r="392" spans="3:12" x14ac:dyDescent="0.25">
      <c r="C392" s="109" t="s">
        <v>50</v>
      </c>
      <c r="D392" s="790"/>
      <c r="E392" s="161">
        <v>0</v>
      </c>
      <c r="F392" s="128">
        <v>10000</v>
      </c>
      <c r="G392" s="107">
        <f t="shared" si="33"/>
        <v>0</v>
      </c>
      <c r="H392" s="171" t="s">
        <v>207</v>
      </c>
      <c r="I392" s="108" t="s">
        <v>1528</v>
      </c>
      <c r="J392" s="108" t="str">
        <f>VLOOKUP(I392,[3]Presupuesto!$B$8:$C$584,2,0)</f>
        <v>COMISIONES</v>
      </c>
      <c r="K392" s="231" t="s">
        <v>201</v>
      </c>
      <c r="L392" s="108" t="s">
        <v>476</v>
      </c>
    </row>
    <row r="393" spans="3:12" x14ac:dyDescent="0.25">
      <c r="C393" s="109" t="s">
        <v>501</v>
      </c>
      <c r="D393" s="790"/>
      <c r="E393" s="161">
        <v>30</v>
      </c>
      <c r="F393" s="128">
        <v>250</v>
      </c>
      <c r="G393" s="107">
        <f t="shared" si="33"/>
        <v>7500</v>
      </c>
      <c r="H393" s="171" t="s">
        <v>207</v>
      </c>
      <c r="I393" s="108" t="s">
        <v>395</v>
      </c>
      <c r="J393" s="108" t="str">
        <f>VLOOKUP(I393,[2]Presupuesto!$B$8:$C$584,2,0)</f>
        <v>PRODUCTOS DE PAPEL Y CARTON (33400-00)</v>
      </c>
      <c r="K393" s="231" t="s">
        <v>201</v>
      </c>
      <c r="L393" s="108" t="s">
        <v>476</v>
      </c>
    </row>
    <row r="394" spans="3:12" x14ac:dyDescent="0.25">
      <c r="C394" s="109" t="s">
        <v>51</v>
      </c>
      <c r="D394" s="790"/>
      <c r="E394" s="215">
        <v>30</v>
      </c>
      <c r="F394" s="110">
        <v>85</v>
      </c>
      <c r="G394" s="107">
        <f t="shared" si="33"/>
        <v>2550</v>
      </c>
      <c r="H394" s="171" t="s">
        <v>207</v>
      </c>
      <c r="I394" s="108" t="s">
        <v>395</v>
      </c>
      <c r="J394" s="108" t="str">
        <f>VLOOKUP(I394,[2]Presupuesto!$B$8:$C$584,2,0)</f>
        <v>PRODUCTOS DE PAPEL Y CARTON (33400-00)</v>
      </c>
      <c r="K394" s="231" t="s">
        <v>201</v>
      </c>
      <c r="L394" s="108" t="s">
        <v>476</v>
      </c>
    </row>
    <row r="395" spans="3:12" x14ac:dyDescent="0.25">
      <c r="C395" s="109" t="s">
        <v>189</v>
      </c>
      <c r="D395" s="790"/>
      <c r="E395" s="215">
        <v>30</v>
      </c>
      <c r="F395" s="110">
        <v>36</v>
      </c>
      <c r="G395" s="107">
        <f t="shared" si="33"/>
        <v>1080</v>
      </c>
      <c r="H395" s="171" t="s">
        <v>207</v>
      </c>
      <c r="I395" s="108" t="s">
        <v>406</v>
      </c>
      <c r="J395" s="108" t="str">
        <f>VLOOKUP(I395,[3]Presupuesto!$B$8:$C$584,2,0)</f>
        <v>UTILES DE ESCRITORIO, OFICINA Y ENZE¥ANZA</v>
      </c>
      <c r="K395" s="231" t="s">
        <v>201</v>
      </c>
      <c r="L395" s="108" t="s">
        <v>476</v>
      </c>
    </row>
    <row r="396" spans="3:12" x14ac:dyDescent="0.25">
      <c r="C396" s="109" t="s">
        <v>34</v>
      </c>
      <c r="D396" s="790"/>
      <c r="E396" s="215">
        <v>30</v>
      </c>
      <c r="F396" s="110">
        <v>80</v>
      </c>
      <c r="G396" s="107">
        <f t="shared" si="33"/>
        <v>2400</v>
      </c>
      <c r="H396" s="171" t="s">
        <v>207</v>
      </c>
      <c r="I396" s="108" t="s">
        <v>406</v>
      </c>
      <c r="J396" s="108" t="str">
        <f>VLOOKUP(I396,[3]Presupuesto!$B$8:$C$584,2,0)</f>
        <v>UTILES DE ESCRITORIO, OFICINA Y ENZE¥ANZA</v>
      </c>
      <c r="K396" s="231" t="s">
        <v>201</v>
      </c>
      <c r="L396" s="108" t="s">
        <v>476</v>
      </c>
    </row>
    <row r="397" spans="3:12" x14ac:dyDescent="0.25">
      <c r="C397" s="119" t="s">
        <v>52</v>
      </c>
      <c r="D397" s="790"/>
      <c r="E397" s="224">
        <v>30</v>
      </c>
      <c r="F397" s="129">
        <v>25</v>
      </c>
      <c r="G397" s="107">
        <f t="shared" si="33"/>
        <v>750</v>
      </c>
      <c r="H397" s="171" t="s">
        <v>207</v>
      </c>
      <c r="I397" s="108" t="s">
        <v>406</v>
      </c>
      <c r="J397" s="108" t="str">
        <f>VLOOKUP(I397,[3]Presupuesto!$B$8:$C$584,2,0)</f>
        <v>UTILES DE ESCRITORIO, OFICINA Y ENZE¥ANZA</v>
      </c>
      <c r="K397" s="231" t="s">
        <v>201</v>
      </c>
      <c r="L397" s="108" t="s">
        <v>476</v>
      </c>
    </row>
    <row r="398" spans="3:12" ht="15.75" thickBot="1" x14ac:dyDescent="0.3">
      <c r="C398" s="228" t="s">
        <v>514</v>
      </c>
      <c r="D398" s="229">
        <v>0</v>
      </c>
      <c r="E398" s="230">
        <v>0</v>
      </c>
      <c r="F398" s="114">
        <f>HLOOKUP(C398,$AH$2:$BU$3,2,0)</f>
        <v>1150</v>
      </c>
      <c r="G398" s="115">
        <f>D398*E398*F398</f>
        <v>0</v>
      </c>
      <c r="H398" s="171" t="s">
        <v>207</v>
      </c>
      <c r="I398" s="108" t="s">
        <v>1528</v>
      </c>
      <c r="J398" s="116" t="str">
        <f>VLOOKUP(I398,[3]Presupuesto!$B$8:$C$584,2,0)</f>
        <v>COMISIONES</v>
      </c>
      <c r="K398" s="231" t="s">
        <v>201</v>
      </c>
      <c r="L398" s="108" t="s">
        <v>476</v>
      </c>
    </row>
    <row r="400" spans="3:12" ht="15.75" thickBot="1" x14ac:dyDescent="0.3"/>
    <row r="401" spans="3:12" ht="15.75" thickBot="1" x14ac:dyDescent="0.3">
      <c r="C401" s="29" t="s">
        <v>43</v>
      </c>
      <c r="D401" s="30">
        <f>SUM(G408:G417)</f>
        <v>72750</v>
      </c>
      <c r="E401" s="103"/>
      <c r="F401" s="103"/>
      <c r="G401" s="103"/>
      <c r="H401" s="84"/>
      <c r="I401" s="84"/>
      <c r="J401" s="84"/>
      <c r="K401" s="122"/>
    </row>
    <row r="402" spans="3:12" x14ac:dyDescent="0.25">
      <c r="C402" s="69"/>
      <c r="D402" s="31"/>
      <c r="E402" s="103"/>
      <c r="F402" s="103"/>
      <c r="G402" s="103"/>
      <c r="H402" s="84"/>
      <c r="I402" s="84"/>
      <c r="J402" s="84"/>
      <c r="K402" s="122"/>
    </row>
    <row r="403" spans="3:12" x14ac:dyDescent="0.25">
      <c r="C403" s="69"/>
      <c r="D403" s="31"/>
      <c r="E403" s="103"/>
      <c r="F403" s="103"/>
      <c r="G403" s="103"/>
      <c r="H403" s="84"/>
      <c r="I403" s="84"/>
      <c r="J403" s="84"/>
      <c r="K403" s="122"/>
    </row>
    <row r="404" spans="3:12" ht="15.75" x14ac:dyDescent="0.25">
      <c r="C404" s="217" t="s">
        <v>471</v>
      </c>
      <c r="D404" s="218"/>
      <c r="E404" s="103"/>
      <c r="F404" s="103"/>
      <c r="G404" s="103"/>
      <c r="H404" s="84"/>
      <c r="I404" s="84"/>
      <c r="J404" s="84"/>
      <c r="K404" s="122"/>
    </row>
    <row r="405" spans="3:12" ht="18.75" x14ac:dyDescent="0.25">
      <c r="C405" s="220">
        <f>IFERROR(VLOOKUP(D404,'[4]Desarrollo Curricular'!$E:$F,2,FALSE),IFERROR(VLOOKUP(D404,[4]Investigación!$E:$F,2,FALSE),IFERROR(VLOOKUP(D404,'[4]Vinculación Univ. Sociedad'!$E:$F,2,FALSE),IFERROR(VLOOKUP(D404,'[4]Docencia y Recursos Humanos '!$E:$F,2,FALSE),IFERROR(VLOOKUP(D404,[4]Estudiantes!$E:$F,2,FALSE),IFERROR(VLOOKUP(D404,'[4]Gestion Administrativa'!$E:$F,2,FALSE),IFERROR(VLOOKUP(D404,'[4]Gestion Academica'!$E:$F,2,FALSE),IFERROR(VLOOKUP(D404,[4]Graduados!$E:$F,2,FALSE),IFERROR(VLOOKUP(D404,'[4]Gestión del Conocimiento'!$E:$F,2,FALSE),IFERROR(VLOOKUP(D404,[4]Gobernabilidad!$E:$F,2,FALSE),IFERROR(VLOOKUP(D404,'[4]NIVEL DE ES Y  SISTEMA NACIONAL'!$E:$F,2,FALSE),VLOOKUP(D404,'[4]Lo Esencial'!$E:$F,2,0))))))))))))</f>
        <v>0</v>
      </c>
      <c r="D405" s="31"/>
      <c r="E405" s="103"/>
      <c r="F405" s="103"/>
      <c r="G405" s="103"/>
      <c r="H405" s="84"/>
      <c r="I405" s="84"/>
      <c r="J405" s="84"/>
      <c r="K405" s="122"/>
    </row>
    <row r="406" spans="3:12" ht="15.75" thickBot="1" x14ac:dyDescent="0.3">
      <c r="C406" s="69"/>
      <c r="D406" s="31"/>
      <c r="E406" s="103"/>
      <c r="F406" s="103"/>
      <c r="G406" s="103"/>
      <c r="H406" s="84"/>
      <c r="I406" s="84"/>
      <c r="J406" s="84"/>
      <c r="K406" s="122"/>
    </row>
    <row r="407" spans="3:12" ht="30.75" thickBot="1" x14ac:dyDescent="0.3">
      <c r="C407" s="136" t="s">
        <v>44</v>
      </c>
      <c r="D407" s="139" t="s">
        <v>45</v>
      </c>
      <c r="E407" s="138" t="s">
        <v>55</v>
      </c>
      <c r="F407" s="138" t="s">
        <v>57</v>
      </c>
      <c r="G407" s="137" t="s">
        <v>27</v>
      </c>
      <c r="H407" s="143" t="s">
        <v>208</v>
      </c>
      <c r="I407" s="138" t="s">
        <v>46</v>
      </c>
      <c r="J407" s="138" t="s">
        <v>209</v>
      </c>
      <c r="K407" s="138" t="s">
        <v>491</v>
      </c>
      <c r="L407" s="138" t="s">
        <v>492</v>
      </c>
    </row>
    <row r="408" spans="3:12" x14ac:dyDescent="0.25">
      <c r="C408" s="105" t="s">
        <v>47</v>
      </c>
      <c r="D408" s="789">
        <v>30</v>
      </c>
      <c r="E408" s="168">
        <v>2</v>
      </c>
      <c r="F408" s="125">
        <v>20000</v>
      </c>
      <c r="G408" s="107">
        <f t="shared" ref="G408:G416" si="34">E408*F408</f>
        <v>40000</v>
      </c>
      <c r="H408" s="171" t="s">
        <v>207</v>
      </c>
      <c r="I408" s="108" t="s">
        <v>369</v>
      </c>
      <c r="J408" s="108" t="str">
        <f>VLOOKUP(I408,[3]Presupuesto!$B$8:$C$584,2,0)</f>
        <v>SERVICIOS TECNICOS Y PROFESIONALES DE CAPAC. (24500-00)</v>
      </c>
      <c r="K408" s="231" t="s">
        <v>201</v>
      </c>
      <c r="L408" s="108" t="s">
        <v>476</v>
      </c>
    </row>
    <row r="409" spans="3:12" x14ac:dyDescent="0.25">
      <c r="C409" s="109" t="s">
        <v>48</v>
      </c>
      <c r="D409" s="790"/>
      <c r="E409" s="215">
        <v>50</v>
      </c>
      <c r="F409" s="110">
        <v>50</v>
      </c>
      <c r="G409" s="107">
        <f t="shared" si="34"/>
        <v>2500</v>
      </c>
      <c r="H409" s="171" t="s">
        <v>207</v>
      </c>
      <c r="I409" s="108" t="s">
        <v>373</v>
      </c>
      <c r="J409" s="108" t="str">
        <f>VLOOKUP(I409,[3]Presupuesto!$B$8:$C$584,2,0)</f>
        <v>IMPRENTA, PUBLIC. Y REPRODUC. (25300-00)</v>
      </c>
      <c r="K409" s="231" t="s">
        <v>201</v>
      </c>
      <c r="L409" s="108" t="s">
        <v>476</v>
      </c>
    </row>
    <row r="410" spans="3:12" x14ac:dyDescent="0.25">
      <c r="C410" s="109" t="s">
        <v>49</v>
      </c>
      <c r="D410" s="790"/>
      <c r="E410" s="215">
        <v>50</v>
      </c>
      <c r="F410" s="110">
        <v>150</v>
      </c>
      <c r="G410" s="107">
        <f t="shared" si="34"/>
        <v>7500</v>
      </c>
      <c r="H410" s="171" t="s">
        <v>207</v>
      </c>
      <c r="I410" s="108" t="s">
        <v>390</v>
      </c>
      <c r="J410" s="108" t="str">
        <f>VLOOKUP(I410,[3]Presupuesto!$B$8:$C$584,2,0)</f>
        <v>ALIMENTOS Y BEBIDAS PARA PERSONAS (31100-00)</v>
      </c>
      <c r="K410" s="231" t="s">
        <v>201</v>
      </c>
      <c r="L410" s="108" t="s">
        <v>476</v>
      </c>
    </row>
    <row r="411" spans="3:12" x14ac:dyDescent="0.25">
      <c r="C411" s="109" t="s">
        <v>50</v>
      </c>
      <c r="D411" s="790"/>
      <c r="E411" s="161">
        <v>0</v>
      </c>
      <c r="F411" s="128">
        <v>10000</v>
      </c>
      <c r="G411" s="107">
        <f t="shared" si="34"/>
        <v>0</v>
      </c>
      <c r="H411" s="171" t="s">
        <v>207</v>
      </c>
      <c r="I411" s="108" t="s">
        <v>1528</v>
      </c>
      <c r="J411" s="108" t="str">
        <f>VLOOKUP(I411,[3]Presupuesto!$B$8:$C$584,2,0)</f>
        <v>COMISIONES</v>
      </c>
      <c r="K411" s="231" t="s">
        <v>201</v>
      </c>
      <c r="L411" s="108" t="s">
        <v>476</v>
      </c>
    </row>
    <row r="412" spans="3:12" x14ac:dyDescent="0.25">
      <c r="C412" s="109" t="s">
        <v>501</v>
      </c>
      <c r="D412" s="790"/>
      <c r="E412" s="161">
        <v>50</v>
      </c>
      <c r="F412" s="128">
        <v>250</v>
      </c>
      <c r="G412" s="107">
        <f t="shared" si="34"/>
        <v>12500</v>
      </c>
      <c r="H412" s="171" t="s">
        <v>207</v>
      </c>
      <c r="I412" s="108" t="s">
        <v>395</v>
      </c>
      <c r="J412" s="108" t="str">
        <f>VLOOKUP(I412,[2]Presupuesto!$B$8:$C$584,2,0)</f>
        <v>PRODUCTOS DE PAPEL Y CARTON (33400-00)</v>
      </c>
      <c r="K412" s="231" t="s">
        <v>201</v>
      </c>
      <c r="L412" s="108" t="s">
        <v>476</v>
      </c>
    </row>
    <row r="413" spans="3:12" x14ac:dyDescent="0.25">
      <c r="C413" s="109" t="s">
        <v>51</v>
      </c>
      <c r="D413" s="790"/>
      <c r="E413" s="215">
        <v>50</v>
      </c>
      <c r="F413" s="110">
        <v>85</v>
      </c>
      <c r="G413" s="107">
        <f t="shared" si="34"/>
        <v>4250</v>
      </c>
      <c r="H413" s="171" t="s">
        <v>207</v>
      </c>
      <c r="I413" s="108" t="s">
        <v>395</v>
      </c>
      <c r="J413" s="108" t="str">
        <f>VLOOKUP(I413,[2]Presupuesto!$B$8:$C$584,2,0)</f>
        <v>PRODUCTOS DE PAPEL Y CARTON (33400-00)</v>
      </c>
      <c r="K413" s="231" t="s">
        <v>201</v>
      </c>
      <c r="L413" s="108" t="s">
        <v>476</v>
      </c>
    </row>
    <row r="414" spans="3:12" x14ac:dyDescent="0.25">
      <c r="C414" s="109" t="s">
        <v>189</v>
      </c>
      <c r="D414" s="790"/>
      <c r="E414" s="215">
        <v>50</v>
      </c>
      <c r="F414" s="110">
        <v>36</v>
      </c>
      <c r="G414" s="107">
        <f t="shared" si="34"/>
        <v>1800</v>
      </c>
      <c r="H414" s="171" t="s">
        <v>207</v>
      </c>
      <c r="I414" s="108" t="s">
        <v>406</v>
      </c>
      <c r="J414" s="108" t="str">
        <f>VLOOKUP(I414,[3]Presupuesto!$B$8:$C$584,2,0)</f>
        <v>UTILES DE ESCRITORIO, OFICINA Y ENZE¥ANZA</v>
      </c>
      <c r="K414" s="231" t="s">
        <v>201</v>
      </c>
      <c r="L414" s="108" t="s">
        <v>476</v>
      </c>
    </row>
    <row r="415" spans="3:12" x14ac:dyDescent="0.25">
      <c r="C415" s="109" t="s">
        <v>34</v>
      </c>
      <c r="D415" s="790"/>
      <c r="E415" s="215">
        <v>40</v>
      </c>
      <c r="F415" s="110">
        <v>80</v>
      </c>
      <c r="G415" s="107">
        <f t="shared" si="34"/>
        <v>3200</v>
      </c>
      <c r="H415" s="171" t="s">
        <v>207</v>
      </c>
      <c r="I415" s="108" t="s">
        <v>406</v>
      </c>
      <c r="J415" s="108" t="str">
        <f>VLOOKUP(I415,[3]Presupuesto!$B$8:$C$584,2,0)</f>
        <v>UTILES DE ESCRITORIO, OFICINA Y ENZE¥ANZA</v>
      </c>
      <c r="K415" s="231" t="s">
        <v>201</v>
      </c>
      <c r="L415" s="108" t="s">
        <v>476</v>
      </c>
    </row>
    <row r="416" spans="3:12" x14ac:dyDescent="0.25">
      <c r="C416" s="119" t="s">
        <v>52</v>
      </c>
      <c r="D416" s="790"/>
      <c r="E416" s="224">
        <v>40</v>
      </c>
      <c r="F416" s="129">
        <v>25</v>
      </c>
      <c r="G416" s="107">
        <f t="shared" si="34"/>
        <v>1000</v>
      </c>
      <c r="H416" s="171" t="s">
        <v>207</v>
      </c>
      <c r="I416" s="108" t="s">
        <v>406</v>
      </c>
      <c r="J416" s="108" t="str">
        <f>VLOOKUP(I416,[3]Presupuesto!$B$8:$C$584,2,0)</f>
        <v>UTILES DE ESCRITORIO, OFICINA Y ENZE¥ANZA</v>
      </c>
      <c r="K416" s="231" t="s">
        <v>201</v>
      </c>
      <c r="L416" s="108" t="s">
        <v>476</v>
      </c>
    </row>
    <row r="417" spans="3:12" ht="15.75" thickBot="1" x14ac:dyDescent="0.3">
      <c r="C417" s="228" t="s">
        <v>514</v>
      </c>
      <c r="D417" s="229">
        <v>0</v>
      </c>
      <c r="E417" s="230">
        <v>0</v>
      </c>
      <c r="F417" s="114">
        <f>HLOOKUP(C417,$AH$2:$BU$3,2,0)</f>
        <v>1150</v>
      </c>
      <c r="G417" s="115">
        <f>D417*E417*F417</f>
        <v>0</v>
      </c>
      <c r="H417" s="171" t="s">
        <v>207</v>
      </c>
      <c r="I417" s="108" t="s">
        <v>1528</v>
      </c>
      <c r="J417" s="116" t="str">
        <f>VLOOKUP(I417,[3]Presupuesto!$B$8:$C$584,2,0)</f>
        <v>COMISIONES</v>
      </c>
      <c r="K417" s="231" t="s">
        <v>201</v>
      </c>
      <c r="L417" s="108" t="s">
        <v>476</v>
      </c>
    </row>
    <row r="420" spans="3:12" x14ac:dyDescent="0.25">
      <c r="C420" s="69" t="s">
        <v>41</v>
      </c>
      <c r="D420" s="69"/>
      <c r="E420" s="69"/>
      <c r="F420" s="69"/>
      <c r="G420" s="69"/>
      <c r="H420" s="87"/>
      <c r="I420" s="69"/>
      <c r="J420" s="69"/>
    </row>
    <row r="421" spans="3:12" x14ac:dyDescent="0.25">
      <c r="C421" s="69" t="s">
        <v>42</v>
      </c>
      <c r="D421" s="69"/>
      <c r="E421" s="69"/>
      <c r="F421" s="69"/>
      <c r="G421" s="69"/>
      <c r="H421" s="87"/>
      <c r="I421" s="69"/>
      <c r="J421" s="69"/>
    </row>
    <row r="422" spans="3:12" ht="15.75" thickBot="1" x14ac:dyDescent="0.3">
      <c r="C422" s="188"/>
      <c r="D422" s="188"/>
      <c r="E422" s="188"/>
      <c r="F422" s="188"/>
      <c r="G422" s="188"/>
      <c r="H422" s="87"/>
      <c r="I422" s="188"/>
      <c r="J422" s="188"/>
      <c r="K422" s="122"/>
    </row>
    <row r="423" spans="3:12" ht="15.75" thickBot="1" x14ac:dyDescent="0.3">
      <c r="C423" s="29" t="s">
        <v>43</v>
      </c>
      <c r="D423" s="514">
        <f>SUM(G430:G446)</f>
        <v>130646</v>
      </c>
      <c r="E423" s="103"/>
      <c r="F423" s="103"/>
      <c r="G423" s="103"/>
      <c r="H423" s="84"/>
      <c r="I423" s="84"/>
      <c r="J423" s="84"/>
      <c r="K423" s="122"/>
    </row>
    <row r="424" spans="3:12" x14ac:dyDescent="0.25">
      <c r="C424" s="69" t="s">
        <v>2006</v>
      </c>
      <c r="D424" s="31"/>
      <c r="E424" s="103"/>
      <c r="F424" s="103"/>
      <c r="G424" s="103"/>
      <c r="H424" s="84"/>
      <c r="I424" s="84"/>
      <c r="J424" s="84"/>
      <c r="K424" s="122"/>
    </row>
    <row r="425" spans="3:12" x14ac:dyDescent="0.25">
      <c r="C425" s="69"/>
      <c r="D425" s="31"/>
      <c r="E425" s="103"/>
      <c r="F425" s="103"/>
      <c r="G425" s="103"/>
      <c r="H425" s="84"/>
      <c r="I425" s="84"/>
      <c r="J425" s="84"/>
      <c r="K425" s="122"/>
    </row>
    <row r="426" spans="3:12" ht="15.75" x14ac:dyDescent="0.25">
      <c r="C426" s="217" t="s">
        <v>471</v>
      </c>
      <c r="D426" s="576" t="s">
        <v>1546</v>
      </c>
      <c r="E426" s="103"/>
      <c r="F426" s="103"/>
      <c r="G426" s="103"/>
      <c r="H426" s="84"/>
      <c r="I426" s="84"/>
      <c r="J426" s="84"/>
      <c r="K426" s="122"/>
    </row>
    <row r="427" spans="3:12" ht="18.75" x14ac:dyDescent="0.25">
      <c r="C427" s="220" t="str">
        <f>IFERROR(VLOOKUP(D426,'[5]Desarrollo Curricular'!$E:$F,2,FALSE),IFERROR(VLOOKUP(D426,[5]Investigación!$E:$F,2,FALSE),IFERROR(VLOOKUP(D426,'[5]Vinculación Univ. Sociedad'!$E:$F,2,FALSE),IFERROR(VLOOKUP(D426,'[5]Docencia y Recursos Humanos '!$E:$F,2,FALSE),IFERROR(VLOOKUP(D426,[5]Estudiantes!$E:$F,2,FALSE),IFERROR(VLOOKUP(D426,'[5]Gestion Administrativa'!$E:$F,2,FALSE),IFERROR(VLOOKUP(D426,'[5]Gestion Academica'!$E:$F,2,FALSE),IFERROR(VLOOKUP(D426,[5]Graduados!$E:$F,2,FALSE),IFERROR(VLOOKUP(D426,'[5]Gestión del Conocimiento'!$E:$F,2,FALSE),IFERROR(VLOOKUP(D426,[5]Gobernabilidad!$E:$F,2,FALSE),IFERROR(VLOOKUP(D426,'[5]NIVEL DE ES Y  SISTEMA NACIONAL'!$E:$F,2,FALSE),VLOOKUP(D426,'[5]Lo Esencial'!$E:$F,2,0))))))))))))</f>
        <v>a.1 Organizar y Capacitar  las sub-comisiones de desarrollo curricular por carrera; a.2 Seguimiento y evaluación del proceso de reforma curricular</v>
      </c>
      <c r="D427" s="31"/>
      <c r="E427" s="103"/>
      <c r="F427" s="103"/>
      <c r="G427" s="103"/>
      <c r="H427" s="84"/>
      <c r="I427" s="84"/>
      <c r="J427" s="84"/>
      <c r="K427" s="122"/>
    </row>
    <row r="428" spans="3:12" ht="15.75" thickBot="1" x14ac:dyDescent="0.3">
      <c r="C428" s="69"/>
      <c r="D428" s="31"/>
      <c r="E428" s="103"/>
      <c r="F428" s="103"/>
      <c r="G428" s="103"/>
      <c r="H428" s="84"/>
      <c r="I428" s="84"/>
      <c r="J428" s="84"/>
      <c r="K428" s="122"/>
    </row>
    <row r="429" spans="3:12" ht="30.75" thickBot="1" x14ac:dyDescent="0.3">
      <c r="C429" s="136" t="s">
        <v>44</v>
      </c>
      <c r="D429" s="139" t="s">
        <v>45</v>
      </c>
      <c r="E429" s="138" t="s">
        <v>55</v>
      </c>
      <c r="F429" s="138" t="s">
        <v>57</v>
      </c>
      <c r="G429" s="137" t="s">
        <v>27</v>
      </c>
      <c r="H429" s="143" t="s">
        <v>208</v>
      </c>
      <c r="I429" s="138" t="s">
        <v>46</v>
      </c>
      <c r="J429" s="138" t="s">
        <v>209</v>
      </c>
      <c r="K429" s="138" t="s">
        <v>491</v>
      </c>
      <c r="L429" s="138" t="s">
        <v>492</v>
      </c>
    </row>
    <row r="430" spans="3:12" x14ac:dyDescent="0.25">
      <c r="C430" s="105" t="s">
        <v>47</v>
      </c>
      <c r="D430" s="789">
        <v>40</v>
      </c>
      <c r="E430" s="168">
        <v>2</v>
      </c>
      <c r="F430" s="125">
        <v>20000</v>
      </c>
      <c r="G430" s="107">
        <f t="shared" ref="G430:G438" si="35">E430*F430</f>
        <v>40000</v>
      </c>
      <c r="H430" s="171" t="s">
        <v>207</v>
      </c>
      <c r="I430" s="108" t="s">
        <v>369</v>
      </c>
      <c r="J430" s="108" t="str">
        <f>VLOOKUP(I430,[5]Presupuesto!$B$8:$C$584,2,0)</f>
        <v>SERVICIOS TECNICOS Y PROFESIONALES DE CAPAC. (24500-00)</v>
      </c>
      <c r="K430" s="231" t="s">
        <v>201</v>
      </c>
      <c r="L430" s="108" t="s">
        <v>479</v>
      </c>
    </row>
    <row r="431" spans="3:12" x14ac:dyDescent="0.25">
      <c r="C431" s="577" t="s">
        <v>48</v>
      </c>
      <c r="D431" s="790"/>
      <c r="E431" s="578">
        <f>D430</f>
        <v>40</v>
      </c>
      <c r="F431" s="579">
        <v>50</v>
      </c>
      <c r="G431" s="107">
        <f t="shared" si="35"/>
        <v>2000</v>
      </c>
      <c r="H431" s="171" t="s">
        <v>207</v>
      </c>
      <c r="I431" s="108" t="s">
        <v>373</v>
      </c>
      <c r="J431" s="108" t="str">
        <f>VLOOKUP(I431,[5]Presupuesto!$B$8:$C$584,2,0)</f>
        <v>IMPRENTA, PUBLIC. Y REPRODUC. (25300-00)</v>
      </c>
      <c r="K431" s="108" t="str">
        <f>$K$17</f>
        <v>Estudiantes</v>
      </c>
      <c r="L431" s="108" t="s">
        <v>479</v>
      </c>
    </row>
    <row r="432" spans="3:12" x14ac:dyDescent="0.25">
      <c r="C432" s="577" t="s">
        <v>49</v>
      </c>
      <c r="D432" s="790"/>
      <c r="E432" s="578">
        <f>D430</f>
        <v>40</v>
      </c>
      <c r="F432" s="579">
        <v>150</v>
      </c>
      <c r="G432" s="107">
        <f t="shared" si="35"/>
        <v>6000</v>
      </c>
      <c r="H432" s="171" t="s">
        <v>207</v>
      </c>
      <c r="I432" s="108" t="s">
        <v>997</v>
      </c>
      <c r="J432" s="108" t="str">
        <f>VLOOKUP(I432,[5]Presupuesto!$B$8:$C$584,2,0)</f>
        <v>ALIMENTOS B EBIDAS PARA PERSONAS</v>
      </c>
      <c r="K432" s="108" t="str">
        <f t="shared" ref="K432:K446" si="36">$K$17</f>
        <v>Estudiantes</v>
      </c>
      <c r="L432" s="108" t="s">
        <v>479</v>
      </c>
    </row>
    <row r="433" spans="3:12" x14ac:dyDescent="0.25">
      <c r="C433" s="577" t="s">
        <v>50</v>
      </c>
      <c r="D433" s="790"/>
      <c r="E433" s="580">
        <v>2</v>
      </c>
      <c r="F433" s="581">
        <v>2500</v>
      </c>
      <c r="G433" s="107">
        <f t="shared" si="35"/>
        <v>5000</v>
      </c>
      <c r="H433" s="171" t="s">
        <v>207</v>
      </c>
      <c r="I433" s="108" t="s">
        <v>379</v>
      </c>
      <c r="J433" s="108" t="str">
        <f>VLOOKUP(I433,[5]Presupuesto!$B$8:$C$584,2,0)</f>
        <v>PASAJES (26100-00)</v>
      </c>
      <c r="K433" s="108" t="str">
        <f t="shared" si="36"/>
        <v>Estudiantes</v>
      </c>
      <c r="L433" s="108" t="s">
        <v>479</v>
      </c>
    </row>
    <row r="434" spans="3:12" x14ac:dyDescent="0.25">
      <c r="C434" s="577" t="s">
        <v>501</v>
      </c>
      <c r="D434" s="790"/>
      <c r="E434" s="580">
        <v>40</v>
      </c>
      <c r="F434" s="581">
        <v>250</v>
      </c>
      <c r="G434" s="107">
        <f t="shared" si="35"/>
        <v>10000</v>
      </c>
      <c r="H434" s="171" t="s">
        <v>207</v>
      </c>
      <c r="I434" s="108" t="s">
        <v>418</v>
      </c>
      <c r="J434" s="108" t="str">
        <f>VLOOKUP(I434,[5]Presupuesto!$B$8:$C$584,2,0)</f>
        <v>MUEBLES Y EQUIPO EDUCACIONALES</v>
      </c>
      <c r="K434" s="108" t="str">
        <f t="shared" si="36"/>
        <v>Estudiantes</v>
      </c>
      <c r="L434" s="108" t="s">
        <v>479</v>
      </c>
    </row>
    <row r="435" spans="3:12" x14ac:dyDescent="0.25">
      <c r="C435" s="577" t="s">
        <v>51</v>
      </c>
      <c r="D435" s="790"/>
      <c r="E435" s="578">
        <f>(D430*25)/500</f>
        <v>2</v>
      </c>
      <c r="F435" s="579">
        <v>85</v>
      </c>
      <c r="G435" s="107">
        <f t="shared" si="35"/>
        <v>170</v>
      </c>
      <c r="H435" s="171" t="s">
        <v>207</v>
      </c>
      <c r="I435" s="108" t="s">
        <v>395</v>
      </c>
      <c r="J435" s="108" t="str">
        <f>VLOOKUP(I435,[5]Presupuesto!$B$8:$C$584,2,0)</f>
        <v>PRODUCTOS DE PAPEL Y CARTON (33400-00)</v>
      </c>
      <c r="K435" s="108" t="str">
        <f t="shared" si="36"/>
        <v>Estudiantes</v>
      </c>
      <c r="L435" s="108" t="s">
        <v>479</v>
      </c>
    </row>
    <row r="436" spans="3:12" x14ac:dyDescent="0.25">
      <c r="C436" s="577" t="s">
        <v>189</v>
      </c>
      <c r="D436" s="790"/>
      <c r="E436" s="578">
        <f>+ROUNDUP(D430/12,0)</f>
        <v>4</v>
      </c>
      <c r="F436" s="579">
        <v>36</v>
      </c>
      <c r="G436" s="107">
        <f t="shared" si="35"/>
        <v>144</v>
      </c>
      <c r="H436" s="171" t="s">
        <v>207</v>
      </c>
      <c r="I436" s="108" t="s">
        <v>406</v>
      </c>
      <c r="J436" s="108" t="str">
        <f>VLOOKUP(I436,[5]Presupuesto!$B$8:$C$584,2,0)</f>
        <v>UTILES DE ESCRITORIO, OFICINA Y ENZE¥ANZA</v>
      </c>
      <c r="K436" s="108" t="str">
        <f t="shared" si="36"/>
        <v>Estudiantes</v>
      </c>
      <c r="L436" s="108" t="s">
        <v>479</v>
      </c>
    </row>
    <row r="437" spans="3:12" x14ac:dyDescent="0.25">
      <c r="C437" s="577" t="s">
        <v>34</v>
      </c>
      <c r="D437" s="790"/>
      <c r="E437" s="578">
        <f>+ROUNDUP(D430/12,0)</f>
        <v>4</v>
      </c>
      <c r="F437" s="579">
        <v>80</v>
      </c>
      <c r="G437" s="107">
        <f t="shared" si="35"/>
        <v>320</v>
      </c>
      <c r="H437" s="171" t="s">
        <v>207</v>
      </c>
      <c r="I437" s="108" t="s">
        <v>406</v>
      </c>
      <c r="J437" s="108" t="str">
        <f>VLOOKUP(I437,[5]Presupuesto!$B$8:$C$584,2,0)</f>
        <v>UTILES DE ESCRITORIO, OFICINA Y ENZE¥ANZA</v>
      </c>
      <c r="K437" s="108" t="str">
        <f t="shared" si="36"/>
        <v>Estudiantes</v>
      </c>
      <c r="L437" s="108" t="s">
        <v>479</v>
      </c>
    </row>
    <row r="438" spans="3:12" x14ac:dyDescent="0.25">
      <c r="C438" s="582" t="s">
        <v>52</v>
      </c>
      <c r="D438" s="790"/>
      <c r="E438" s="583">
        <v>60</v>
      </c>
      <c r="F438" s="584">
        <v>25</v>
      </c>
      <c r="G438" s="107">
        <f t="shared" si="35"/>
        <v>1500</v>
      </c>
      <c r="H438" s="171" t="s">
        <v>207</v>
      </c>
      <c r="I438" s="108" t="s">
        <v>406</v>
      </c>
      <c r="J438" s="108" t="str">
        <f>VLOOKUP(I438,[5]Presupuesto!$B$8:$C$584,2,0)</f>
        <v>UTILES DE ESCRITORIO, OFICINA Y ENZE¥ANZA</v>
      </c>
      <c r="K438" s="108" t="str">
        <f t="shared" si="36"/>
        <v>Estudiantes</v>
      </c>
      <c r="L438" s="108" t="s">
        <v>479</v>
      </c>
    </row>
    <row r="439" spans="3:12" ht="15.75" thickBot="1" x14ac:dyDescent="0.3">
      <c r="C439" s="585" t="s">
        <v>514</v>
      </c>
      <c r="D439" s="229">
        <v>4</v>
      </c>
      <c r="E439" s="586">
        <f>D439</f>
        <v>4</v>
      </c>
      <c r="F439" s="587">
        <f>HLOOKUP(C439,$AH$2:$BU$3,2,0)</f>
        <v>1150</v>
      </c>
      <c r="G439" s="588">
        <f>D439*E439*F439</f>
        <v>18400</v>
      </c>
      <c r="H439" s="171" t="s">
        <v>207</v>
      </c>
      <c r="I439" s="108" t="s">
        <v>380</v>
      </c>
      <c r="J439" s="589" t="str">
        <f>VLOOKUP(I439,[5]Presupuesto!$B$8:$C$584,2,0)</f>
        <v>VIATICOS (26200-00)</v>
      </c>
      <c r="K439" s="108" t="str">
        <f t="shared" si="36"/>
        <v>Estudiantes</v>
      </c>
      <c r="L439" s="108" t="s">
        <v>479</v>
      </c>
    </row>
    <row r="440" spans="3:12" x14ac:dyDescent="0.25">
      <c r="C440" s="577" t="s">
        <v>501</v>
      </c>
      <c r="D440" s="791">
        <v>3</v>
      </c>
      <c r="E440" s="580">
        <f>3*4</f>
        <v>12</v>
      </c>
      <c r="F440" s="581">
        <v>250</v>
      </c>
      <c r="G440" s="107">
        <f>E440*F440</f>
        <v>3000</v>
      </c>
      <c r="H440" s="171" t="s">
        <v>207</v>
      </c>
      <c r="I440" s="108" t="s">
        <v>418</v>
      </c>
      <c r="J440" s="108" t="str">
        <f>VLOOKUP(I440,[5]Presupuesto!$B$8:$C$584,2,0)</f>
        <v>MUEBLES Y EQUIPO EDUCACIONALES</v>
      </c>
      <c r="K440" s="108" t="str">
        <f t="shared" si="36"/>
        <v>Estudiantes</v>
      </c>
      <c r="L440" s="108" t="s">
        <v>484</v>
      </c>
    </row>
    <row r="441" spans="3:12" x14ac:dyDescent="0.25">
      <c r="C441" s="577" t="s">
        <v>51</v>
      </c>
      <c r="D441" s="791"/>
      <c r="E441" s="580">
        <f>3*4</f>
        <v>12</v>
      </c>
      <c r="F441" s="579">
        <v>85</v>
      </c>
      <c r="G441" s="107">
        <f>E441*F441</f>
        <v>1020</v>
      </c>
      <c r="H441" s="171" t="s">
        <v>207</v>
      </c>
      <c r="I441" s="108" t="s">
        <v>395</v>
      </c>
      <c r="J441" s="108" t="str">
        <f>VLOOKUP(I441,[5]Presupuesto!$B$8:$C$584,2,0)</f>
        <v>PRODUCTOS DE PAPEL Y CARTON (33400-00)</v>
      </c>
      <c r="K441" s="108" t="str">
        <f t="shared" si="36"/>
        <v>Estudiantes</v>
      </c>
      <c r="L441" s="108" t="s">
        <v>484</v>
      </c>
    </row>
    <row r="442" spans="3:12" x14ac:dyDescent="0.25">
      <c r="C442" s="577" t="s">
        <v>189</v>
      </c>
      <c r="D442" s="791"/>
      <c r="E442" s="580">
        <f>3*4</f>
        <v>12</v>
      </c>
      <c r="F442" s="579">
        <v>36</v>
      </c>
      <c r="G442" s="107">
        <f>E442*F442</f>
        <v>432</v>
      </c>
      <c r="H442" s="171" t="s">
        <v>207</v>
      </c>
      <c r="I442" s="108" t="s">
        <v>406</v>
      </c>
      <c r="J442" s="108" t="str">
        <f>VLOOKUP(I442,[5]Presupuesto!$B$8:$C$584,2,0)</f>
        <v>UTILES DE ESCRITORIO, OFICINA Y ENZE¥ANZA</v>
      </c>
      <c r="K442" s="108" t="str">
        <f t="shared" si="36"/>
        <v>Estudiantes</v>
      </c>
      <c r="L442" s="108" t="s">
        <v>484</v>
      </c>
    </row>
    <row r="443" spans="3:12" x14ac:dyDescent="0.25">
      <c r="C443" s="577" t="s">
        <v>34</v>
      </c>
      <c r="D443" s="791"/>
      <c r="E443" s="580">
        <f>3*4</f>
        <v>12</v>
      </c>
      <c r="F443" s="579">
        <v>80</v>
      </c>
      <c r="G443" s="107">
        <f>E443*F443</f>
        <v>960</v>
      </c>
      <c r="H443" s="171" t="s">
        <v>207</v>
      </c>
      <c r="I443" s="108" t="s">
        <v>406</v>
      </c>
      <c r="J443" s="108" t="str">
        <f>VLOOKUP(I443,[5]Presupuesto!$B$8:$C$584,2,0)</f>
        <v>UTILES DE ESCRITORIO, OFICINA Y ENZE¥ANZA</v>
      </c>
      <c r="K443" s="108" t="str">
        <f t="shared" si="36"/>
        <v>Estudiantes</v>
      </c>
      <c r="L443" s="108" t="s">
        <v>484</v>
      </c>
    </row>
    <row r="444" spans="3:12" x14ac:dyDescent="0.25">
      <c r="C444" s="582" t="s">
        <v>52</v>
      </c>
      <c r="D444" s="791"/>
      <c r="E444" s="580">
        <f>3*4</f>
        <v>12</v>
      </c>
      <c r="F444" s="584">
        <v>25</v>
      </c>
      <c r="G444" s="107">
        <f>E444*F444</f>
        <v>300</v>
      </c>
      <c r="H444" s="171" t="s">
        <v>207</v>
      </c>
      <c r="I444" s="108" t="s">
        <v>406</v>
      </c>
      <c r="J444" s="108" t="str">
        <f>VLOOKUP(I444,[5]Presupuesto!$B$8:$C$584,2,0)</f>
        <v>UTILES DE ESCRITORIO, OFICINA Y ENZE¥ANZA</v>
      </c>
      <c r="K444" s="108" t="str">
        <f t="shared" si="36"/>
        <v>Estudiantes</v>
      </c>
      <c r="L444" s="108" t="s">
        <v>484</v>
      </c>
    </row>
    <row r="445" spans="3:12" x14ac:dyDescent="0.25">
      <c r="C445" s="582"/>
      <c r="D445" s="791"/>
      <c r="E445" s="580"/>
      <c r="F445" s="584"/>
      <c r="G445" s="130"/>
      <c r="H445" s="171"/>
      <c r="I445" s="108"/>
      <c r="J445" s="488"/>
      <c r="K445" s="108"/>
      <c r="L445" s="108"/>
    </row>
    <row r="446" spans="3:12" ht="15.75" thickBot="1" x14ac:dyDescent="0.3">
      <c r="C446" s="585" t="s">
        <v>514</v>
      </c>
      <c r="D446" s="229">
        <v>3</v>
      </c>
      <c r="E446" s="586">
        <f>D446*4</f>
        <v>12</v>
      </c>
      <c r="F446" s="587">
        <f>HLOOKUP(C446,$AH$2:$BU$3,2,0)</f>
        <v>1150</v>
      </c>
      <c r="G446" s="588">
        <f>D446*E446*F446</f>
        <v>41400</v>
      </c>
      <c r="H446" s="171" t="s">
        <v>207</v>
      </c>
      <c r="I446" s="108" t="s">
        <v>380</v>
      </c>
      <c r="J446" s="589" t="str">
        <f>VLOOKUP(I446,[5]Presupuesto!$B$8:$C$584,2,0)</f>
        <v>VIATICOS (26200-00)</v>
      </c>
      <c r="K446" s="108" t="str">
        <f t="shared" si="36"/>
        <v>Estudiantes</v>
      </c>
      <c r="L446" s="108" t="s">
        <v>484</v>
      </c>
    </row>
    <row r="447" spans="3:12" x14ac:dyDescent="0.25">
      <c r="C447" s="103"/>
      <c r="E447" s="122"/>
      <c r="F447" s="122"/>
      <c r="G447" s="590">
        <f>SUM(G430:G439)</f>
        <v>83534</v>
      </c>
      <c r="H447" s="185"/>
      <c r="I447" s="122"/>
      <c r="J447" s="122"/>
      <c r="K447" s="122"/>
    </row>
    <row r="448" spans="3:12" x14ac:dyDescent="0.25">
      <c r="G448" s="591">
        <f>SUM(G440:G446)</f>
        <v>47112</v>
      </c>
      <c r="H448" s="95"/>
    </row>
    <row r="449" spans="3:12" x14ac:dyDescent="0.25">
      <c r="G449" s="591">
        <f>SUM(G447:G448)</f>
        <v>130646</v>
      </c>
    </row>
    <row r="451" spans="3:12" x14ac:dyDescent="0.25">
      <c r="C451" s="69"/>
      <c r="D451" s="69"/>
      <c r="E451" s="69"/>
      <c r="F451" s="69"/>
      <c r="G451" s="69"/>
      <c r="H451" s="87"/>
      <c r="I451" s="69"/>
      <c r="J451" s="69"/>
    </row>
    <row r="452" spans="3:12" x14ac:dyDescent="0.25">
      <c r="C452" s="69" t="s">
        <v>41</v>
      </c>
      <c r="D452" s="69"/>
      <c r="E452" s="69"/>
      <c r="F452" s="69"/>
      <c r="G452" s="69"/>
      <c r="H452" s="87"/>
      <c r="I452" s="69"/>
      <c r="J452" s="69"/>
    </row>
    <row r="453" spans="3:12" x14ac:dyDescent="0.25">
      <c r="C453" s="69" t="s">
        <v>42</v>
      </c>
      <c r="D453" s="69"/>
      <c r="E453" s="69"/>
      <c r="F453" s="69"/>
      <c r="G453" s="69"/>
      <c r="H453" s="87"/>
      <c r="I453" s="69"/>
      <c r="J453" s="69"/>
    </row>
    <row r="454" spans="3:12" ht="15.75" thickBot="1" x14ac:dyDescent="0.3">
      <c r="C454" s="188"/>
      <c r="D454" s="188"/>
      <c r="E454" s="188"/>
      <c r="F454" s="188"/>
      <c r="G454" s="188"/>
      <c r="H454" s="87"/>
      <c r="I454" s="188"/>
      <c r="J454" s="188"/>
      <c r="K454" s="122"/>
    </row>
    <row r="455" spans="3:12" ht="15.75" thickBot="1" x14ac:dyDescent="0.3">
      <c r="C455" s="29" t="s">
        <v>43</v>
      </c>
      <c r="D455" s="30">
        <f>SUM(G462:G471)</f>
        <v>103054</v>
      </c>
      <c r="E455" s="103"/>
      <c r="F455" s="103"/>
      <c r="G455" s="103"/>
      <c r="H455" s="84"/>
      <c r="I455" s="84"/>
      <c r="J455" s="84"/>
      <c r="K455" s="122"/>
    </row>
    <row r="456" spans="3:12" x14ac:dyDescent="0.25">
      <c r="C456" s="69"/>
      <c r="D456" s="31"/>
      <c r="E456" s="103"/>
      <c r="F456" s="103"/>
      <c r="G456" s="103"/>
      <c r="H456" s="84"/>
      <c r="I456" s="84"/>
      <c r="J456" s="84"/>
      <c r="K456" s="122"/>
    </row>
    <row r="457" spans="3:12" x14ac:dyDescent="0.25">
      <c r="C457" s="69"/>
      <c r="D457" s="31"/>
      <c r="E457" s="103"/>
      <c r="F457" s="103"/>
      <c r="G457" s="103"/>
      <c r="H457" s="84"/>
      <c r="I457" s="84"/>
      <c r="J457" s="84"/>
      <c r="K457" s="122"/>
    </row>
    <row r="458" spans="3:12" ht="15.75" x14ac:dyDescent="0.25">
      <c r="C458" s="217" t="s">
        <v>471</v>
      </c>
      <c r="D458" s="576" t="s">
        <v>1685</v>
      </c>
      <c r="E458" s="103"/>
      <c r="F458" s="103"/>
      <c r="G458" s="103"/>
      <c r="H458" s="84"/>
      <c r="I458" s="84"/>
      <c r="J458" s="84"/>
      <c r="K458" s="122"/>
    </row>
    <row r="459" spans="3:12" ht="18.75" x14ac:dyDescent="0.25">
      <c r="C459" s="220" t="str">
        <f>IFERROR(VLOOKUP(D458,'[5]Desarrollo Curricular'!$E:$F,2,FALSE),IFERROR(VLOOKUP(D458,[5]Investigación!$E:$F,2,FALSE),IFERROR(VLOOKUP(D458,'[5]Vinculación Univ. Sociedad'!$E:$F,2,FALSE),IFERROR(VLOOKUP(D458,'[5]Docencia y Recursos Humanos '!$E:$F,2,FALSE),IFERROR(VLOOKUP(D458,[5]Estudiantes!$E:$F,2,FALSE),IFERROR(VLOOKUP(D458,'[5]Gestion Administrativa'!$E:$F,2,FALSE),IFERROR(VLOOKUP(D458,'[5]Gestion Academica'!$E:$F,2,FALSE),IFERROR(VLOOKUP(D458,[5]Graduados!$E:$F,2,FALSE),IFERROR(VLOOKUP(D458,'[5]Gestión del Conocimiento'!$E:$F,2,FALSE),IFERROR(VLOOKUP(D458,[5]Gobernabilidad!$E:$F,2,FALSE),IFERROR(VLOOKUP(D458,'[5]NIVEL DE ES Y  SISTEMA NACIONAL'!$E:$F,2,FALSE),VLOOKUP(D458,'[5]Lo Esencial'!$E:$F,2,0))))))))))))</f>
        <v>b.2 Impartir talleres de capacitación a toda la comunidad docente  sobre los fundamentos y principios del nuevo modelo educativo.                                                       b.3 Promoción e incentivos para la innovación educativa.</v>
      </c>
      <c r="D459" s="31"/>
      <c r="E459" s="103"/>
      <c r="F459" s="103"/>
      <c r="G459" s="103"/>
      <c r="H459" s="84"/>
      <c r="I459" s="84"/>
      <c r="J459" s="84"/>
      <c r="K459" s="122"/>
    </row>
    <row r="460" spans="3:12" ht="15.75" thickBot="1" x14ac:dyDescent="0.3">
      <c r="C460" s="69"/>
      <c r="D460" s="31"/>
      <c r="E460" s="103"/>
      <c r="F460" s="103"/>
      <c r="G460" s="103"/>
      <c r="H460" s="84"/>
      <c r="I460" s="84"/>
      <c r="J460" s="84"/>
      <c r="K460" s="122"/>
    </row>
    <row r="461" spans="3:12" ht="30.75" thickBot="1" x14ac:dyDescent="0.3">
      <c r="C461" s="136" t="s">
        <v>44</v>
      </c>
      <c r="D461" s="139" t="s">
        <v>45</v>
      </c>
      <c r="E461" s="138" t="s">
        <v>55</v>
      </c>
      <c r="F461" s="138" t="s">
        <v>57</v>
      </c>
      <c r="G461" s="137" t="s">
        <v>27</v>
      </c>
      <c r="H461" s="143" t="s">
        <v>208</v>
      </c>
      <c r="I461" s="138" t="s">
        <v>46</v>
      </c>
      <c r="J461" s="138" t="s">
        <v>209</v>
      </c>
      <c r="K461" s="138" t="s">
        <v>491</v>
      </c>
      <c r="L461" s="138" t="s">
        <v>492</v>
      </c>
    </row>
    <row r="462" spans="3:12" x14ac:dyDescent="0.25">
      <c r="C462" s="105" t="s">
        <v>47</v>
      </c>
      <c r="D462" s="789">
        <f>36*2</f>
        <v>72</v>
      </c>
      <c r="E462" s="168">
        <v>0</v>
      </c>
      <c r="F462" s="125">
        <v>0</v>
      </c>
      <c r="G462" s="107">
        <f t="shared" ref="G462:G470" si="37">E462*F462</f>
        <v>0</v>
      </c>
      <c r="H462" s="171" t="s">
        <v>207</v>
      </c>
      <c r="I462" s="108" t="s">
        <v>369</v>
      </c>
      <c r="J462" s="108" t="str">
        <f>VLOOKUP(I462,[5]Presupuesto!$B$8:$C$584,2,0)</f>
        <v>SERVICIOS TECNICOS Y PROFESIONALES DE CAPAC. (24500-00)</v>
      </c>
      <c r="K462" s="231" t="s">
        <v>201</v>
      </c>
      <c r="L462" s="108"/>
    </row>
    <row r="463" spans="3:12" x14ac:dyDescent="0.25">
      <c r="C463" s="577" t="s">
        <v>48</v>
      </c>
      <c r="D463" s="790"/>
      <c r="E463" s="578">
        <v>0</v>
      </c>
      <c r="F463" s="579">
        <v>50</v>
      </c>
      <c r="G463" s="107">
        <f t="shared" si="37"/>
        <v>0</v>
      </c>
      <c r="H463" s="171" t="s">
        <v>207</v>
      </c>
      <c r="I463" s="108" t="s">
        <v>373</v>
      </c>
      <c r="J463" s="108" t="str">
        <f>VLOOKUP(I463,[5]Presupuesto!$B$8:$C$584,2,0)</f>
        <v>IMPRENTA, PUBLIC. Y REPRODUC. (25300-00)</v>
      </c>
      <c r="K463" s="108" t="str">
        <f>$K$17</f>
        <v>Estudiantes</v>
      </c>
      <c r="L463" s="108"/>
    </row>
    <row r="464" spans="3:12" x14ac:dyDescent="0.25">
      <c r="C464" s="577" t="s">
        <v>49</v>
      </c>
      <c r="D464" s="790"/>
      <c r="E464" s="578">
        <f>D462</f>
        <v>72</v>
      </c>
      <c r="F464" s="579">
        <v>180</v>
      </c>
      <c r="G464" s="107">
        <f t="shared" si="37"/>
        <v>12960</v>
      </c>
      <c r="H464" s="171" t="s">
        <v>207</v>
      </c>
      <c r="I464" s="108" t="s">
        <v>997</v>
      </c>
      <c r="J464" s="108" t="str">
        <f>VLOOKUP(I464,[5]Presupuesto!$B$8:$C$584,2,0)</f>
        <v>ALIMENTOS B EBIDAS PARA PERSONAS</v>
      </c>
      <c r="K464" s="108" t="str">
        <f t="shared" ref="K464:K471" si="38">$K$17</f>
        <v>Estudiantes</v>
      </c>
      <c r="L464" s="108"/>
    </row>
    <row r="465" spans="3:12" x14ac:dyDescent="0.25">
      <c r="C465" s="577" t="s">
        <v>50</v>
      </c>
      <c r="D465" s="790"/>
      <c r="E465" s="580">
        <v>3</v>
      </c>
      <c r="F465" s="581">
        <v>1750</v>
      </c>
      <c r="G465" s="107">
        <f t="shared" si="37"/>
        <v>5250</v>
      </c>
      <c r="H465" s="171" t="s">
        <v>207</v>
      </c>
      <c r="I465" s="108" t="s">
        <v>379</v>
      </c>
      <c r="J465" s="108" t="str">
        <f>VLOOKUP(I465,[5]Presupuesto!$B$8:$C$584,2,0)</f>
        <v>PASAJES (26100-00)</v>
      </c>
      <c r="K465" s="108" t="str">
        <f t="shared" si="38"/>
        <v>Estudiantes</v>
      </c>
      <c r="L465" s="108"/>
    </row>
    <row r="466" spans="3:12" x14ac:dyDescent="0.25">
      <c r="C466" s="577" t="s">
        <v>501</v>
      </c>
      <c r="D466" s="790"/>
      <c r="E466" s="580">
        <f>D462</f>
        <v>72</v>
      </c>
      <c r="F466" s="581">
        <v>120</v>
      </c>
      <c r="G466" s="107">
        <f t="shared" si="37"/>
        <v>8640</v>
      </c>
      <c r="H466" s="171" t="s">
        <v>207</v>
      </c>
      <c r="I466" s="108" t="s">
        <v>418</v>
      </c>
      <c r="J466" s="108" t="str">
        <f>VLOOKUP(I466,[5]Presupuesto!$B$8:$C$584,2,0)</f>
        <v>MUEBLES Y EQUIPO EDUCACIONALES</v>
      </c>
      <c r="K466" s="108" t="str">
        <f t="shared" si="38"/>
        <v>Estudiantes</v>
      </c>
      <c r="L466" s="108"/>
    </row>
    <row r="467" spans="3:12" x14ac:dyDescent="0.25">
      <c r="C467" s="577" t="s">
        <v>51</v>
      </c>
      <c r="D467" s="790"/>
      <c r="E467" s="578">
        <f>(D462*25)/500</f>
        <v>3.6</v>
      </c>
      <c r="F467" s="579">
        <v>30</v>
      </c>
      <c r="G467" s="107">
        <f t="shared" si="37"/>
        <v>108</v>
      </c>
      <c r="H467" s="171" t="s">
        <v>207</v>
      </c>
      <c r="I467" s="108" t="s">
        <v>395</v>
      </c>
      <c r="J467" s="108" t="str">
        <f>VLOOKUP(I467,[5]Presupuesto!$B$8:$C$584,2,0)</f>
        <v>PRODUCTOS DE PAPEL Y CARTON (33400-00)</v>
      </c>
      <c r="K467" s="108" t="str">
        <f t="shared" si="38"/>
        <v>Estudiantes</v>
      </c>
      <c r="L467" s="108"/>
    </row>
    <row r="468" spans="3:12" x14ac:dyDescent="0.25">
      <c r="C468" s="577" t="s">
        <v>189</v>
      </c>
      <c r="D468" s="790"/>
      <c r="E468" s="578">
        <f>D462/12</f>
        <v>6</v>
      </c>
      <c r="F468" s="579">
        <v>36</v>
      </c>
      <c r="G468" s="107">
        <f t="shared" si="37"/>
        <v>216</v>
      </c>
      <c r="H468" s="171" t="s">
        <v>207</v>
      </c>
      <c r="I468" s="108" t="s">
        <v>406</v>
      </c>
      <c r="J468" s="108" t="str">
        <f>VLOOKUP(I468,[5]Presupuesto!$B$8:$C$584,2,0)</f>
        <v>UTILES DE ESCRITORIO, OFICINA Y ENZE¥ANZA</v>
      </c>
      <c r="K468" s="108" t="str">
        <f t="shared" si="38"/>
        <v>Estudiantes</v>
      </c>
      <c r="L468" s="108"/>
    </row>
    <row r="469" spans="3:12" x14ac:dyDescent="0.25">
      <c r="C469" s="577" t="s">
        <v>34</v>
      </c>
      <c r="D469" s="790"/>
      <c r="E469" s="578">
        <f>D462/12</f>
        <v>6</v>
      </c>
      <c r="F469" s="579">
        <v>80</v>
      </c>
      <c r="G469" s="107">
        <f t="shared" si="37"/>
        <v>480</v>
      </c>
      <c r="H469" s="171" t="s">
        <v>207</v>
      </c>
      <c r="I469" s="108" t="s">
        <v>406</v>
      </c>
      <c r="J469" s="108" t="str">
        <f>VLOOKUP(I469,[5]Presupuesto!$B$8:$C$584,2,0)</f>
        <v>UTILES DE ESCRITORIO, OFICINA Y ENZE¥ANZA</v>
      </c>
      <c r="K469" s="108" t="str">
        <f t="shared" si="38"/>
        <v>Estudiantes</v>
      </c>
      <c r="L469" s="108"/>
    </row>
    <row r="470" spans="3:12" x14ac:dyDescent="0.25">
      <c r="C470" s="582" t="s">
        <v>52</v>
      </c>
      <c r="D470" s="790"/>
      <c r="E470" s="583">
        <v>60</v>
      </c>
      <c r="F470" s="584">
        <v>30</v>
      </c>
      <c r="G470" s="107">
        <f t="shared" si="37"/>
        <v>1800</v>
      </c>
      <c r="H470" s="171" t="s">
        <v>207</v>
      </c>
      <c r="I470" s="108" t="s">
        <v>406</v>
      </c>
      <c r="J470" s="108" t="str">
        <f>VLOOKUP(I470,[5]Presupuesto!$B$8:$C$584,2,0)</f>
        <v>UTILES DE ESCRITORIO, OFICINA Y ENZE¥ANZA</v>
      </c>
      <c r="K470" s="108" t="str">
        <f t="shared" si="38"/>
        <v>Estudiantes</v>
      </c>
      <c r="L470" s="108"/>
    </row>
    <row r="471" spans="3:12" ht="15.75" thickBot="1" x14ac:dyDescent="0.3">
      <c r="C471" s="585" t="s">
        <v>514</v>
      </c>
      <c r="D471" s="229">
        <f>4*2</f>
        <v>8</v>
      </c>
      <c r="E471" s="586">
        <f>D471</f>
        <v>8</v>
      </c>
      <c r="F471" s="587">
        <f>HLOOKUP(C471,$AH$2:$BU$3,2,0)</f>
        <v>1150</v>
      </c>
      <c r="G471" s="588">
        <f>D471*E471*F471</f>
        <v>73600</v>
      </c>
      <c r="H471" s="171" t="s">
        <v>207</v>
      </c>
      <c r="I471" s="108" t="s">
        <v>380</v>
      </c>
      <c r="J471" s="589" t="str">
        <f>VLOOKUP(I471,[5]Presupuesto!$B$8:$C$584,2,0)</f>
        <v>VIATICOS (26200-00)</v>
      </c>
      <c r="K471" s="108" t="str">
        <f t="shared" si="38"/>
        <v>Estudiantes</v>
      </c>
      <c r="L471" s="108"/>
    </row>
    <row r="474" spans="3:12" x14ac:dyDescent="0.25">
      <c r="C474" s="69" t="s">
        <v>41</v>
      </c>
      <c r="D474" s="69"/>
      <c r="E474" s="69"/>
      <c r="F474" s="69"/>
      <c r="G474" s="69"/>
      <c r="H474" s="87"/>
      <c r="I474" s="69"/>
      <c r="J474" s="69"/>
    </row>
    <row r="475" spans="3:12" x14ac:dyDescent="0.25">
      <c r="C475" s="69" t="s">
        <v>42</v>
      </c>
      <c r="D475" s="69"/>
      <c r="E475" s="69"/>
      <c r="F475" s="69"/>
      <c r="G475" s="69"/>
      <c r="H475" s="87"/>
      <c r="I475" s="69"/>
      <c r="J475" s="69"/>
    </row>
    <row r="476" spans="3:12" ht="15.75" thickBot="1" x14ac:dyDescent="0.3">
      <c r="C476" s="188"/>
      <c r="D476" s="188"/>
      <c r="E476" s="188"/>
      <c r="F476" s="188"/>
      <c r="G476" s="188"/>
      <c r="H476" s="87"/>
      <c r="I476" s="188"/>
      <c r="J476" s="188"/>
      <c r="K476" s="122"/>
    </row>
    <row r="477" spans="3:12" ht="15.75" thickBot="1" x14ac:dyDescent="0.3">
      <c r="C477" s="29" t="s">
        <v>43</v>
      </c>
      <c r="D477" s="30">
        <f>SUM(G484:G487)</f>
        <v>2721</v>
      </c>
      <c r="E477" s="103"/>
      <c r="F477" s="103"/>
      <c r="G477" s="103"/>
      <c r="H477" s="84"/>
      <c r="I477" s="84"/>
      <c r="J477" s="84"/>
      <c r="K477" s="122"/>
    </row>
    <row r="478" spans="3:12" x14ac:dyDescent="0.25">
      <c r="C478" s="69"/>
      <c r="D478" s="31"/>
      <c r="E478" s="103"/>
      <c r="F478" s="103"/>
      <c r="G478" s="103"/>
      <c r="H478" s="84"/>
      <c r="I478" s="84"/>
      <c r="J478" s="84"/>
      <c r="K478" s="122"/>
    </row>
    <row r="479" spans="3:12" x14ac:dyDescent="0.25">
      <c r="C479" s="69" t="s">
        <v>2023</v>
      </c>
      <c r="D479" s="31"/>
      <c r="E479" s="103"/>
      <c r="F479" s="103"/>
      <c r="G479" s="103"/>
      <c r="H479" s="84"/>
      <c r="I479" s="84"/>
      <c r="J479" s="84"/>
      <c r="K479" s="122"/>
    </row>
    <row r="480" spans="3:12" ht="15.75" x14ac:dyDescent="0.25">
      <c r="C480" s="217" t="s">
        <v>471</v>
      </c>
      <c r="D480" s="218">
        <f>+'[6]Desarrollo Curricular'!E474</f>
        <v>0</v>
      </c>
      <c r="E480" s="103"/>
      <c r="F480" s="103"/>
      <c r="G480" s="103"/>
      <c r="H480" s="84"/>
      <c r="I480" s="84"/>
      <c r="J480" s="84"/>
      <c r="K480" s="122"/>
    </row>
    <row r="481" spans="3:12" ht="18.75" x14ac:dyDescent="0.25">
      <c r="C481" s="616" t="s">
        <v>2024</v>
      </c>
      <c r="D481" s="617"/>
      <c r="E481" s="103"/>
      <c r="F481" s="103"/>
      <c r="G481" s="103"/>
      <c r="H481" s="84"/>
      <c r="I481" s="84"/>
      <c r="J481" s="84"/>
      <c r="K481" s="122"/>
    </row>
    <row r="482" spans="3:12" ht="15.75" thickBot="1" x14ac:dyDescent="0.3">
      <c r="C482" s="69"/>
      <c r="D482" s="31"/>
      <c r="E482" s="103"/>
      <c r="F482" s="103"/>
      <c r="G482" s="103"/>
      <c r="H482" s="84"/>
      <c r="I482" s="84"/>
      <c r="J482" s="84"/>
      <c r="K482" s="122"/>
    </row>
    <row r="483" spans="3:12" ht="30.75" thickBot="1" x14ac:dyDescent="0.3">
      <c r="C483" s="618" t="s">
        <v>44</v>
      </c>
      <c r="D483" s="148" t="s">
        <v>45</v>
      </c>
      <c r="E483" s="619" t="s">
        <v>55</v>
      </c>
      <c r="F483" s="619" t="s">
        <v>57</v>
      </c>
      <c r="G483" s="620" t="s">
        <v>27</v>
      </c>
      <c r="H483" s="621" t="s">
        <v>208</v>
      </c>
      <c r="I483" s="619" t="s">
        <v>46</v>
      </c>
      <c r="J483" s="619" t="s">
        <v>209</v>
      </c>
      <c r="K483" s="619" t="s">
        <v>491</v>
      </c>
      <c r="L483" s="138" t="s">
        <v>492</v>
      </c>
    </row>
    <row r="484" spans="3:12" x14ac:dyDescent="0.25">
      <c r="C484" s="622" t="s">
        <v>49</v>
      </c>
      <c r="D484" s="790"/>
      <c r="E484" s="578">
        <v>15</v>
      </c>
      <c r="F484" s="579">
        <v>150</v>
      </c>
      <c r="G484" s="107">
        <f>E484*F484</f>
        <v>2250</v>
      </c>
      <c r="H484" s="171" t="s">
        <v>207</v>
      </c>
      <c r="I484" s="623" t="s">
        <v>997</v>
      </c>
      <c r="J484" s="108" t="str">
        <f>VLOOKUP(I484,[6]Presupuesto!$B$8:$C$584,2,0)</f>
        <v>ALIMENTOS B EBIDAS PARA PERSONAS</v>
      </c>
      <c r="K484" s="624" t="s">
        <v>201</v>
      </c>
      <c r="L484" s="108" t="s">
        <v>478</v>
      </c>
    </row>
    <row r="485" spans="3:12" x14ac:dyDescent="0.25">
      <c r="C485" s="622" t="s">
        <v>51</v>
      </c>
      <c r="D485" s="790"/>
      <c r="E485" s="578">
        <v>1</v>
      </c>
      <c r="F485" s="579">
        <v>85</v>
      </c>
      <c r="G485" s="107">
        <f>E485*F485</f>
        <v>85</v>
      </c>
      <c r="H485" s="171" t="s">
        <v>207</v>
      </c>
      <c r="I485" s="108" t="s">
        <v>1147</v>
      </c>
      <c r="J485" s="108" t="str">
        <f>VLOOKUP(I485,[6]Presupuesto!$B$8:$C$584,2,0)</f>
        <v>UTILES DE ESCRITORIO, OFICINA Y ENSE¥ANZA</v>
      </c>
      <c r="K485" s="624" t="s">
        <v>201</v>
      </c>
      <c r="L485" s="108" t="s">
        <v>478</v>
      </c>
    </row>
    <row r="486" spans="3:12" x14ac:dyDescent="0.25">
      <c r="C486" s="622" t="s">
        <v>189</v>
      </c>
      <c r="D486" s="790"/>
      <c r="E486" s="578">
        <v>36</v>
      </c>
      <c r="F486" s="579">
        <v>1</v>
      </c>
      <c r="G486" s="107">
        <f>E486*F486</f>
        <v>36</v>
      </c>
      <c r="H486" s="171" t="s">
        <v>207</v>
      </c>
      <c r="I486" s="108" t="s">
        <v>1147</v>
      </c>
      <c r="J486" s="108" t="str">
        <f>VLOOKUP(I486,[6]Presupuesto!$B$8:$C$584,2,0)</f>
        <v>UTILES DE ESCRITORIO, OFICINA Y ENSE¥ANZA</v>
      </c>
      <c r="K486" s="624" t="s">
        <v>201</v>
      </c>
      <c r="L486" s="108" t="s">
        <v>478</v>
      </c>
    </row>
    <row r="487" spans="3:12" x14ac:dyDescent="0.25">
      <c r="C487" s="622" t="s">
        <v>52</v>
      </c>
      <c r="D487" s="792"/>
      <c r="E487" s="578">
        <v>14</v>
      </c>
      <c r="F487" s="579">
        <v>25</v>
      </c>
      <c r="G487" s="107">
        <f>E487*F487</f>
        <v>350</v>
      </c>
      <c r="H487" s="171" t="s">
        <v>207</v>
      </c>
      <c r="I487" s="108" t="s">
        <v>1147</v>
      </c>
      <c r="J487" s="108" t="str">
        <f>VLOOKUP(I487,[6]Presupuesto!$B$8:$C$584,2,0)</f>
        <v>UTILES DE ESCRITORIO, OFICINA Y ENSE¥ANZA</v>
      </c>
      <c r="K487" s="624" t="s">
        <v>201</v>
      </c>
      <c r="L487" s="108" t="s">
        <v>478</v>
      </c>
    </row>
    <row r="488" spans="3:12" ht="15.75" thickBot="1" x14ac:dyDescent="0.3">
      <c r="C488" s="103"/>
      <c r="E488" s="122"/>
      <c r="F488" s="122"/>
      <c r="G488" s="122"/>
      <c r="H488" s="185"/>
      <c r="I488" s="122"/>
      <c r="J488" s="122"/>
      <c r="K488" s="122"/>
    </row>
    <row r="489" spans="3:12" ht="15.75" thickBot="1" x14ac:dyDescent="0.3">
      <c r="C489" s="29" t="s">
        <v>43</v>
      </c>
      <c r="D489" s="30">
        <f>SUM(G496:G502)</f>
        <v>3550</v>
      </c>
      <c r="E489" s="103"/>
      <c r="F489" s="103"/>
      <c r="G489" s="103"/>
      <c r="H489" s="84"/>
      <c r="I489" s="84"/>
      <c r="J489" s="84"/>
      <c r="K489" s="122"/>
    </row>
    <row r="490" spans="3:12" x14ac:dyDescent="0.25">
      <c r="C490" s="69"/>
      <c r="D490" s="31"/>
      <c r="E490" s="103"/>
      <c r="F490" s="103"/>
      <c r="G490" s="103"/>
      <c r="H490" s="84"/>
      <c r="I490" s="84"/>
      <c r="J490" s="84"/>
      <c r="K490" s="122"/>
    </row>
    <row r="491" spans="3:12" x14ac:dyDescent="0.25">
      <c r="C491" s="69"/>
      <c r="D491" s="31"/>
      <c r="E491" s="103"/>
      <c r="F491" s="103"/>
      <c r="G491" s="103"/>
      <c r="H491" s="84"/>
      <c r="I491" s="84"/>
      <c r="J491" s="84"/>
      <c r="K491" s="122"/>
    </row>
    <row r="492" spans="3:12" ht="15.75" x14ac:dyDescent="0.25">
      <c r="C492" s="217" t="s">
        <v>471</v>
      </c>
      <c r="D492" s="218">
        <f>+'[6]Desarrollo Curricular'!E475</f>
        <v>0</v>
      </c>
      <c r="E492" s="103"/>
      <c r="F492" s="103"/>
      <c r="G492" s="103"/>
      <c r="H492" s="84"/>
      <c r="I492" s="84"/>
      <c r="J492" s="84"/>
      <c r="K492" s="122"/>
    </row>
    <row r="493" spans="3:12" ht="18.75" x14ac:dyDescent="0.25">
      <c r="C493" s="616" t="s">
        <v>2025</v>
      </c>
      <c r="D493" s="617"/>
      <c r="E493" s="625"/>
      <c r="F493" s="625"/>
      <c r="G493" s="625"/>
      <c r="H493" s="626"/>
      <c r="I493" s="626"/>
      <c r="J493" s="84"/>
      <c r="K493" s="122"/>
    </row>
    <row r="494" spans="3:12" x14ac:dyDescent="0.25">
      <c r="C494" s="69"/>
      <c r="D494" s="31"/>
      <c r="E494" s="103"/>
      <c r="F494" s="103"/>
      <c r="G494" s="103"/>
      <c r="H494" s="84"/>
      <c r="I494" s="84"/>
      <c r="J494" s="84"/>
      <c r="K494" s="122"/>
    </row>
    <row r="495" spans="3:12" ht="30.75" thickBot="1" x14ac:dyDescent="0.3">
      <c r="C495" s="627" t="s">
        <v>44</v>
      </c>
      <c r="D495" s="628" t="s">
        <v>45</v>
      </c>
      <c r="E495" s="629" t="s">
        <v>55</v>
      </c>
      <c r="F495" s="629" t="s">
        <v>57</v>
      </c>
      <c r="G495" s="630" t="s">
        <v>27</v>
      </c>
      <c r="H495" s="631" t="s">
        <v>208</v>
      </c>
      <c r="I495" s="629" t="s">
        <v>46</v>
      </c>
      <c r="J495" s="629" t="s">
        <v>209</v>
      </c>
      <c r="K495" s="629" t="s">
        <v>491</v>
      </c>
      <c r="L495" s="632" t="s">
        <v>492</v>
      </c>
    </row>
    <row r="496" spans="3:12" x14ac:dyDescent="0.25">
      <c r="C496" s="633" t="s">
        <v>47</v>
      </c>
      <c r="D496" s="789">
        <v>18</v>
      </c>
      <c r="E496" s="168">
        <v>1</v>
      </c>
      <c r="F496" s="125">
        <v>500</v>
      </c>
      <c r="G496" s="107">
        <f t="shared" ref="G496:G502" si="39">+E496*F496</f>
        <v>500</v>
      </c>
      <c r="H496" s="171" t="s">
        <v>207</v>
      </c>
      <c r="I496" s="594" t="s">
        <v>703</v>
      </c>
      <c r="J496" s="108" t="str">
        <f>VLOOKUP(I496,[6]Presupuesto!$B$8:$C$584,2,0)</f>
        <v>PAGOS A PERSONAL NO CLASIFICADO</v>
      </c>
      <c r="K496" s="231" t="s">
        <v>201</v>
      </c>
      <c r="L496" s="624" t="s">
        <v>482</v>
      </c>
    </row>
    <row r="497" spans="3:12" x14ac:dyDescent="0.25">
      <c r="C497" s="622" t="s">
        <v>48</v>
      </c>
      <c r="D497" s="790"/>
      <c r="E497" s="578">
        <v>18</v>
      </c>
      <c r="F497" s="579">
        <v>50</v>
      </c>
      <c r="G497" s="107">
        <f t="shared" si="39"/>
        <v>900</v>
      </c>
      <c r="H497" s="171" t="s">
        <v>207</v>
      </c>
      <c r="I497" s="108" t="s">
        <v>922</v>
      </c>
      <c r="J497" s="108" t="str">
        <f>VLOOKUP(I497,[6]Presupuesto!$B$8:$C$584,2,0)</f>
        <v>SERVICIOS DE IMPRENTA PUBLIC.Y REPRODUCCION</v>
      </c>
      <c r="K497" s="108" t="s">
        <v>201</v>
      </c>
      <c r="L497" s="624" t="s">
        <v>482</v>
      </c>
    </row>
    <row r="498" spans="3:12" x14ac:dyDescent="0.25">
      <c r="C498" s="622" t="s">
        <v>49</v>
      </c>
      <c r="D498" s="790"/>
      <c r="E498" s="578">
        <v>18</v>
      </c>
      <c r="F498" s="579">
        <v>50</v>
      </c>
      <c r="G498" s="107">
        <f t="shared" si="39"/>
        <v>900</v>
      </c>
      <c r="H498" s="171" t="s">
        <v>207</v>
      </c>
      <c r="I498" s="623" t="s">
        <v>997</v>
      </c>
      <c r="J498" s="108" t="str">
        <f>VLOOKUP(I498,[6]Presupuesto!$B$8:$C$584,2,0)</f>
        <v>ALIMENTOS B EBIDAS PARA PERSONAS</v>
      </c>
      <c r="K498" s="108" t="s">
        <v>201</v>
      </c>
      <c r="L498" s="624" t="s">
        <v>482</v>
      </c>
    </row>
    <row r="499" spans="3:12" x14ac:dyDescent="0.25">
      <c r="C499" s="622" t="s">
        <v>501</v>
      </c>
      <c r="D499" s="790"/>
      <c r="E499" s="580">
        <v>18</v>
      </c>
      <c r="F499" s="581">
        <v>25</v>
      </c>
      <c r="G499" s="107">
        <f t="shared" si="39"/>
        <v>450</v>
      </c>
      <c r="H499" s="171" t="s">
        <v>207</v>
      </c>
      <c r="I499" s="108" t="s">
        <v>1147</v>
      </c>
      <c r="J499" s="108" t="str">
        <f>VLOOKUP(I499,[6]Presupuesto!$B$8:$C$584,2,0)</f>
        <v>UTILES DE ESCRITORIO, OFICINA Y ENSE¥ANZA</v>
      </c>
      <c r="K499" s="108" t="s">
        <v>201</v>
      </c>
      <c r="L499" s="624" t="s">
        <v>482</v>
      </c>
    </row>
    <row r="500" spans="3:12" x14ac:dyDescent="0.25">
      <c r="C500" s="622" t="s">
        <v>51</v>
      </c>
      <c r="D500" s="790"/>
      <c r="E500" s="578">
        <v>2</v>
      </c>
      <c r="F500" s="579">
        <v>85</v>
      </c>
      <c r="G500" s="107">
        <f t="shared" si="39"/>
        <v>170</v>
      </c>
      <c r="H500" s="171" t="s">
        <v>207</v>
      </c>
      <c r="I500" s="108" t="s">
        <v>1147</v>
      </c>
      <c r="J500" s="108" t="str">
        <f>VLOOKUP(I500,[6]Presupuesto!$B$8:$C$584,2,0)</f>
        <v>UTILES DE ESCRITORIO, OFICINA Y ENSE¥ANZA</v>
      </c>
      <c r="K500" s="108" t="s">
        <v>201</v>
      </c>
      <c r="L500" s="624" t="s">
        <v>482</v>
      </c>
    </row>
    <row r="501" spans="3:12" x14ac:dyDescent="0.25">
      <c r="C501" s="622" t="s">
        <v>189</v>
      </c>
      <c r="D501" s="790"/>
      <c r="E501" s="578">
        <v>18</v>
      </c>
      <c r="F501" s="579">
        <v>10</v>
      </c>
      <c r="G501" s="107">
        <f t="shared" si="39"/>
        <v>180</v>
      </c>
      <c r="H501" s="171" t="s">
        <v>207</v>
      </c>
      <c r="I501" s="108" t="s">
        <v>1147</v>
      </c>
      <c r="J501" s="108" t="str">
        <f>VLOOKUP(I501,[6]Presupuesto!$B$8:$C$584,2,0)</f>
        <v>UTILES DE ESCRITORIO, OFICINA Y ENSE¥ANZA</v>
      </c>
      <c r="K501" s="108" t="s">
        <v>201</v>
      </c>
      <c r="L501" s="624" t="s">
        <v>482</v>
      </c>
    </row>
    <row r="502" spans="3:12" x14ac:dyDescent="0.25">
      <c r="C502" s="622" t="s">
        <v>52</v>
      </c>
      <c r="D502" s="792"/>
      <c r="E502" s="578">
        <v>18</v>
      </c>
      <c r="F502" s="579">
        <v>25</v>
      </c>
      <c r="G502" s="107">
        <f t="shared" si="39"/>
        <v>450</v>
      </c>
      <c r="H502" s="171" t="s">
        <v>207</v>
      </c>
      <c r="I502" s="108" t="s">
        <v>1147</v>
      </c>
      <c r="J502" s="108" t="str">
        <f>VLOOKUP(I502,[6]Presupuesto!$B$8:$C$584,2,0)</f>
        <v>UTILES DE ESCRITORIO, OFICINA Y ENSE¥ANZA</v>
      </c>
      <c r="K502" s="108" t="s">
        <v>201</v>
      </c>
      <c r="L502" s="624" t="s">
        <v>482</v>
      </c>
    </row>
    <row r="505" spans="3:12" ht="15.75" thickBot="1" x14ac:dyDescent="0.3"/>
    <row r="506" spans="3:12" ht="15.75" thickBot="1" x14ac:dyDescent="0.3">
      <c r="C506" s="29" t="s">
        <v>43</v>
      </c>
      <c r="D506" s="30">
        <f>SUM(G513:G520)</f>
        <v>21550</v>
      </c>
      <c r="E506" s="103"/>
      <c r="F506" s="103"/>
      <c r="G506" s="103"/>
      <c r="H506" s="84"/>
      <c r="I506" s="84"/>
      <c r="J506" s="84"/>
      <c r="K506" s="122"/>
    </row>
    <row r="507" spans="3:12" x14ac:dyDescent="0.25">
      <c r="C507" s="69"/>
      <c r="D507" s="31"/>
      <c r="E507" s="103"/>
      <c r="F507" s="103"/>
      <c r="G507" s="103"/>
      <c r="H507" s="84"/>
      <c r="I507" s="84"/>
      <c r="J507" s="84"/>
      <c r="K507" s="122"/>
    </row>
    <row r="508" spans="3:12" x14ac:dyDescent="0.25">
      <c r="C508" s="69"/>
      <c r="D508" s="31"/>
      <c r="E508" s="103"/>
      <c r="F508" s="103"/>
      <c r="G508" s="103"/>
      <c r="H508" s="84"/>
      <c r="I508" s="84"/>
      <c r="J508" s="84"/>
      <c r="K508" s="122"/>
    </row>
    <row r="509" spans="3:12" ht="15.75" x14ac:dyDescent="0.25">
      <c r="C509" s="217" t="s">
        <v>471</v>
      </c>
      <c r="D509" s="218">
        <f>+[6]Investigación!E474</f>
        <v>0</v>
      </c>
      <c r="E509" s="103"/>
      <c r="F509" s="103"/>
      <c r="G509" s="103"/>
      <c r="H509" s="84"/>
      <c r="I509" s="84"/>
      <c r="J509" s="84"/>
      <c r="K509" s="122"/>
    </row>
    <row r="510" spans="3:12" ht="18.75" x14ac:dyDescent="0.25">
      <c r="C510" s="616" t="s">
        <v>2026</v>
      </c>
      <c r="D510" s="617"/>
      <c r="E510" s="625"/>
      <c r="F510" s="625"/>
      <c r="G510" s="625"/>
      <c r="H510" s="626"/>
      <c r="I510" s="626"/>
      <c r="J510" s="84"/>
      <c r="K510" s="122"/>
    </row>
    <row r="511" spans="3:12" ht="15.75" thickBot="1" x14ac:dyDescent="0.3">
      <c r="C511" s="69"/>
      <c r="D511" s="31"/>
      <c r="E511" s="103"/>
      <c r="F511" s="103"/>
      <c r="G511" s="103"/>
      <c r="H511" s="84"/>
      <c r="I511" s="84"/>
      <c r="J511" s="84"/>
      <c r="K511" s="122"/>
    </row>
    <row r="512" spans="3:12" ht="30.75" thickBot="1" x14ac:dyDescent="0.3">
      <c r="C512" s="136" t="s">
        <v>44</v>
      </c>
      <c r="D512" s="139" t="s">
        <v>45</v>
      </c>
      <c r="E512" s="138" t="s">
        <v>55</v>
      </c>
      <c r="F512" s="138" t="s">
        <v>57</v>
      </c>
      <c r="G512" s="137" t="s">
        <v>27</v>
      </c>
      <c r="H512" s="145" t="s">
        <v>208</v>
      </c>
      <c r="I512" s="136" t="s">
        <v>46</v>
      </c>
      <c r="J512" s="138" t="s">
        <v>209</v>
      </c>
      <c r="K512" s="136" t="s">
        <v>491</v>
      </c>
      <c r="L512" s="136" t="s">
        <v>492</v>
      </c>
    </row>
    <row r="513" spans="3:12" x14ac:dyDescent="0.25">
      <c r="C513" s="105" t="s">
        <v>47</v>
      </c>
      <c r="D513" s="789">
        <v>18</v>
      </c>
      <c r="E513" s="168">
        <v>1</v>
      </c>
      <c r="F513" s="125">
        <v>8000</v>
      </c>
      <c r="G513" s="107">
        <f>+E513*F513</f>
        <v>8000</v>
      </c>
      <c r="H513" s="174" t="s">
        <v>207</v>
      </c>
      <c r="I513" s="594" t="s">
        <v>703</v>
      </c>
      <c r="J513" s="108" t="str">
        <f>VLOOKUP(I513,[6]Presupuesto!$B$8:$C$584,2,0)</f>
        <v>PAGOS A PERSONAL NO CLASIFICADO</v>
      </c>
      <c r="K513" s="634" t="s">
        <v>187</v>
      </c>
      <c r="L513" s="635" t="s">
        <v>478</v>
      </c>
    </row>
    <row r="514" spans="3:12" x14ac:dyDescent="0.25">
      <c r="C514" s="577" t="s">
        <v>48</v>
      </c>
      <c r="D514" s="790"/>
      <c r="E514" s="578">
        <v>20</v>
      </c>
      <c r="F514" s="579">
        <v>50</v>
      </c>
      <c r="G514" s="107">
        <f>+E514*F514</f>
        <v>1000</v>
      </c>
      <c r="H514" s="174" t="s">
        <v>207</v>
      </c>
      <c r="I514" s="108" t="s">
        <v>922</v>
      </c>
      <c r="J514" s="108" t="str">
        <f>VLOOKUP(I514,[6]Presupuesto!$B$8:$C$584,2,0)</f>
        <v>SERVICIOS DE IMPRENTA PUBLIC.Y REPRODUCCION</v>
      </c>
      <c r="K514" s="635" t="s">
        <v>187</v>
      </c>
      <c r="L514" s="635" t="s">
        <v>478</v>
      </c>
    </row>
    <row r="515" spans="3:12" x14ac:dyDescent="0.25">
      <c r="C515" s="577" t="s">
        <v>49</v>
      </c>
      <c r="D515" s="790"/>
      <c r="E515" s="578">
        <v>20</v>
      </c>
      <c r="F515" s="579">
        <v>65</v>
      </c>
      <c r="G515" s="107">
        <f t="shared" ref="G515:G520" si="40">+E515*F515</f>
        <v>1300</v>
      </c>
      <c r="H515" s="174" t="s">
        <v>207</v>
      </c>
      <c r="I515" s="623" t="s">
        <v>997</v>
      </c>
      <c r="J515" s="108" t="str">
        <f>VLOOKUP(I515,[6]Presupuesto!$B$8:$C$584,2,0)</f>
        <v>ALIMENTOS B EBIDAS PARA PERSONAS</v>
      </c>
      <c r="K515" s="635" t="s">
        <v>187</v>
      </c>
      <c r="L515" s="635" t="s">
        <v>478</v>
      </c>
    </row>
    <row r="516" spans="3:12" x14ac:dyDescent="0.25">
      <c r="C516" s="577" t="s">
        <v>50</v>
      </c>
      <c r="D516" s="790"/>
      <c r="E516" s="580">
        <v>1</v>
      </c>
      <c r="F516" s="581">
        <v>10000</v>
      </c>
      <c r="G516" s="107">
        <f t="shared" si="40"/>
        <v>10000</v>
      </c>
      <c r="H516" s="174" t="s">
        <v>207</v>
      </c>
      <c r="I516" s="635" t="s">
        <v>960</v>
      </c>
      <c r="J516" s="108" t="str">
        <f>VLOOKUP(I516,[6]Presupuesto!$B$8:$C$584,2,0)</f>
        <v>PASAJES AL EXTERIOR</v>
      </c>
      <c r="K516" s="635" t="s">
        <v>187</v>
      </c>
      <c r="L516" s="635" t="s">
        <v>478</v>
      </c>
    </row>
    <row r="517" spans="3:12" x14ac:dyDescent="0.25">
      <c r="C517" s="577" t="s">
        <v>501</v>
      </c>
      <c r="D517" s="790"/>
      <c r="E517" s="580">
        <v>18</v>
      </c>
      <c r="F517" s="581">
        <v>25</v>
      </c>
      <c r="G517" s="107">
        <f t="shared" si="40"/>
        <v>450</v>
      </c>
      <c r="H517" s="174" t="s">
        <v>207</v>
      </c>
      <c r="I517" s="108" t="s">
        <v>1147</v>
      </c>
      <c r="J517" s="108" t="str">
        <f>VLOOKUP(I517,[6]Presupuesto!$B$8:$C$584,2,0)</f>
        <v>UTILES DE ESCRITORIO, OFICINA Y ENSE¥ANZA</v>
      </c>
      <c r="K517" s="635" t="s">
        <v>187</v>
      </c>
      <c r="L517" s="635" t="s">
        <v>478</v>
      </c>
    </row>
    <row r="518" spans="3:12" x14ac:dyDescent="0.25">
      <c r="C518" s="577" t="s">
        <v>51</v>
      </c>
      <c r="D518" s="790"/>
      <c r="E518" s="578">
        <v>2</v>
      </c>
      <c r="F518" s="579">
        <v>85</v>
      </c>
      <c r="G518" s="107">
        <f t="shared" si="40"/>
        <v>170</v>
      </c>
      <c r="H518" s="174" t="s">
        <v>207</v>
      </c>
      <c r="I518" s="108" t="s">
        <v>1147</v>
      </c>
      <c r="J518" s="108" t="str">
        <f>VLOOKUP(I518,[6]Presupuesto!$B$8:$C$584,2,0)</f>
        <v>UTILES DE ESCRITORIO, OFICINA Y ENSE¥ANZA</v>
      </c>
      <c r="K518" s="635" t="s">
        <v>187</v>
      </c>
      <c r="L518" s="635" t="s">
        <v>478</v>
      </c>
    </row>
    <row r="519" spans="3:12" x14ac:dyDescent="0.25">
      <c r="C519" s="577" t="s">
        <v>189</v>
      </c>
      <c r="D519" s="790"/>
      <c r="E519" s="578">
        <v>18</v>
      </c>
      <c r="F519" s="579">
        <v>10</v>
      </c>
      <c r="G519" s="107">
        <f t="shared" si="40"/>
        <v>180</v>
      </c>
      <c r="H519" s="174" t="s">
        <v>207</v>
      </c>
      <c r="I519" s="108" t="s">
        <v>1147</v>
      </c>
      <c r="J519" s="108" t="str">
        <f>VLOOKUP(I519,[6]Presupuesto!$B$8:$C$584,2,0)</f>
        <v>UTILES DE ESCRITORIO, OFICINA Y ENSE¥ANZA</v>
      </c>
      <c r="K519" s="635" t="s">
        <v>187</v>
      </c>
      <c r="L519" s="635" t="s">
        <v>478</v>
      </c>
    </row>
    <row r="520" spans="3:12" ht="15.75" thickBot="1" x14ac:dyDescent="0.3">
      <c r="C520" s="600" t="s">
        <v>52</v>
      </c>
      <c r="D520" s="793"/>
      <c r="E520" s="636">
        <v>18</v>
      </c>
      <c r="F520" s="587">
        <v>25</v>
      </c>
      <c r="G520" s="637">
        <f t="shared" si="40"/>
        <v>450</v>
      </c>
      <c r="H520" s="638" t="s">
        <v>207</v>
      </c>
      <c r="I520" s="639" t="s">
        <v>1147</v>
      </c>
      <c r="J520" s="639" t="str">
        <f>VLOOKUP(I520,[6]Presupuesto!$B$8:$C$584,2,0)</f>
        <v>UTILES DE ESCRITORIO, OFICINA Y ENSE¥ANZA</v>
      </c>
      <c r="K520" s="640" t="s">
        <v>187</v>
      </c>
      <c r="L520" s="640" t="s">
        <v>478</v>
      </c>
    </row>
    <row r="522" spans="3:12" ht="15.75" thickBot="1" x14ac:dyDescent="0.3"/>
    <row r="523" spans="3:12" ht="15.75" thickBot="1" x14ac:dyDescent="0.3">
      <c r="C523" s="29" t="s">
        <v>43</v>
      </c>
      <c r="D523" s="30">
        <f>SUM(G528:G534)</f>
        <v>2845</v>
      </c>
    </row>
    <row r="525" spans="3:12" ht="15.75" x14ac:dyDescent="0.25">
      <c r="C525" s="217" t="s">
        <v>471</v>
      </c>
      <c r="D525" s="218">
        <f>+'[6]Docencia y Recursos Humanos '!E473</f>
        <v>0</v>
      </c>
    </row>
    <row r="526" spans="3:12" ht="15.75" thickBot="1" x14ac:dyDescent="0.3">
      <c r="C526" s="641" t="s">
        <v>2027</v>
      </c>
      <c r="D526" s="641"/>
      <c r="E526" s="641"/>
      <c r="F526" s="641"/>
      <c r="G526" s="641"/>
    </row>
    <row r="527" spans="3:12" ht="30.75" thickBot="1" x14ac:dyDescent="0.3">
      <c r="C527" s="136" t="s">
        <v>44</v>
      </c>
      <c r="D527" s="139" t="s">
        <v>45</v>
      </c>
      <c r="E527" s="138" t="s">
        <v>55</v>
      </c>
      <c r="F527" s="138" t="s">
        <v>57</v>
      </c>
      <c r="G527" s="137" t="s">
        <v>27</v>
      </c>
      <c r="H527" s="145" t="s">
        <v>208</v>
      </c>
      <c r="I527" s="136" t="s">
        <v>46</v>
      </c>
      <c r="J527" s="138" t="s">
        <v>209</v>
      </c>
      <c r="K527" s="136" t="s">
        <v>491</v>
      </c>
      <c r="L527" s="136" t="s">
        <v>492</v>
      </c>
    </row>
    <row r="528" spans="3:12" x14ac:dyDescent="0.25">
      <c r="C528" s="642" t="s">
        <v>47</v>
      </c>
      <c r="D528" s="789">
        <v>18</v>
      </c>
      <c r="E528" s="168">
        <v>5</v>
      </c>
      <c r="F528" s="125">
        <v>95</v>
      </c>
      <c r="G528" s="107">
        <f t="shared" ref="G528:G534" si="41">+E528*F528</f>
        <v>475</v>
      </c>
      <c r="H528" s="174" t="s">
        <v>207</v>
      </c>
      <c r="I528" s="594" t="s">
        <v>703</v>
      </c>
      <c r="J528" s="108" t="str">
        <f>VLOOKUP(I528,[6]Presupuesto!$B$8:$C$584,2,0)</f>
        <v>PAGOS A PERSONAL NO CLASIFICADO</v>
      </c>
      <c r="K528" s="634" t="s">
        <v>202</v>
      </c>
      <c r="L528" s="635" t="s">
        <v>478</v>
      </c>
    </row>
    <row r="529" spans="3:12" x14ac:dyDescent="0.25">
      <c r="C529" s="577" t="s">
        <v>48</v>
      </c>
      <c r="D529" s="790"/>
      <c r="E529" s="578">
        <v>20</v>
      </c>
      <c r="F529" s="579">
        <v>20</v>
      </c>
      <c r="G529" s="107">
        <f t="shared" si="41"/>
        <v>400</v>
      </c>
      <c r="H529" s="174" t="s">
        <v>207</v>
      </c>
      <c r="I529" s="108" t="s">
        <v>922</v>
      </c>
      <c r="J529" s="108" t="str">
        <f>VLOOKUP(I529,[6]Presupuesto!$B$8:$C$584,2,0)</f>
        <v>SERVICIOS DE IMPRENTA PUBLIC.Y REPRODUCCION</v>
      </c>
      <c r="K529" s="635" t="s">
        <v>202</v>
      </c>
      <c r="L529" s="635" t="s">
        <v>478</v>
      </c>
    </row>
    <row r="530" spans="3:12" x14ac:dyDescent="0.25">
      <c r="C530" s="577" t="s">
        <v>49</v>
      </c>
      <c r="D530" s="790"/>
      <c r="E530" s="578">
        <v>20</v>
      </c>
      <c r="F530" s="579">
        <v>36</v>
      </c>
      <c r="G530" s="107">
        <f t="shared" si="41"/>
        <v>720</v>
      </c>
      <c r="H530" s="174" t="s">
        <v>207</v>
      </c>
      <c r="I530" s="623" t="s">
        <v>997</v>
      </c>
      <c r="J530" s="108" t="str">
        <f>VLOOKUP(I530,[6]Presupuesto!$B$8:$C$584,2,0)</f>
        <v>ALIMENTOS B EBIDAS PARA PERSONAS</v>
      </c>
      <c r="K530" s="635" t="s">
        <v>202</v>
      </c>
      <c r="L530" s="635" t="s">
        <v>478</v>
      </c>
    </row>
    <row r="531" spans="3:12" x14ac:dyDescent="0.25">
      <c r="C531" s="577" t="s">
        <v>501</v>
      </c>
      <c r="D531" s="790"/>
      <c r="E531" s="580">
        <v>18</v>
      </c>
      <c r="F531" s="581">
        <v>25</v>
      </c>
      <c r="G531" s="107">
        <f t="shared" si="41"/>
        <v>450</v>
      </c>
      <c r="H531" s="174" t="s">
        <v>207</v>
      </c>
      <c r="I531" s="108" t="s">
        <v>1147</v>
      </c>
      <c r="J531" s="108" t="str">
        <f>VLOOKUP(I531,[6]Presupuesto!$B$8:$C$584,2,0)</f>
        <v>UTILES DE ESCRITORIO, OFICINA Y ENSE¥ANZA</v>
      </c>
      <c r="K531" s="635" t="s">
        <v>202</v>
      </c>
      <c r="L531" s="635" t="s">
        <v>478</v>
      </c>
    </row>
    <row r="532" spans="3:12" x14ac:dyDescent="0.25">
      <c r="C532" s="577" t="s">
        <v>51</v>
      </c>
      <c r="D532" s="790"/>
      <c r="E532" s="578">
        <v>2</v>
      </c>
      <c r="F532" s="579">
        <v>85</v>
      </c>
      <c r="G532" s="107">
        <f t="shared" si="41"/>
        <v>170</v>
      </c>
      <c r="H532" s="174" t="s">
        <v>207</v>
      </c>
      <c r="I532" s="108" t="s">
        <v>1147</v>
      </c>
      <c r="J532" s="108" t="str">
        <f>VLOOKUP(I532,[6]Presupuesto!$B$8:$C$584,2,0)</f>
        <v>UTILES DE ESCRITORIO, OFICINA Y ENSE¥ANZA</v>
      </c>
      <c r="K532" s="635" t="s">
        <v>202</v>
      </c>
      <c r="L532" s="635" t="s">
        <v>478</v>
      </c>
    </row>
    <row r="533" spans="3:12" x14ac:dyDescent="0.25">
      <c r="C533" s="577" t="s">
        <v>189</v>
      </c>
      <c r="D533" s="790"/>
      <c r="E533" s="578">
        <v>18</v>
      </c>
      <c r="F533" s="579">
        <v>10</v>
      </c>
      <c r="G533" s="107">
        <f t="shared" si="41"/>
        <v>180</v>
      </c>
      <c r="H533" s="174" t="s">
        <v>207</v>
      </c>
      <c r="I533" s="108" t="s">
        <v>1147</v>
      </c>
      <c r="J533" s="108" t="str">
        <f>VLOOKUP(I533,[6]Presupuesto!$B$8:$C$584,2,0)</f>
        <v>UTILES DE ESCRITORIO, OFICINA Y ENSE¥ANZA</v>
      </c>
      <c r="K533" s="635" t="s">
        <v>202</v>
      </c>
      <c r="L533" s="635" t="s">
        <v>478</v>
      </c>
    </row>
    <row r="534" spans="3:12" ht="15.75" thickBot="1" x14ac:dyDescent="0.3">
      <c r="C534" s="600" t="s">
        <v>52</v>
      </c>
      <c r="D534" s="793"/>
      <c r="E534" s="636">
        <v>18</v>
      </c>
      <c r="F534" s="587">
        <v>25</v>
      </c>
      <c r="G534" s="637">
        <f t="shared" si="41"/>
        <v>450</v>
      </c>
      <c r="H534" s="638" t="s">
        <v>207</v>
      </c>
      <c r="I534" s="639" t="s">
        <v>1147</v>
      </c>
      <c r="J534" s="639" t="str">
        <f>VLOOKUP(I534,[6]Presupuesto!$B$8:$C$584,2,0)</f>
        <v>UTILES DE ESCRITORIO, OFICINA Y ENSE¥ANZA</v>
      </c>
      <c r="K534" s="635" t="s">
        <v>202</v>
      </c>
      <c r="L534" s="640" t="s">
        <v>478</v>
      </c>
    </row>
    <row r="535" spans="3:12" x14ac:dyDescent="0.25">
      <c r="I535" s="85"/>
    </row>
    <row r="536" spans="3:12" ht="15.75" thickBot="1" x14ac:dyDescent="0.3"/>
    <row r="537" spans="3:12" ht="15.75" thickBot="1" x14ac:dyDescent="0.3">
      <c r="C537" s="29" t="s">
        <v>43</v>
      </c>
      <c r="D537" s="30">
        <f>SUM(G544:G552)</f>
        <v>96445</v>
      </c>
      <c r="E537" s="103"/>
      <c r="F537" s="103"/>
      <c r="G537" s="103"/>
      <c r="H537" s="84"/>
      <c r="I537" s="84"/>
      <c r="J537" s="84"/>
      <c r="K537" s="122"/>
    </row>
    <row r="538" spans="3:12" x14ac:dyDescent="0.25">
      <c r="C538" s="69"/>
      <c r="D538" s="31"/>
      <c r="E538" s="103"/>
      <c r="F538" s="103"/>
      <c r="G538" s="103"/>
      <c r="H538" s="84"/>
      <c r="I538" s="84"/>
      <c r="J538" s="84"/>
      <c r="K538" s="122"/>
    </row>
    <row r="539" spans="3:12" x14ac:dyDescent="0.25">
      <c r="C539" s="69"/>
      <c r="D539" s="31"/>
      <c r="E539" s="103"/>
      <c r="F539" s="103"/>
      <c r="G539" s="103"/>
      <c r="H539" s="84"/>
      <c r="I539" s="84"/>
      <c r="J539" s="84"/>
      <c r="K539" s="122"/>
    </row>
    <row r="540" spans="3:12" ht="15.75" x14ac:dyDescent="0.25">
      <c r="C540" s="217" t="s">
        <v>471</v>
      </c>
      <c r="D540" s="218">
        <f>+'[6]Gestion Administrativa'!E479</f>
        <v>0</v>
      </c>
      <c r="E540" s="103"/>
      <c r="F540" s="103"/>
      <c r="G540" s="103"/>
      <c r="H540" s="84"/>
      <c r="I540" s="84"/>
      <c r="J540" s="84"/>
      <c r="K540" s="122"/>
    </row>
    <row r="541" spans="3:12" ht="18.75" x14ac:dyDescent="0.25">
      <c r="C541" s="616" t="s">
        <v>2028</v>
      </c>
      <c r="D541" s="617"/>
      <c r="E541" s="103"/>
      <c r="F541" s="103"/>
      <c r="G541" s="103"/>
      <c r="H541" s="84"/>
      <c r="I541" s="84"/>
      <c r="J541" s="84"/>
      <c r="K541" s="122"/>
    </row>
    <row r="542" spans="3:12" ht="15.75" thickBot="1" x14ac:dyDescent="0.3">
      <c r="C542" s="69"/>
      <c r="D542" s="31"/>
      <c r="E542" s="103"/>
      <c r="F542" s="103"/>
      <c r="G542" s="103"/>
      <c r="H542" s="84"/>
      <c r="I542" s="84"/>
      <c r="J542" s="84"/>
      <c r="K542" s="122"/>
    </row>
    <row r="543" spans="3:12" ht="30.75" thickBot="1" x14ac:dyDescent="0.3">
      <c r="C543" s="136" t="s">
        <v>44</v>
      </c>
      <c r="D543" s="139" t="s">
        <v>45</v>
      </c>
      <c r="E543" s="138" t="s">
        <v>55</v>
      </c>
      <c r="F543" s="138" t="s">
        <v>57</v>
      </c>
      <c r="G543" s="137" t="s">
        <v>27</v>
      </c>
      <c r="H543" s="143" t="s">
        <v>208</v>
      </c>
      <c r="I543" s="138" t="s">
        <v>46</v>
      </c>
      <c r="J543" s="138" t="s">
        <v>209</v>
      </c>
      <c r="K543" s="138" t="s">
        <v>491</v>
      </c>
      <c r="L543" s="138" t="s">
        <v>492</v>
      </c>
    </row>
    <row r="544" spans="3:12" x14ac:dyDescent="0.25">
      <c r="C544" s="105" t="s">
        <v>47</v>
      </c>
      <c r="D544" s="789">
        <v>15</v>
      </c>
      <c r="E544" s="168">
        <v>4</v>
      </c>
      <c r="F544" s="125">
        <v>8500</v>
      </c>
      <c r="G544" s="107">
        <f t="shared" ref="G544:G552" si="42">E544*F544</f>
        <v>34000</v>
      </c>
      <c r="H544" s="171" t="s">
        <v>207</v>
      </c>
      <c r="I544" s="594" t="s">
        <v>703</v>
      </c>
      <c r="J544" s="108" t="str">
        <f>VLOOKUP(I544,[6]Presupuesto!$B$8:$C$584,2,0)</f>
        <v>PAGOS A PERSONAL NO CLASIFICADO</v>
      </c>
      <c r="K544" s="231" t="s">
        <v>560</v>
      </c>
      <c r="L544" s="108" t="s">
        <v>482</v>
      </c>
    </row>
    <row r="545" spans="3:12" x14ac:dyDescent="0.25">
      <c r="C545" s="577" t="s">
        <v>48</v>
      </c>
      <c r="D545" s="790"/>
      <c r="E545" s="578">
        <v>120</v>
      </c>
      <c r="F545" s="579">
        <v>35</v>
      </c>
      <c r="G545" s="107">
        <f t="shared" si="42"/>
        <v>4200</v>
      </c>
      <c r="H545" s="171" t="s">
        <v>207</v>
      </c>
      <c r="I545" s="108" t="s">
        <v>922</v>
      </c>
      <c r="J545" s="108" t="str">
        <f>VLOOKUP(I545,[6]Presupuesto!$B$8:$C$584,2,0)</f>
        <v>SERVICIOS DE IMPRENTA PUBLIC.Y REPRODUCCION</v>
      </c>
      <c r="K545" s="108" t="s">
        <v>560</v>
      </c>
      <c r="L545" s="108" t="s">
        <v>482</v>
      </c>
    </row>
    <row r="546" spans="3:12" x14ac:dyDescent="0.25">
      <c r="C546" s="577" t="s">
        <v>49</v>
      </c>
      <c r="D546" s="790"/>
      <c r="E546" s="578">
        <v>120</v>
      </c>
      <c r="F546" s="579">
        <v>90</v>
      </c>
      <c r="G546" s="107">
        <f t="shared" si="42"/>
        <v>10800</v>
      </c>
      <c r="H546" s="171" t="s">
        <v>207</v>
      </c>
      <c r="I546" s="623" t="s">
        <v>997</v>
      </c>
      <c r="J546" s="108" t="str">
        <f>VLOOKUP(I546,[6]Presupuesto!$B$8:$C$584,2,0)</f>
        <v>ALIMENTOS B EBIDAS PARA PERSONAS</v>
      </c>
      <c r="K546" s="108" t="s">
        <v>560</v>
      </c>
      <c r="L546" s="108" t="s">
        <v>482</v>
      </c>
    </row>
    <row r="547" spans="3:12" x14ac:dyDescent="0.25">
      <c r="C547" s="577" t="s">
        <v>50</v>
      </c>
      <c r="D547" s="790"/>
      <c r="E547" s="580">
        <v>3</v>
      </c>
      <c r="F547" s="581">
        <v>12500</v>
      </c>
      <c r="G547" s="107">
        <f t="shared" si="42"/>
        <v>37500</v>
      </c>
      <c r="H547" s="171" t="s">
        <v>207</v>
      </c>
      <c r="I547" s="108" t="s">
        <v>1147</v>
      </c>
      <c r="J547" s="108" t="str">
        <f>VLOOKUP(I547,[6]Presupuesto!$B$8:$C$584,2,0)</f>
        <v>UTILES DE ESCRITORIO, OFICINA Y ENSE¥ANZA</v>
      </c>
      <c r="K547" s="108" t="s">
        <v>560</v>
      </c>
      <c r="L547" s="108" t="s">
        <v>482</v>
      </c>
    </row>
    <row r="548" spans="3:12" x14ac:dyDescent="0.25">
      <c r="C548" s="577" t="s">
        <v>501</v>
      </c>
      <c r="D548" s="790"/>
      <c r="E548" s="580">
        <v>120</v>
      </c>
      <c r="F548" s="581">
        <v>50</v>
      </c>
      <c r="G548" s="107">
        <f t="shared" si="42"/>
        <v>6000</v>
      </c>
      <c r="H548" s="171" t="s">
        <v>207</v>
      </c>
      <c r="I548" s="108" t="s">
        <v>922</v>
      </c>
      <c r="J548" s="108" t="str">
        <f>VLOOKUP(I548,[6]Presupuesto!$B$8:$C$584,2,0)</f>
        <v>SERVICIOS DE IMPRENTA PUBLIC.Y REPRODUCCION</v>
      </c>
      <c r="K548" s="108" t="s">
        <v>560</v>
      </c>
      <c r="L548" s="108" t="s">
        <v>482</v>
      </c>
    </row>
    <row r="549" spans="3:12" x14ac:dyDescent="0.25">
      <c r="C549" s="577" t="s">
        <v>51</v>
      </c>
      <c r="D549" s="790"/>
      <c r="E549" s="578">
        <v>3</v>
      </c>
      <c r="F549" s="579">
        <v>85</v>
      </c>
      <c r="G549" s="107">
        <f t="shared" si="42"/>
        <v>255</v>
      </c>
      <c r="H549" s="171" t="s">
        <v>207</v>
      </c>
      <c r="I549" s="108" t="s">
        <v>1147</v>
      </c>
      <c r="J549" s="108" t="str">
        <f>VLOOKUP(I549,[6]Presupuesto!$B$8:$C$584,2,0)</f>
        <v>UTILES DE ESCRITORIO, OFICINA Y ENSE¥ANZA</v>
      </c>
      <c r="K549" s="108" t="s">
        <v>560</v>
      </c>
      <c r="L549" s="108" t="s">
        <v>482</v>
      </c>
    </row>
    <row r="550" spans="3:12" x14ac:dyDescent="0.25">
      <c r="C550" s="577" t="s">
        <v>189</v>
      </c>
      <c r="D550" s="790"/>
      <c r="E550" s="578">
        <v>150</v>
      </c>
      <c r="F550" s="579">
        <v>4</v>
      </c>
      <c r="G550" s="107">
        <f t="shared" si="42"/>
        <v>600</v>
      </c>
      <c r="H550" s="171" t="s">
        <v>207</v>
      </c>
      <c r="I550" s="108" t="s">
        <v>1147</v>
      </c>
      <c r="J550" s="108" t="str">
        <f>VLOOKUP(I550,[6]Presupuesto!$B$8:$C$584,2,0)</f>
        <v>UTILES DE ESCRITORIO, OFICINA Y ENSE¥ANZA</v>
      </c>
      <c r="K550" s="108" t="s">
        <v>560</v>
      </c>
      <c r="L550" s="108" t="s">
        <v>482</v>
      </c>
    </row>
    <row r="551" spans="3:12" x14ac:dyDescent="0.25">
      <c r="C551" s="577" t="s">
        <v>34</v>
      </c>
      <c r="D551" s="790"/>
      <c r="E551" s="578">
        <v>6</v>
      </c>
      <c r="F551" s="579">
        <v>15</v>
      </c>
      <c r="G551" s="107">
        <f t="shared" si="42"/>
        <v>90</v>
      </c>
      <c r="H551" s="171" t="s">
        <v>207</v>
      </c>
      <c r="I551" s="108" t="s">
        <v>1147</v>
      </c>
      <c r="J551" s="108" t="str">
        <f>VLOOKUP(I551,[6]Presupuesto!$B$8:$C$584,2,0)</f>
        <v>UTILES DE ESCRITORIO, OFICINA Y ENSE¥ANZA</v>
      </c>
      <c r="K551" s="108" t="s">
        <v>560</v>
      </c>
      <c r="L551" s="108" t="s">
        <v>482</v>
      </c>
    </row>
    <row r="552" spans="3:12" ht="15.75" thickBot="1" x14ac:dyDescent="0.3">
      <c r="C552" s="600" t="s">
        <v>52</v>
      </c>
      <c r="D552" s="793"/>
      <c r="E552" s="636">
        <v>120</v>
      </c>
      <c r="F552" s="587">
        <v>25</v>
      </c>
      <c r="G552" s="637">
        <f t="shared" si="42"/>
        <v>3000</v>
      </c>
      <c r="H552" s="643" t="s">
        <v>207</v>
      </c>
      <c r="I552" s="639" t="s">
        <v>1147</v>
      </c>
      <c r="J552" s="639" t="str">
        <f>VLOOKUP(I552,[6]Presupuesto!$B$8:$C$584,2,0)</f>
        <v>UTILES DE ESCRITORIO, OFICINA Y ENSE¥ANZA</v>
      </c>
      <c r="K552" s="108" t="s">
        <v>560</v>
      </c>
      <c r="L552" s="108" t="s">
        <v>482</v>
      </c>
    </row>
    <row r="554" spans="3:12" x14ac:dyDescent="0.25">
      <c r="C554" s="69" t="s">
        <v>41</v>
      </c>
      <c r="D554" s="69"/>
      <c r="E554" s="69"/>
      <c r="F554" s="69"/>
      <c r="G554" s="69"/>
      <c r="H554" s="87"/>
      <c r="I554" s="69"/>
      <c r="J554" s="69"/>
    </row>
    <row r="555" spans="3:12" x14ac:dyDescent="0.25">
      <c r="C555" s="69" t="s">
        <v>42</v>
      </c>
      <c r="D555" s="69"/>
      <c r="E555" s="69"/>
      <c r="F555" s="69"/>
      <c r="G555" s="69"/>
      <c r="H555" s="87"/>
      <c r="I555" s="69"/>
      <c r="J555" s="69"/>
    </row>
    <row r="556" spans="3:12" ht="15.75" thickBot="1" x14ac:dyDescent="0.3">
      <c r="C556" s="188"/>
      <c r="D556" s="188"/>
      <c r="E556" s="188"/>
      <c r="F556" s="188"/>
      <c r="G556" s="188"/>
      <c r="H556" s="87"/>
      <c r="I556" s="188"/>
      <c r="J556" s="188"/>
      <c r="K556" s="122"/>
    </row>
    <row r="557" spans="3:12" ht="15.75" thickBot="1" x14ac:dyDescent="0.3">
      <c r="C557" s="29" t="s">
        <v>43</v>
      </c>
      <c r="D557" s="30">
        <f>SUM(G564:G573)</f>
        <v>45780</v>
      </c>
      <c r="E557" s="103"/>
      <c r="F557" s="103"/>
      <c r="G557" s="103"/>
      <c r="H557" s="84"/>
      <c r="I557" s="84"/>
      <c r="J557" s="84"/>
      <c r="K557" s="122"/>
    </row>
    <row r="558" spans="3:12" x14ac:dyDescent="0.25">
      <c r="C558" s="69"/>
      <c r="D558" s="31"/>
      <c r="E558" s="103"/>
      <c r="F558" s="103"/>
      <c r="G558" s="103"/>
      <c r="H558" s="84"/>
      <c r="I558" s="84"/>
      <c r="J558" s="84"/>
      <c r="K558" s="122"/>
    </row>
    <row r="559" spans="3:12" x14ac:dyDescent="0.25">
      <c r="C559" s="69" t="s">
        <v>2055</v>
      </c>
      <c r="D559" s="31"/>
      <c r="E559" s="103"/>
      <c r="F559" s="103"/>
      <c r="G559" s="103"/>
      <c r="H559" s="84"/>
      <c r="I559" s="84"/>
      <c r="J559" s="84"/>
      <c r="K559" s="122"/>
    </row>
    <row r="560" spans="3:12" ht="15.75" x14ac:dyDescent="0.25">
      <c r="C560" s="217" t="s">
        <v>471</v>
      </c>
      <c r="D560" s="218" t="s">
        <v>2056</v>
      </c>
      <c r="E560" s="103"/>
      <c r="F560" s="103"/>
      <c r="G560" s="103"/>
      <c r="H560" s="84"/>
      <c r="I560" s="84"/>
      <c r="J560" s="84"/>
      <c r="K560" s="122"/>
    </row>
    <row r="561" spans="3:12" ht="18.75" x14ac:dyDescent="0.25">
      <c r="C561" s="220" t="str">
        <f>IFERROR(VLOOKUP(D560,'[7]Desarrollo Curricular'!$E:$F,2,FALSE),IFERROR(VLOOKUP(D560,[7]Investigación!$E:$F,2,FALSE),IFERROR(VLOOKUP(D560,'[7]Vinculación Univ. Sociedad'!$E:$F,2,FALSE),IFERROR(VLOOKUP(D560,'[7]Docencia y Recursos Humanos '!$E:$F,2,FALSE),IFERROR(VLOOKUP(D560,[7]Estudiantes!$E:$F,2,FALSE),IFERROR(VLOOKUP(D560,'[7]Gestion Administrativa'!$E:$F,2,FALSE),IFERROR(VLOOKUP(D560,'[7]Gestion Academica'!$E:$F,2,FALSE),IFERROR(VLOOKUP(D560,[7]Graduados!$E:$F,2,FALSE),IFERROR(VLOOKUP(D560,'[7]Gestión del Conocimiento'!$E:$F,2,FALSE),IFERROR(VLOOKUP(D560,[7]Gobernabilidad!$E:$F,2,FALSE),IFERROR(VLOOKUP(D560,'[7]NIVEL DE ES Y  SISTEMA NACIONAL'!$E:$F,2,FALSE),VLOOKUP(D560,'[7]Lo Esencial'!$E:$F,2,0))))))))))))</f>
        <v>a.1 Implementar cursos de capacitacion para todo el personal  Docente.</v>
      </c>
      <c r="D561" s="31"/>
      <c r="E561" s="103"/>
      <c r="F561" s="103"/>
      <c r="G561" s="103"/>
      <c r="H561" s="84"/>
      <c r="I561" s="84"/>
      <c r="J561" s="84"/>
      <c r="K561" s="122"/>
    </row>
    <row r="562" spans="3:12" ht="15.75" thickBot="1" x14ac:dyDescent="0.3">
      <c r="C562" s="69"/>
      <c r="D562" s="31"/>
      <c r="E562" s="103"/>
      <c r="F562" s="103"/>
      <c r="G562" s="103"/>
      <c r="H562" s="84"/>
      <c r="I562" s="84"/>
      <c r="J562" s="84"/>
      <c r="K562" s="122"/>
    </row>
    <row r="563" spans="3:12" ht="30.75" thickBot="1" x14ac:dyDescent="0.3">
      <c r="C563" s="136" t="s">
        <v>44</v>
      </c>
      <c r="D563" s="139" t="s">
        <v>45</v>
      </c>
      <c r="E563" s="138" t="s">
        <v>55</v>
      </c>
      <c r="F563" s="138" t="s">
        <v>57</v>
      </c>
      <c r="G563" s="137" t="s">
        <v>27</v>
      </c>
      <c r="H563" s="143" t="s">
        <v>208</v>
      </c>
      <c r="I563" s="138" t="s">
        <v>46</v>
      </c>
      <c r="J563" s="138" t="s">
        <v>209</v>
      </c>
      <c r="K563" s="138" t="s">
        <v>491</v>
      </c>
      <c r="L563" s="138" t="s">
        <v>492</v>
      </c>
    </row>
    <row r="564" spans="3:12" x14ac:dyDescent="0.25">
      <c r="C564" s="105" t="s">
        <v>47</v>
      </c>
      <c r="D564" s="789">
        <v>30</v>
      </c>
      <c r="E564" s="168">
        <v>2</v>
      </c>
      <c r="F564" s="125">
        <v>10000</v>
      </c>
      <c r="G564" s="107">
        <f t="shared" ref="G564:G572" si="43">E564*F564</f>
        <v>20000</v>
      </c>
      <c r="H564" s="171" t="s">
        <v>206</v>
      </c>
      <c r="I564" s="623" t="s">
        <v>369</v>
      </c>
      <c r="J564" s="108" t="str">
        <f>VLOOKUP(I564,[7]Presupuesto!$B$8:$C$584,2,0)</f>
        <v>SERVICIOS TECNICOS Y PROFESIONALES DE CAPAC. (24500-00)</v>
      </c>
      <c r="K564" s="231" t="s">
        <v>202</v>
      </c>
      <c r="L564" s="108" t="s">
        <v>478</v>
      </c>
    </row>
    <row r="565" spans="3:12" x14ac:dyDescent="0.25">
      <c r="C565" s="577" t="s">
        <v>48</v>
      </c>
      <c r="D565" s="790"/>
      <c r="E565" s="578">
        <v>60</v>
      </c>
      <c r="F565" s="579">
        <v>50</v>
      </c>
      <c r="G565" s="107">
        <f t="shared" si="43"/>
        <v>3000</v>
      </c>
      <c r="H565" s="171" t="s">
        <v>206</v>
      </c>
      <c r="I565" s="623" t="s">
        <v>1024</v>
      </c>
      <c r="J565" s="108" t="str">
        <f>VLOOKUP(I565,[7]Presupuesto!$B$8:$C$584,2,0)</f>
        <v>PRODUCTOS DE ARTES GRAFICAS</v>
      </c>
      <c r="K565" s="108" t="str">
        <f>$K$17</f>
        <v>Estudiantes</v>
      </c>
      <c r="L565" s="108" t="s">
        <v>480</v>
      </c>
    </row>
    <row r="566" spans="3:12" x14ac:dyDescent="0.25">
      <c r="C566" s="577" t="s">
        <v>49</v>
      </c>
      <c r="D566" s="790"/>
      <c r="E566" s="578">
        <v>120</v>
      </c>
      <c r="F566" s="579">
        <v>90</v>
      </c>
      <c r="G566" s="107">
        <f t="shared" si="43"/>
        <v>10800</v>
      </c>
      <c r="H566" s="171" t="s">
        <v>206</v>
      </c>
      <c r="I566" s="108" t="s">
        <v>997</v>
      </c>
      <c r="J566" s="108" t="str">
        <f>VLOOKUP(I566,[7]Presupuesto!$B$8:$C$584,2,0)</f>
        <v>ALIMENTOS B EBIDAS PARA PERSONAS</v>
      </c>
      <c r="K566" s="108" t="str">
        <f t="shared" ref="K566:K573" si="44">$K$17</f>
        <v>Estudiantes</v>
      </c>
      <c r="L566" s="108"/>
    </row>
    <row r="567" spans="3:12" x14ac:dyDescent="0.25">
      <c r="C567" s="577" t="s">
        <v>50</v>
      </c>
      <c r="D567" s="790"/>
      <c r="E567" s="580">
        <v>4</v>
      </c>
      <c r="F567" s="581">
        <v>550</v>
      </c>
      <c r="G567" s="107">
        <f t="shared" si="43"/>
        <v>2200</v>
      </c>
      <c r="H567" s="171" t="s">
        <v>206</v>
      </c>
      <c r="I567" s="623" t="s">
        <v>385</v>
      </c>
      <c r="J567" s="108" t="str">
        <f>VLOOKUP(I567,[7]Presupuesto!$B$8:$C$584,2,0)</f>
        <v>PASAJES NACIONALES (26110-00)</v>
      </c>
      <c r="K567" s="108" t="str">
        <f t="shared" si="44"/>
        <v>Estudiantes</v>
      </c>
      <c r="L567" s="108"/>
    </row>
    <row r="568" spans="3:12" x14ac:dyDescent="0.25">
      <c r="C568" s="577" t="s">
        <v>501</v>
      </c>
      <c r="D568" s="790"/>
      <c r="E568" s="580">
        <v>60</v>
      </c>
      <c r="F568" s="581">
        <v>150</v>
      </c>
      <c r="G568" s="107">
        <f t="shared" si="43"/>
        <v>9000</v>
      </c>
      <c r="H568" s="171" t="s">
        <v>206</v>
      </c>
      <c r="I568" s="623" t="s">
        <v>1024</v>
      </c>
      <c r="J568" s="108" t="str">
        <f>VLOOKUP(I568,[7]Presupuesto!$B$8:$C$584,2,0)</f>
        <v>PRODUCTOS DE ARTES GRAFICAS</v>
      </c>
      <c r="K568" s="108" t="str">
        <f t="shared" si="44"/>
        <v>Estudiantes</v>
      </c>
      <c r="L568" s="108"/>
    </row>
    <row r="569" spans="3:12" x14ac:dyDescent="0.25">
      <c r="C569" s="577" t="s">
        <v>51</v>
      </c>
      <c r="D569" s="790"/>
      <c r="E569" s="578">
        <v>180</v>
      </c>
      <c r="F569" s="579">
        <v>1</v>
      </c>
      <c r="G569" s="107">
        <f t="shared" si="43"/>
        <v>180</v>
      </c>
      <c r="H569" s="171" t="s">
        <v>206</v>
      </c>
      <c r="I569" s="623" t="s">
        <v>1020</v>
      </c>
      <c r="J569" s="108" t="str">
        <f>VLOOKUP(I569,[7]Presupuesto!$B$8:$C$584,2,0)</f>
        <v>PAPEL DE ESCRITORIO</v>
      </c>
      <c r="K569" s="108" t="str">
        <f t="shared" si="44"/>
        <v>Estudiantes</v>
      </c>
      <c r="L569" s="108"/>
    </row>
    <row r="570" spans="3:12" x14ac:dyDescent="0.25">
      <c r="C570" s="577" t="s">
        <v>189</v>
      </c>
      <c r="D570" s="790"/>
      <c r="E570" s="578">
        <v>60</v>
      </c>
      <c r="F570" s="579">
        <v>10</v>
      </c>
      <c r="G570" s="107">
        <f t="shared" si="43"/>
        <v>600</v>
      </c>
      <c r="H570" s="171" t="s">
        <v>206</v>
      </c>
      <c r="I570" s="108" t="s">
        <v>1540</v>
      </c>
      <c r="J570" s="108" t="str">
        <f>VLOOKUP(I570,[7]Presupuesto!$B$8:$C$584,2,0)</f>
        <v>OTROS INTERESES</v>
      </c>
      <c r="K570" s="108" t="str">
        <f t="shared" si="44"/>
        <v>Estudiantes</v>
      </c>
      <c r="L570" s="108"/>
    </row>
    <row r="571" spans="3:12" x14ac:dyDescent="0.25">
      <c r="C571" s="577" t="s">
        <v>34</v>
      </c>
      <c r="D571" s="790"/>
      <c r="E571" s="578"/>
      <c r="F571" s="579"/>
      <c r="G571" s="107">
        <f t="shared" si="43"/>
        <v>0</v>
      </c>
      <c r="H571" s="171"/>
      <c r="I571" s="108"/>
      <c r="J571" s="108" t="e">
        <f>VLOOKUP(I571,[7]Presupuesto!$B$8:$C$584,2,0)</f>
        <v>#N/A</v>
      </c>
      <c r="K571" s="108" t="str">
        <f t="shared" si="44"/>
        <v>Estudiantes</v>
      </c>
      <c r="L571" s="108"/>
    </row>
    <row r="572" spans="3:12" x14ac:dyDescent="0.25">
      <c r="C572" s="582" t="s">
        <v>52</v>
      </c>
      <c r="D572" s="790"/>
      <c r="E572" s="583"/>
      <c r="F572" s="584"/>
      <c r="G572" s="107">
        <f t="shared" si="43"/>
        <v>0</v>
      </c>
      <c r="H572" s="171"/>
      <c r="I572" s="108"/>
      <c r="J572" s="108" t="e">
        <f>VLOOKUP(I572,[7]Presupuesto!$B$8:$C$584,2,0)</f>
        <v>#N/A</v>
      </c>
      <c r="K572" s="108" t="str">
        <f t="shared" si="44"/>
        <v>Estudiantes</v>
      </c>
      <c r="L572" s="108"/>
    </row>
    <row r="573" spans="3:12" ht="15.75" thickBot="1" x14ac:dyDescent="0.3">
      <c r="C573" s="585"/>
      <c r="D573" s="229">
        <v>0</v>
      </c>
      <c r="E573" s="586">
        <v>0</v>
      </c>
      <c r="F573" s="587">
        <f>SUM(F564:F572)</f>
        <v>10851</v>
      </c>
      <c r="G573" s="588">
        <f>D573*E573*F573</f>
        <v>0</v>
      </c>
      <c r="H573" s="171"/>
      <c r="I573" s="108"/>
      <c r="J573" s="589" t="e">
        <f>VLOOKUP(I573,[7]Presupuesto!$B$8:$C$584,2,0)</f>
        <v>#N/A</v>
      </c>
      <c r="K573" s="108" t="str">
        <f t="shared" si="44"/>
        <v>Estudiantes</v>
      </c>
      <c r="L573" s="108"/>
    </row>
    <row r="575" spans="3:12" ht="15.75" thickBot="1" x14ac:dyDescent="0.3"/>
    <row r="576" spans="3:12" ht="15.75" thickBot="1" x14ac:dyDescent="0.3">
      <c r="C576" s="29" t="s">
        <v>43</v>
      </c>
      <c r="D576" s="30">
        <f>SUM(G583:G592)</f>
        <v>22740</v>
      </c>
      <c r="E576" s="103"/>
      <c r="F576" s="103"/>
      <c r="G576" s="103"/>
      <c r="H576" s="84"/>
      <c r="I576" s="84"/>
      <c r="J576" s="84"/>
      <c r="K576" s="122"/>
    </row>
    <row r="577" spans="3:12" x14ac:dyDescent="0.25">
      <c r="C577" s="69"/>
      <c r="D577" s="31"/>
      <c r="E577" s="103"/>
      <c r="F577" s="103"/>
      <c r="G577" s="103"/>
      <c r="H577" s="84"/>
      <c r="I577" s="84"/>
      <c r="J577" s="84"/>
      <c r="K577" s="122"/>
    </row>
    <row r="578" spans="3:12" x14ac:dyDescent="0.25">
      <c r="C578" s="69"/>
      <c r="D578" s="31"/>
      <c r="E578" s="103"/>
      <c r="F578" s="103"/>
      <c r="G578" s="103"/>
      <c r="H578" s="84"/>
      <c r="I578" s="84"/>
      <c r="J578" s="84"/>
      <c r="K578" s="122"/>
    </row>
    <row r="579" spans="3:12" ht="15.75" x14ac:dyDescent="0.25">
      <c r="C579" s="217" t="s">
        <v>471</v>
      </c>
      <c r="D579" s="218" t="s">
        <v>1639</v>
      </c>
      <c r="E579" s="103"/>
      <c r="F579" s="103"/>
      <c r="G579" s="103"/>
      <c r="H579" s="84"/>
      <c r="I579" s="84"/>
      <c r="J579" s="84"/>
      <c r="K579" s="122"/>
    </row>
    <row r="580" spans="3:12" ht="18.75" x14ac:dyDescent="0.25">
      <c r="C580" s="220" t="str">
        <f>IFERROR(VLOOKUP(D579,'[7]Desarrollo Curricular'!$E:$F,2,FALSE),IFERROR(VLOOKUP(D579,[7]Investigación!$E:$F,2,FALSE),IFERROR(VLOOKUP(D579,'[7]Vinculación Univ. Sociedad'!$E:$F,2,FALSE),IFERROR(VLOOKUP(D579,'[7]Docencia y Recursos Humanos '!$E:$F,2,FALSE),IFERROR(VLOOKUP(D579,[7]Estudiantes!$E:$F,2,FALSE),IFERROR(VLOOKUP(D579,'[7]Gestion Administrativa'!$E:$F,2,FALSE),IFERROR(VLOOKUP(D579,'[7]Gestion Academica'!$E:$F,2,FALSE),IFERROR(VLOOKUP(D579,[7]Graduados!$E:$F,2,FALSE),IFERROR(VLOOKUP(D579,'[7]Gestión del Conocimiento'!$E:$F,2,FALSE),IFERROR(VLOOKUP(D579,[7]Gobernabilidad!$E:$F,2,FALSE),IFERROR(VLOOKUP(D579,'[7]NIVEL DE ES Y  SISTEMA NACIONAL'!$E:$F,2,FALSE),VLOOKUP(D579,'[7]Lo Esencial'!$E:$F,2,0))))))))))))</f>
        <v>a.2capacitar a los docentes del departamento en gestion y ejecucion de proyectos de vinculacion UNAHVS- sociedad</v>
      </c>
      <c r="D580" s="31"/>
      <c r="E580" s="103"/>
      <c r="F580" s="103"/>
      <c r="G580" s="103"/>
      <c r="H580" s="84"/>
      <c r="I580" s="84"/>
      <c r="J580" s="84"/>
      <c r="K580" s="122"/>
    </row>
    <row r="581" spans="3:12" ht="15.75" thickBot="1" x14ac:dyDescent="0.3">
      <c r="C581" s="69"/>
      <c r="D581" s="31"/>
      <c r="E581" s="103"/>
      <c r="F581" s="103"/>
      <c r="G581" s="103"/>
      <c r="H581" s="84"/>
      <c r="I581" s="84"/>
      <c r="J581" s="84"/>
      <c r="K581" s="122"/>
    </row>
    <row r="582" spans="3:12" ht="30.75" thickBot="1" x14ac:dyDescent="0.3">
      <c r="C582" s="136" t="s">
        <v>44</v>
      </c>
      <c r="D582" s="139" t="s">
        <v>45</v>
      </c>
      <c r="E582" s="138" t="s">
        <v>55</v>
      </c>
      <c r="F582" s="138" t="s">
        <v>57</v>
      </c>
      <c r="G582" s="137" t="s">
        <v>27</v>
      </c>
      <c r="H582" s="143" t="s">
        <v>208</v>
      </c>
      <c r="I582" s="138" t="s">
        <v>46</v>
      </c>
      <c r="J582" s="138" t="s">
        <v>209</v>
      </c>
      <c r="K582" s="138" t="s">
        <v>491</v>
      </c>
      <c r="L582" s="138" t="s">
        <v>492</v>
      </c>
    </row>
    <row r="583" spans="3:12" x14ac:dyDescent="0.25">
      <c r="C583" s="105" t="s">
        <v>47</v>
      </c>
      <c r="D583" s="789">
        <v>30</v>
      </c>
      <c r="E583" s="168">
        <v>1</v>
      </c>
      <c r="F583" s="125">
        <v>10000</v>
      </c>
      <c r="G583" s="107">
        <f t="shared" ref="G583:G591" si="45">E583*F583</f>
        <v>10000</v>
      </c>
      <c r="H583" s="171" t="s">
        <v>206</v>
      </c>
      <c r="I583" s="623" t="s">
        <v>369</v>
      </c>
      <c r="J583" s="108" t="str">
        <f>VLOOKUP(I583,[7]Presupuesto!$B$8:$C$584,2,0)</f>
        <v>SERVICIOS TECNICOS Y PROFESIONALES DE CAPAC. (24500-00)</v>
      </c>
      <c r="K583" s="231" t="s">
        <v>558</v>
      </c>
      <c r="L583" s="108" t="s">
        <v>477</v>
      </c>
    </row>
    <row r="584" spans="3:12" x14ac:dyDescent="0.25">
      <c r="C584" s="577" t="s">
        <v>48</v>
      </c>
      <c r="D584" s="790"/>
      <c r="E584" s="578">
        <v>30</v>
      </c>
      <c r="F584" s="579">
        <v>50</v>
      </c>
      <c r="G584" s="107">
        <f t="shared" si="45"/>
        <v>1500</v>
      </c>
      <c r="H584" s="171" t="s">
        <v>206</v>
      </c>
      <c r="I584" s="623" t="s">
        <v>1024</v>
      </c>
      <c r="J584" s="108" t="str">
        <f>VLOOKUP(I584,[7]Presupuesto!$B$8:$C$584,2,0)</f>
        <v>PRODUCTOS DE ARTES GRAFICAS</v>
      </c>
      <c r="K584" s="108" t="s">
        <v>558</v>
      </c>
      <c r="L584" s="108"/>
    </row>
    <row r="585" spans="3:12" x14ac:dyDescent="0.25">
      <c r="C585" s="577" t="s">
        <v>49</v>
      </c>
      <c r="D585" s="790"/>
      <c r="E585" s="578">
        <v>60</v>
      </c>
      <c r="F585" s="579">
        <v>90</v>
      </c>
      <c r="G585" s="107">
        <f t="shared" si="45"/>
        <v>5400</v>
      </c>
      <c r="H585" s="171" t="s">
        <v>206</v>
      </c>
      <c r="I585" s="108" t="s">
        <v>997</v>
      </c>
      <c r="J585" s="108" t="str">
        <f>VLOOKUP(I585,[7]Presupuesto!$B$8:$C$584,2,0)</f>
        <v>ALIMENTOS B EBIDAS PARA PERSONAS</v>
      </c>
      <c r="K585" s="108" t="s">
        <v>558</v>
      </c>
      <c r="L585" s="108"/>
    </row>
    <row r="586" spans="3:12" x14ac:dyDescent="0.25">
      <c r="C586" s="577" t="s">
        <v>50</v>
      </c>
      <c r="D586" s="790"/>
      <c r="E586" s="580">
        <v>2</v>
      </c>
      <c r="F586" s="581">
        <v>550</v>
      </c>
      <c r="G586" s="107">
        <f t="shared" si="45"/>
        <v>1100</v>
      </c>
      <c r="H586" s="171" t="s">
        <v>206</v>
      </c>
      <c r="I586" s="623" t="s">
        <v>385</v>
      </c>
      <c r="J586" s="108" t="str">
        <f>VLOOKUP(I586,[7]Presupuesto!$B$8:$C$584,2,0)</f>
        <v>PASAJES NACIONALES (26110-00)</v>
      </c>
      <c r="K586" s="108" t="s">
        <v>558</v>
      </c>
      <c r="L586" s="108"/>
    </row>
    <row r="587" spans="3:12" x14ac:dyDescent="0.25">
      <c r="C587" s="577" t="s">
        <v>501</v>
      </c>
      <c r="D587" s="790"/>
      <c r="E587" s="580">
        <v>30</v>
      </c>
      <c r="F587" s="581">
        <v>150</v>
      </c>
      <c r="G587" s="107">
        <f t="shared" si="45"/>
        <v>4500</v>
      </c>
      <c r="H587" s="171" t="s">
        <v>206</v>
      </c>
      <c r="I587" s="623" t="s">
        <v>1024</v>
      </c>
      <c r="J587" s="108" t="str">
        <f>VLOOKUP(I587,[7]Presupuesto!$B$8:$C$584,2,0)</f>
        <v>PRODUCTOS DE ARTES GRAFICAS</v>
      </c>
      <c r="K587" s="108" t="s">
        <v>558</v>
      </c>
      <c r="L587" s="108"/>
    </row>
    <row r="588" spans="3:12" x14ac:dyDescent="0.25">
      <c r="C588" s="577" t="s">
        <v>51</v>
      </c>
      <c r="D588" s="790"/>
      <c r="E588" s="578">
        <v>90</v>
      </c>
      <c r="F588" s="579">
        <v>1</v>
      </c>
      <c r="G588" s="107">
        <f t="shared" si="45"/>
        <v>90</v>
      </c>
      <c r="H588" s="171" t="s">
        <v>206</v>
      </c>
      <c r="I588" s="623" t="s">
        <v>1020</v>
      </c>
      <c r="J588" s="108" t="str">
        <f>VLOOKUP(I588,[7]Presupuesto!$B$8:$C$584,2,0)</f>
        <v>PAPEL DE ESCRITORIO</v>
      </c>
      <c r="K588" s="108" t="s">
        <v>558</v>
      </c>
      <c r="L588" s="108"/>
    </row>
    <row r="589" spans="3:12" x14ac:dyDescent="0.25">
      <c r="C589" s="577" t="s">
        <v>189</v>
      </c>
      <c r="D589" s="790"/>
      <c r="E589" s="578">
        <v>30</v>
      </c>
      <c r="F589" s="579">
        <v>5</v>
      </c>
      <c r="G589" s="107">
        <f t="shared" si="45"/>
        <v>150</v>
      </c>
      <c r="H589" s="171" t="s">
        <v>206</v>
      </c>
      <c r="I589" s="108" t="s">
        <v>1540</v>
      </c>
      <c r="J589" s="108" t="str">
        <f>VLOOKUP(I589,[7]Presupuesto!$B$8:$C$584,2,0)</f>
        <v>OTROS INTERESES</v>
      </c>
      <c r="K589" s="108" t="s">
        <v>558</v>
      </c>
      <c r="L589" s="108"/>
    </row>
    <row r="590" spans="3:12" x14ac:dyDescent="0.25">
      <c r="C590" s="577" t="s">
        <v>34</v>
      </c>
      <c r="D590" s="790"/>
      <c r="E590" s="578"/>
      <c r="F590" s="579"/>
      <c r="G590" s="107">
        <f t="shared" si="45"/>
        <v>0</v>
      </c>
      <c r="H590" s="171"/>
      <c r="I590" s="108"/>
      <c r="J590" s="108"/>
      <c r="K590" s="108"/>
      <c r="L590" s="108"/>
    </row>
    <row r="591" spans="3:12" x14ac:dyDescent="0.25">
      <c r="C591" s="582" t="s">
        <v>52</v>
      </c>
      <c r="D591" s="790"/>
      <c r="E591" s="583"/>
      <c r="F591" s="584"/>
      <c r="G591" s="107">
        <f t="shared" si="45"/>
        <v>0</v>
      </c>
      <c r="H591" s="171"/>
      <c r="I591" s="108"/>
      <c r="J591" s="108"/>
      <c r="K591" s="108"/>
      <c r="L591" s="108"/>
    </row>
    <row r="592" spans="3:12" ht="15.75" thickBot="1" x14ac:dyDescent="0.3">
      <c r="C592" s="585" t="s">
        <v>514</v>
      </c>
      <c r="D592" s="229">
        <v>0</v>
      </c>
      <c r="E592" s="586">
        <v>0</v>
      </c>
      <c r="F592" s="587"/>
      <c r="G592" s="588">
        <f>D592*E592*F592</f>
        <v>0</v>
      </c>
      <c r="H592" s="171"/>
      <c r="I592" s="108"/>
      <c r="J592" s="589"/>
      <c r="K592" s="108"/>
      <c r="L592" s="108"/>
    </row>
    <row r="593" spans="3:12" ht="15.75" thickBot="1" x14ac:dyDescent="0.3"/>
    <row r="594" spans="3:12" ht="15.75" thickBot="1" x14ac:dyDescent="0.3">
      <c r="C594" s="29" t="s">
        <v>43</v>
      </c>
      <c r="D594" s="30">
        <f>SUM(G601:G610)</f>
        <v>22740</v>
      </c>
      <c r="E594" s="103"/>
      <c r="F594" s="103"/>
      <c r="G594" s="103"/>
      <c r="H594" s="84"/>
      <c r="I594" s="84"/>
      <c r="J594" s="84"/>
      <c r="K594" s="122"/>
    </row>
    <row r="595" spans="3:12" x14ac:dyDescent="0.25">
      <c r="C595" s="69"/>
      <c r="D595" s="31"/>
      <c r="E595" s="103"/>
      <c r="F595" s="103"/>
      <c r="G595" s="103"/>
      <c r="H595" s="84"/>
      <c r="I595" s="84"/>
      <c r="J595" s="84"/>
      <c r="K595" s="122"/>
    </row>
    <row r="596" spans="3:12" x14ac:dyDescent="0.25">
      <c r="C596" s="69"/>
      <c r="D596" s="31"/>
      <c r="E596" s="103"/>
      <c r="F596" s="103"/>
      <c r="G596" s="103"/>
      <c r="H596" s="84"/>
      <c r="I596" s="84"/>
      <c r="J596" s="84"/>
      <c r="K596" s="122"/>
    </row>
    <row r="597" spans="3:12" ht="15.75" x14ac:dyDescent="0.25">
      <c r="C597" s="217" t="s">
        <v>471</v>
      </c>
      <c r="D597" s="218" t="s">
        <v>1695</v>
      </c>
      <c r="E597" s="103"/>
      <c r="F597" s="103"/>
      <c r="G597" s="103"/>
      <c r="H597" s="84"/>
      <c r="I597" s="84"/>
      <c r="J597" s="84"/>
      <c r="K597" s="122"/>
    </row>
    <row r="598" spans="3:12" ht="18.75" x14ac:dyDescent="0.25">
      <c r="C598" s="220" t="str">
        <f>IFERROR(VLOOKUP(D597,'[7]Desarrollo Curricular'!$E:$F,2,FALSE),IFERROR(VLOOKUP(D597,[7]Investigación!$E:$F,2,FALSE),IFERROR(VLOOKUP(D597,'[7]Vinculación Univ. Sociedad'!$E:$F,2,FALSE),IFERROR(VLOOKUP(D597,'[7]Docencia y Recursos Humanos '!$E:$F,2,FALSE),IFERROR(VLOOKUP(D597,[7]Estudiantes!$E:$F,2,FALSE),IFERROR(VLOOKUP(D597,'[7]Gestion Administrativa'!$E:$F,2,FALSE),IFERROR(VLOOKUP(D597,'[7]Gestion Academica'!$E:$F,2,FALSE),IFERROR(VLOOKUP(D597,[7]Graduados!$E:$F,2,FALSE),IFERROR(VLOOKUP(D597,'[7]Gestión del Conocimiento'!$E:$F,2,FALSE),IFERROR(VLOOKUP(D597,[7]Gobernabilidad!$E:$F,2,FALSE),IFERROR(VLOOKUP(D597,'[7]NIVEL DE ES Y  SISTEMA NACIONAL'!$E:$F,2,FALSE),VLOOKUP(D597,'[7]Lo Esencial'!$E:$F,2,0))))))))))))</f>
        <v>b.2 Capacitar a los docentes en el nuevo modelo educativo</v>
      </c>
      <c r="D598" s="31"/>
      <c r="E598" s="103"/>
      <c r="F598" s="103"/>
      <c r="G598" s="103"/>
      <c r="H598" s="84"/>
      <c r="I598" s="84"/>
      <c r="J598" s="84"/>
      <c r="K598" s="122"/>
    </row>
    <row r="599" spans="3:12" ht="15.75" thickBot="1" x14ac:dyDescent="0.3">
      <c r="C599" s="69"/>
      <c r="D599" s="31"/>
      <c r="E599" s="103"/>
      <c r="F599" s="103"/>
      <c r="G599" s="103"/>
      <c r="H599" s="84"/>
      <c r="I599" s="84"/>
      <c r="J599" s="84"/>
      <c r="K599" s="122"/>
    </row>
    <row r="600" spans="3:12" ht="30.75" thickBot="1" x14ac:dyDescent="0.3">
      <c r="C600" s="136" t="s">
        <v>44</v>
      </c>
      <c r="D600" s="139" t="s">
        <v>45</v>
      </c>
      <c r="E600" s="138" t="s">
        <v>55</v>
      </c>
      <c r="F600" s="138" t="s">
        <v>57</v>
      </c>
      <c r="G600" s="137" t="s">
        <v>27</v>
      </c>
      <c r="H600" s="143" t="s">
        <v>208</v>
      </c>
      <c r="I600" s="138" t="s">
        <v>46</v>
      </c>
      <c r="J600" s="138" t="s">
        <v>209</v>
      </c>
      <c r="K600" s="138" t="s">
        <v>491</v>
      </c>
      <c r="L600" s="138" t="s">
        <v>492</v>
      </c>
    </row>
    <row r="601" spans="3:12" x14ac:dyDescent="0.25">
      <c r="C601" s="105" t="s">
        <v>47</v>
      </c>
      <c r="D601" s="789">
        <v>30</v>
      </c>
      <c r="E601" s="168">
        <v>1</v>
      </c>
      <c r="F601" s="125">
        <v>10000</v>
      </c>
      <c r="G601" s="107">
        <f t="shared" ref="G601:G609" si="46">E601*F601</f>
        <v>10000</v>
      </c>
      <c r="H601" s="171" t="s">
        <v>206</v>
      </c>
      <c r="I601" s="623" t="s">
        <v>369</v>
      </c>
      <c r="J601" s="108" t="str">
        <f>VLOOKUP(I601,[7]Presupuesto!$B$8:$C$584,2,0)</f>
        <v>SERVICIOS TECNICOS Y PROFESIONALES DE CAPAC. (24500-00)</v>
      </c>
      <c r="K601" s="231" t="s">
        <v>201</v>
      </c>
      <c r="L601" s="108" t="s">
        <v>480</v>
      </c>
    </row>
    <row r="602" spans="3:12" x14ac:dyDescent="0.25">
      <c r="C602" s="577" t="s">
        <v>48</v>
      </c>
      <c r="D602" s="790"/>
      <c r="E602" s="578">
        <v>30</v>
      </c>
      <c r="F602" s="579">
        <v>50</v>
      </c>
      <c r="G602" s="107">
        <f t="shared" si="46"/>
        <v>1500</v>
      </c>
      <c r="H602" s="171" t="s">
        <v>206</v>
      </c>
      <c r="I602" s="623" t="s">
        <v>1024</v>
      </c>
      <c r="J602" s="108" t="str">
        <f>VLOOKUP(I602,[7]Presupuesto!$B$8:$C$584,2,0)</f>
        <v>PRODUCTOS DE ARTES GRAFICAS</v>
      </c>
      <c r="K602" s="108" t="s">
        <v>201</v>
      </c>
      <c r="L602" s="108"/>
    </row>
    <row r="603" spans="3:12" x14ac:dyDescent="0.25">
      <c r="C603" s="577" t="s">
        <v>49</v>
      </c>
      <c r="D603" s="790"/>
      <c r="E603" s="578">
        <v>60</v>
      </c>
      <c r="F603" s="579">
        <v>90</v>
      </c>
      <c r="G603" s="107">
        <f t="shared" si="46"/>
        <v>5400</v>
      </c>
      <c r="H603" s="171" t="s">
        <v>206</v>
      </c>
      <c r="I603" s="108" t="s">
        <v>997</v>
      </c>
      <c r="J603" s="108" t="str">
        <f>VLOOKUP(I603,[7]Presupuesto!$B$8:$C$584,2,0)</f>
        <v>ALIMENTOS B EBIDAS PARA PERSONAS</v>
      </c>
      <c r="K603" s="108" t="s">
        <v>201</v>
      </c>
      <c r="L603" s="108"/>
    </row>
    <row r="604" spans="3:12" x14ac:dyDescent="0.25">
      <c r="C604" s="577" t="s">
        <v>50</v>
      </c>
      <c r="D604" s="790"/>
      <c r="E604" s="580">
        <v>2</v>
      </c>
      <c r="F604" s="581">
        <v>550</v>
      </c>
      <c r="G604" s="107">
        <f t="shared" si="46"/>
        <v>1100</v>
      </c>
      <c r="H604" s="171" t="s">
        <v>206</v>
      </c>
      <c r="I604" s="623" t="s">
        <v>385</v>
      </c>
      <c r="J604" s="108" t="str">
        <f>VLOOKUP(I604,[7]Presupuesto!$B$8:$C$584,2,0)</f>
        <v>PASAJES NACIONALES (26110-00)</v>
      </c>
      <c r="K604" s="108" t="s">
        <v>201</v>
      </c>
      <c r="L604" s="108"/>
    </row>
    <row r="605" spans="3:12" x14ac:dyDescent="0.25">
      <c r="C605" s="577" t="s">
        <v>501</v>
      </c>
      <c r="D605" s="790"/>
      <c r="E605" s="580">
        <v>30</v>
      </c>
      <c r="F605" s="581">
        <v>150</v>
      </c>
      <c r="G605" s="107">
        <f t="shared" si="46"/>
        <v>4500</v>
      </c>
      <c r="H605" s="171" t="s">
        <v>206</v>
      </c>
      <c r="I605" s="623" t="s">
        <v>1024</v>
      </c>
      <c r="J605" s="108" t="str">
        <f>VLOOKUP(I605,[7]Presupuesto!$B$8:$C$584,2,0)</f>
        <v>PRODUCTOS DE ARTES GRAFICAS</v>
      </c>
      <c r="K605" s="108" t="s">
        <v>201</v>
      </c>
      <c r="L605" s="108"/>
    </row>
    <row r="606" spans="3:12" x14ac:dyDescent="0.25">
      <c r="C606" s="577" t="s">
        <v>51</v>
      </c>
      <c r="D606" s="790"/>
      <c r="E606" s="578">
        <v>90</v>
      </c>
      <c r="F606" s="579">
        <v>1</v>
      </c>
      <c r="G606" s="107">
        <f t="shared" si="46"/>
        <v>90</v>
      </c>
      <c r="H606" s="171" t="s">
        <v>206</v>
      </c>
      <c r="I606" s="623" t="s">
        <v>1020</v>
      </c>
      <c r="J606" s="108" t="str">
        <f>VLOOKUP(I606,[7]Presupuesto!$B$8:$C$584,2,0)</f>
        <v>PAPEL DE ESCRITORIO</v>
      </c>
      <c r="K606" s="108" t="s">
        <v>201</v>
      </c>
      <c r="L606" s="108"/>
    </row>
    <row r="607" spans="3:12" x14ac:dyDescent="0.25">
      <c r="C607" s="577" t="s">
        <v>189</v>
      </c>
      <c r="D607" s="790"/>
      <c r="E607" s="578">
        <v>30</v>
      </c>
      <c r="F607" s="579">
        <v>5</v>
      </c>
      <c r="G607" s="107">
        <f t="shared" si="46"/>
        <v>150</v>
      </c>
      <c r="H607" s="171" t="s">
        <v>206</v>
      </c>
      <c r="I607" s="108" t="s">
        <v>1540</v>
      </c>
      <c r="J607" s="108" t="str">
        <f>VLOOKUP(I607,[7]Presupuesto!$B$8:$C$584,2,0)</f>
        <v>OTROS INTERESES</v>
      </c>
      <c r="K607" s="108" t="s">
        <v>201</v>
      </c>
      <c r="L607" s="108"/>
    </row>
    <row r="608" spans="3:12" x14ac:dyDescent="0.25">
      <c r="C608" s="577" t="s">
        <v>34</v>
      </c>
      <c r="D608" s="790"/>
      <c r="E608" s="578"/>
      <c r="F608" s="579"/>
      <c r="G608" s="107">
        <f t="shared" si="46"/>
        <v>0</v>
      </c>
      <c r="H608" s="171"/>
      <c r="I608" s="108"/>
      <c r="J608" s="108"/>
      <c r="K608" s="108" t="s">
        <v>201</v>
      </c>
      <c r="L608" s="108"/>
    </row>
    <row r="609" spans="3:12" x14ac:dyDescent="0.25">
      <c r="C609" s="582" t="s">
        <v>52</v>
      </c>
      <c r="D609" s="790"/>
      <c r="E609" s="583"/>
      <c r="F609" s="584"/>
      <c r="G609" s="107">
        <f t="shared" si="46"/>
        <v>0</v>
      </c>
      <c r="H609" s="171"/>
      <c r="I609" s="108"/>
      <c r="J609" s="108"/>
      <c r="K609" s="108"/>
      <c r="L609" s="108"/>
    </row>
    <row r="610" spans="3:12" ht="15.75" thickBot="1" x14ac:dyDescent="0.3">
      <c r="C610" s="585" t="s">
        <v>514</v>
      </c>
      <c r="D610" s="229">
        <v>0</v>
      </c>
      <c r="E610" s="586">
        <v>0</v>
      </c>
      <c r="F610" s="587"/>
      <c r="G610" s="588">
        <f>D610*E610*F610</f>
        <v>0</v>
      </c>
      <c r="H610" s="171"/>
      <c r="I610" s="108"/>
      <c r="J610" s="589"/>
      <c r="K610" s="108"/>
      <c r="L610" s="108"/>
    </row>
  </sheetData>
  <mergeCells count="33">
    <mergeCell ref="D564:D572"/>
    <mergeCell ref="D583:D591"/>
    <mergeCell ref="D601:D609"/>
    <mergeCell ref="D430:D438"/>
    <mergeCell ref="D440:D445"/>
    <mergeCell ref="D462:D470"/>
    <mergeCell ref="D484:D487"/>
    <mergeCell ref="D496:D502"/>
    <mergeCell ref="D513:D520"/>
    <mergeCell ref="D528:D534"/>
    <mergeCell ref="D544:D552"/>
    <mergeCell ref="D389:D397"/>
    <mergeCell ref="D408:D416"/>
    <mergeCell ref="D236:D244"/>
    <mergeCell ref="D254:D262"/>
    <mergeCell ref="D276:D284"/>
    <mergeCell ref="D370:D378"/>
    <mergeCell ref="D313:D321"/>
    <mergeCell ref="D332:D340"/>
    <mergeCell ref="D351:D359"/>
    <mergeCell ref="D294:D302"/>
    <mergeCell ref="D17:D25"/>
    <mergeCell ref="D35:D43"/>
    <mergeCell ref="D51:D59"/>
    <mergeCell ref="D69:D77"/>
    <mergeCell ref="D87:D95"/>
    <mergeCell ref="D195:D203"/>
    <mergeCell ref="D212:D220"/>
    <mergeCell ref="D105:D113"/>
    <mergeCell ref="D123:D131"/>
    <mergeCell ref="D141:D149"/>
    <mergeCell ref="D159:D167"/>
    <mergeCell ref="D177:D185"/>
  </mergeCells>
  <conditionalFormatting sqref="D426">
    <cfRule type="duplicateValues" dxfId="4" priority="2"/>
  </conditionalFormatting>
  <conditionalFormatting sqref="D458">
    <cfRule type="duplicateValues" dxfId="3" priority="1"/>
  </conditionalFormatting>
  <dataValidations count="5">
    <dataValidation type="list" allowBlank="1" showInputMessage="1" showErrorMessage="1" sqref="C471 C26 C44 C60 C78 C96 C114 C132 C150 C168 C186 C204 C221 C245 C263 C285 C303 C322 C341 C360 C379 C398 C417 C446 C439 C573 C592 C610">
      <formula1>$AH$2:$BU$2</formula1>
    </dataValidation>
    <dataValidation type="list" allowBlank="1" showInputMessage="1" showErrorMessage="1" errorTitle="¡Ingreso no valido!" error="Favor ingrese un elemento de la lista." promptTitle="Tipo de Presupuesto" prompt="Seleccione una opción de la lista." sqref="H462:H471 H17:H26 H35:H44 H51:H60 H69:H78 H87:H96 H105:H114 H123:H132 H141:H150 H159:H168 H177:H186 H195:H204 H212:H221 H236:H245 H254:H263 H276:H285 H294:H303 H313:H322 H332:H341 H351:H360 H370:H379 H389:H398 H408:H417 H430:H446 H544:H552 H496:H502 H484:H487 H513:H520 H528:H534 H564:H573 H583:H592 H601:H610">
      <formula1>$R$2:$S$2</formula1>
    </dataValidation>
    <dataValidation type="list" allowBlank="1" showInputMessage="1" showErrorMessage="1" errorTitle="¡Ingreso Inválido!" error="Seleccione una opción de la lista" promptTitle="Mes Requerido" prompt="Seleccione el mes en el que requiere el recurso." sqref="L462:L471 L17:L26 L35:L44 L51:L60 L69:L78 L87:L96 L105:L114 L123:L132 L141:L150 L159:L168 L177:L186 L195:L204 L212:L221 L236:L245 L254:L263 L276:L285 L294:L303 L313:L322 L332:L341 L351:L360 L370:L379 L389:L398 L408:L417 L430:L446 L496:L502 L544:L552 L484:L487 L513:L520 L528:L534 L564:L573 L583:L592 L601:L610">
      <formula1>$U$2:$AF$2</formula1>
    </dataValidation>
    <dataValidation type="list" allowBlank="1" showInputMessage="1" showErrorMessage="1" errorTitle="¡Ingreso Inválido!" error="Seleccione una opción de la lista." promptTitle="Dimensión Estratégica" prompt="Seleccione una opción de la lista." sqref="K462:K471 K17:K26 K35:K44 K51:K60 K69:K78 K87:K96 K105:K114 K123:K132 K141:K150 K159:K168 K177:K186 K195:K204 K212:K221 K236:K245 K254:K263 K276:K285 K294:K303 K313:K322 K332:K341 K351:K360 K370:K379 K389:K398 K408:K417 K430:K446 K544:K552 K496:K502 K484:K487 K513:K520 K528:K534 K564:K573 K583:K592 K601:K610">
      <formula1>$A$2:$K$2</formula1>
    </dataValidation>
    <dataValidation type="list" allowBlank="1" showInputMessage="1" showErrorMessage="1" errorTitle="¡Ingreso Inválido!" error="Verifique el valor ingresado._x000a_" sqref="I462:I471 I17:I26 I35:I44 I51:I60 I69:I78 I87:I96 I105:I114 I123:I132 I141:I150 I159:I168 I177:I186 I195:I204 I212:I221 I236:I245 I254:I263 I276:I285 I294:I303 I313:I322 I332:I341 I351:I360 I389:I398 I370:I379 I408:I417 I430:I446 I496:I502 I544:I552 I484:I487 I513:I520 I528:I534 I564:I573 I583:I592 I601:I610">
      <formula1>$A$1:$VD$1</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32"/>
  <sheetViews>
    <sheetView showGridLines="0" topLeftCell="B331" zoomScale="86" zoomScaleNormal="86" workbookViewId="0">
      <selection activeCell="J335" sqref="J334:J335"/>
    </sheetView>
  </sheetViews>
  <sheetFormatPr baseColWidth="10" defaultColWidth="11.5703125" defaultRowHeight="15" x14ac:dyDescent="0.25"/>
  <cols>
    <col min="1" max="1" width="5.7109375" style="95" customWidth="1"/>
    <col min="2" max="2" width="17" style="95" customWidth="1"/>
    <col min="3" max="3" width="46.85546875" style="95" bestFit="1" customWidth="1"/>
    <col min="4" max="4" width="23.7109375" style="95" bestFit="1" customWidth="1"/>
    <col min="5" max="6" width="13.85546875" style="95" customWidth="1"/>
    <col min="7" max="7" width="13.85546875" style="85" customWidth="1"/>
    <col min="8" max="8" width="12.7109375" style="95" bestFit="1" customWidth="1"/>
    <col min="9" max="9" width="58.42578125" style="95" customWidth="1"/>
    <col min="10" max="10" width="22.42578125" style="95" bestFit="1" customWidth="1"/>
    <col min="11" max="11" width="11.5703125" style="95"/>
    <col min="12" max="12" width="15" style="95" customWidth="1"/>
    <col min="13" max="16384" width="11.5703125" style="95"/>
  </cols>
  <sheetData>
    <row r="1" spans="1:576" ht="26.25" hidden="1" x14ac:dyDescent="0.25">
      <c r="A1" s="198"/>
      <c r="B1" s="201"/>
      <c r="C1" s="192" t="s">
        <v>332</v>
      </c>
      <c r="D1" s="192" t="s">
        <v>701</v>
      </c>
      <c r="E1" s="192" t="s">
        <v>703</v>
      </c>
      <c r="F1" s="192" t="s">
        <v>705</v>
      </c>
      <c r="G1" s="192" t="s">
        <v>707</v>
      </c>
      <c r="H1" s="192" t="s">
        <v>709</v>
      </c>
      <c r="I1" s="192" t="s">
        <v>711</v>
      </c>
      <c r="J1" s="192" t="s">
        <v>333</v>
      </c>
      <c r="K1" s="192" t="s">
        <v>714</v>
      </c>
      <c r="L1" s="192" t="s">
        <v>334</v>
      </c>
      <c r="M1" s="192" t="s">
        <v>716</v>
      </c>
      <c r="N1" s="192" t="s">
        <v>718</v>
      </c>
      <c r="O1" s="192" t="s">
        <v>720</v>
      </c>
      <c r="P1" s="192" t="s">
        <v>335</v>
      </c>
      <c r="Q1" s="192" t="s">
        <v>721</v>
      </c>
      <c r="R1" s="192" t="s">
        <v>724</v>
      </c>
      <c r="S1" s="192" t="s">
        <v>336</v>
      </c>
      <c r="T1" s="192" t="s">
        <v>726</v>
      </c>
      <c r="U1" s="192" t="s">
        <v>337</v>
      </c>
      <c r="V1" s="192" t="s">
        <v>727</v>
      </c>
      <c r="W1" s="192" t="s">
        <v>728</v>
      </c>
      <c r="X1" s="192" t="s">
        <v>732</v>
      </c>
      <c r="Y1" s="192" t="s">
        <v>329</v>
      </c>
      <c r="Z1" s="192" t="s">
        <v>747</v>
      </c>
      <c r="AA1" s="201"/>
      <c r="AB1" s="192" t="s">
        <v>749</v>
      </c>
      <c r="AC1" s="192" t="s">
        <v>339</v>
      </c>
      <c r="AD1" s="192" t="s">
        <v>751</v>
      </c>
      <c r="AE1" s="192" t="s">
        <v>753</v>
      </c>
      <c r="AF1" s="192" t="s">
        <v>340</v>
      </c>
      <c r="AG1" s="192" t="s">
        <v>755</v>
      </c>
      <c r="AH1" s="192" t="s">
        <v>757</v>
      </c>
      <c r="AI1" s="192" t="s">
        <v>341</v>
      </c>
      <c r="AJ1" s="192" t="s">
        <v>758</v>
      </c>
      <c r="AK1" s="192" t="s">
        <v>760</v>
      </c>
      <c r="AL1" s="192" t="s">
        <v>761</v>
      </c>
      <c r="AM1" s="192" t="s">
        <v>762</v>
      </c>
      <c r="AN1" s="192" t="s">
        <v>764</v>
      </c>
      <c r="AO1" s="192" t="s">
        <v>766</v>
      </c>
      <c r="AP1" s="192" t="s">
        <v>767</v>
      </c>
      <c r="AQ1" s="192" t="s">
        <v>342</v>
      </c>
      <c r="AR1" s="192" t="s">
        <v>769</v>
      </c>
      <c r="AS1" s="192" t="s">
        <v>771</v>
      </c>
      <c r="AT1" s="192" t="s">
        <v>773</v>
      </c>
      <c r="AU1" s="192" t="s">
        <v>775</v>
      </c>
      <c r="AV1" s="192" t="s">
        <v>777</v>
      </c>
      <c r="AW1" s="192" t="s">
        <v>779</v>
      </c>
      <c r="AX1" s="192" t="s">
        <v>781</v>
      </c>
      <c r="AY1" s="192" t="s">
        <v>783</v>
      </c>
      <c r="AZ1" s="201"/>
      <c r="BA1" s="192" t="s">
        <v>344</v>
      </c>
      <c r="BB1" s="192" t="s">
        <v>805</v>
      </c>
      <c r="BC1" s="192" t="s">
        <v>345</v>
      </c>
      <c r="BD1" s="192" t="s">
        <v>807</v>
      </c>
      <c r="BE1" s="192" t="s">
        <v>809</v>
      </c>
      <c r="BF1" s="201"/>
      <c r="BG1" s="192" t="s">
        <v>347</v>
      </c>
      <c r="BH1" s="192" t="s">
        <v>811</v>
      </c>
      <c r="BI1" s="192" t="s">
        <v>348</v>
      </c>
      <c r="BJ1" s="192" t="s">
        <v>813</v>
      </c>
      <c r="BK1" s="192" t="s">
        <v>815</v>
      </c>
      <c r="BL1" s="192" t="s">
        <v>817</v>
      </c>
      <c r="BM1" s="201"/>
      <c r="BN1" s="192" t="s">
        <v>823</v>
      </c>
      <c r="BO1" s="192" t="s">
        <v>825</v>
      </c>
      <c r="BP1" s="192" t="s">
        <v>350</v>
      </c>
      <c r="BQ1" s="192" t="s">
        <v>819</v>
      </c>
      <c r="BR1" s="192" t="s">
        <v>821</v>
      </c>
      <c r="BS1" s="192" t="s">
        <v>351</v>
      </c>
      <c r="BT1" s="192" t="s">
        <v>827</v>
      </c>
      <c r="BU1" s="192" t="s">
        <v>352</v>
      </c>
      <c r="BV1" s="192" t="s">
        <v>828</v>
      </c>
      <c r="BW1" s="189"/>
      <c r="BX1" s="201"/>
      <c r="BY1" s="192" t="s">
        <v>353</v>
      </c>
      <c r="BZ1" s="192" t="s">
        <v>733</v>
      </c>
      <c r="CA1" s="192" t="s">
        <v>735</v>
      </c>
      <c r="CB1" s="192" t="s">
        <v>737</v>
      </c>
      <c r="CC1" s="192" t="s">
        <v>354</v>
      </c>
      <c r="CD1" s="192" t="s">
        <v>739</v>
      </c>
      <c r="CE1" s="192" t="s">
        <v>741</v>
      </c>
      <c r="CF1" s="192" t="s">
        <v>743</v>
      </c>
      <c r="CG1" s="192" t="s">
        <v>745</v>
      </c>
      <c r="CH1" s="189"/>
      <c r="CI1" s="201"/>
      <c r="CJ1" s="192" t="s">
        <v>355</v>
      </c>
      <c r="CK1" s="192" t="s">
        <v>785</v>
      </c>
      <c r="CL1" s="192" t="s">
        <v>787</v>
      </c>
      <c r="CM1" s="192" t="s">
        <v>789</v>
      </c>
      <c r="CN1" s="192" t="s">
        <v>791</v>
      </c>
      <c r="CO1" s="192" t="s">
        <v>793</v>
      </c>
      <c r="CP1" s="192" t="s">
        <v>795</v>
      </c>
      <c r="CQ1" s="192" t="s">
        <v>797</v>
      </c>
      <c r="CR1" s="192" t="s">
        <v>799</v>
      </c>
      <c r="CS1" s="192" t="s">
        <v>801</v>
      </c>
      <c r="CT1" s="192" t="s">
        <v>803</v>
      </c>
      <c r="CU1" s="189"/>
      <c r="CV1" s="201"/>
      <c r="CW1" s="192" t="s">
        <v>829</v>
      </c>
      <c r="CX1" s="192" t="s">
        <v>830</v>
      </c>
      <c r="CY1" s="192" t="s">
        <v>832</v>
      </c>
      <c r="CZ1" s="192" t="s">
        <v>358</v>
      </c>
      <c r="DA1" s="192" t="s">
        <v>834</v>
      </c>
      <c r="DB1" s="192" t="s">
        <v>836</v>
      </c>
      <c r="DC1" s="192" t="s">
        <v>838</v>
      </c>
      <c r="DD1" s="192" t="s">
        <v>840</v>
      </c>
      <c r="DE1" s="192" t="s">
        <v>842</v>
      </c>
      <c r="DF1" s="192" t="s">
        <v>844</v>
      </c>
      <c r="DG1" s="201"/>
      <c r="DH1" s="192" t="s">
        <v>360</v>
      </c>
      <c r="DI1" s="192" t="s">
        <v>846</v>
      </c>
      <c r="DJ1" s="192" t="s">
        <v>361</v>
      </c>
      <c r="DK1" s="192" t="s">
        <v>848</v>
      </c>
      <c r="DL1" s="192" t="s">
        <v>850</v>
      </c>
      <c r="DM1" s="192" t="s">
        <v>852</v>
      </c>
      <c r="DN1" s="192" t="s">
        <v>854</v>
      </c>
      <c r="DO1" s="192" t="s">
        <v>856</v>
      </c>
      <c r="DP1" s="192" t="s">
        <v>858</v>
      </c>
      <c r="DQ1" s="192" t="s">
        <v>860</v>
      </c>
      <c r="DR1" s="192" t="s">
        <v>362</v>
      </c>
      <c r="DS1" s="192" t="s">
        <v>862</v>
      </c>
      <c r="DT1" s="192" t="s">
        <v>864</v>
      </c>
      <c r="DU1" s="192" t="s">
        <v>866</v>
      </c>
      <c r="DV1" s="201"/>
      <c r="DW1" s="192" t="s">
        <v>868</v>
      </c>
      <c r="DX1" s="192" t="s">
        <v>364</v>
      </c>
      <c r="DY1" s="192" t="s">
        <v>870</v>
      </c>
      <c r="DZ1" s="192" t="s">
        <v>365</v>
      </c>
      <c r="EA1" s="192" t="s">
        <v>872</v>
      </c>
      <c r="EB1" s="192" t="s">
        <v>874</v>
      </c>
      <c r="EC1" s="192" t="s">
        <v>876</v>
      </c>
      <c r="ED1" s="192" t="s">
        <v>878</v>
      </c>
      <c r="EE1" s="192" t="s">
        <v>880</v>
      </c>
      <c r="EF1" s="192" t="s">
        <v>882</v>
      </c>
      <c r="EG1" s="192" t="s">
        <v>884</v>
      </c>
      <c r="EH1" s="192" t="s">
        <v>886</v>
      </c>
      <c r="EI1" s="192" t="s">
        <v>888</v>
      </c>
      <c r="EJ1" s="192" t="s">
        <v>890</v>
      </c>
      <c r="EK1" s="192" t="s">
        <v>892</v>
      </c>
      <c r="EL1" s="201"/>
      <c r="EM1" s="192" t="s">
        <v>894</v>
      </c>
      <c r="EN1" s="192" t="s">
        <v>367</v>
      </c>
      <c r="EO1" s="192" t="s">
        <v>896</v>
      </c>
      <c r="EP1" s="192" t="s">
        <v>898</v>
      </c>
      <c r="EQ1" s="192" t="s">
        <v>368</v>
      </c>
      <c r="ER1" s="192" t="s">
        <v>900</v>
      </c>
      <c r="ES1" s="192" t="s">
        <v>902</v>
      </c>
      <c r="ET1" s="192" t="s">
        <v>369</v>
      </c>
      <c r="EU1" s="192" t="s">
        <v>904</v>
      </c>
      <c r="EV1" s="192" t="s">
        <v>906</v>
      </c>
      <c r="EW1" s="192" t="s">
        <v>908</v>
      </c>
      <c r="EX1" s="192" t="s">
        <v>370</v>
      </c>
      <c r="EY1" s="192" t="s">
        <v>910</v>
      </c>
      <c r="EZ1" s="192" t="s">
        <v>912</v>
      </c>
      <c r="FA1" s="201"/>
      <c r="FB1" s="192" t="s">
        <v>372</v>
      </c>
      <c r="FC1" s="192" t="s">
        <v>914</v>
      </c>
      <c r="FD1" s="192" t="s">
        <v>916</v>
      </c>
      <c r="FE1" s="192" t="s">
        <v>918</v>
      </c>
      <c r="FF1" s="192" t="s">
        <v>920</v>
      </c>
      <c r="FG1" s="192" t="s">
        <v>373</v>
      </c>
      <c r="FH1" s="192" t="s">
        <v>922</v>
      </c>
      <c r="FI1" s="192" t="s">
        <v>924</v>
      </c>
      <c r="FJ1" s="192" t="s">
        <v>926</v>
      </c>
      <c r="FK1" s="192" t="s">
        <v>928</v>
      </c>
      <c r="FL1" s="192" t="s">
        <v>930</v>
      </c>
      <c r="FM1" s="192" t="s">
        <v>374</v>
      </c>
      <c r="FN1" s="192" t="s">
        <v>933</v>
      </c>
      <c r="FO1" s="192" t="s">
        <v>375</v>
      </c>
      <c r="FP1" s="192" t="s">
        <v>936</v>
      </c>
      <c r="FQ1" s="192" t="s">
        <v>937</v>
      </c>
      <c r="FR1" s="192" t="s">
        <v>939</v>
      </c>
      <c r="FS1" s="192" t="s">
        <v>376</v>
      </c>
      <c r="FT1" s="192" t="s">
        <v>942</v>
      </c>
      <c r="FU1" s="192" t="s">
        <v>943</v>
      </c>
      <c r="FV1" s="192" t="s">
        <v>945</v>
      </c>
      <c r="FW1" s="192" t="s">
        <v>377</v>
      </c>
      <c r="FX1" s="192" t="s">
        <v>948</v>
      </c>
      <c r="FY1" s="192" t="s">
        <v>950</v>
      </c>
      <c r="FZ1" s="192" t="s">
        <v>952</v>
      </c>
      <c r="GA1" s="201"/>
      <c r="GB1" s="192" t="s">
        <v>379</v>
      </c>
      <c r="GC1" s="192" t="s">
        <v>380</v>
      </c>
      <c r="GD1" s="201"/>
      <c r="GE1" s="192" t="s">
        <v>382</v>
      </c>
      <c r="GF1" s="192" t="s">
        <v>975</v>
      </c>
      <c r="GG1" s="192" t="s">
        <v>977</v>
      </c>
      <c r="GH1" s="192" t="s">
        <v>979</v>
      </c>
      <c r="GI1" s="192" t="s">
        <v>981</v>
      </c>
      <c r="GJ1" s="192" t="s">
        <v>983</v>
      </c>
      <c r="GK1" s="201"/>
      <c r="GL1" s="192" t="s">
        <v>384</v>
      </c>
      <c r="GM1" s="192" t="s">
        <v>985</v>
      </c>
      <c r="GN1" s="192" t="s">
        <v>987</v>
      </c>
      <c r="GO1" s="192" t="s">
        <v>989</v>
      </c>
      <c r="GP1" s="192" t="s">
        <v>991</v>
      </c>
      <c r="GQ1" s="192" t="s">
        <v>993</v>
      </c>
      <c r="GR1" s="192" t="s">
        <v>995</v>
      </c>
      <c r="GS1" s="189"/>
      <c r="GT1" s="201"/>
      <c r="GU1" s="192" t="s">
        <v>385</v>
      </c>
      <c r="GV1" s="192" t="s">
        <v>954</v>
      </c>
      <c r="GW1" s="192" t="s">
        <v>956</v>
      </c>
      <c r="GX1" s="192" t="s">
        <v>958</v>
      </c>
      <c r="GY1" s="192" t="s">
        <v>960</v>
      </c>
      <c r="GZ1" s="192" t="s">
        <v>962</v>
      </c>
      <c r="HA1" s="192" t="s">
        <v>964</v>
      </c>
      <c r="HB1" s="201"/>
      <c r="HC1" s="192" t="s">
        <v>386</v>
      </c>
      <c r="HD1" s="192" t="s">
        <v>966</v>
      </c>
      <c r="HE1" s="192" t="s">
        <v>968</v>
      </c>
      <c r="HF1" s="192" t="s">
        <v>969</v>
      </c>
      <c r="HG1" s="192" t="s">
        <v>387</v>
      </c>
      <c r="HH1" s="192" t="s">
        <v>972</v>
      </c>
      <c r="HI1" s="192" t="s">
        <v>973</v>
      </c>
      <c r="HJ1" s="189"/>
      <c r="HK1" s="201"/>
      <c r="HL1" s="192" t="s">
        <v>390</v>
      </c>
      <c r="HM1" s="192" t="s">
        <v>997</v>
      </c>
      <c r="HN1" s="192" t="s">
        <v>999</v>
      </c>
      <c r="HO1" s="192" t="s">
        <v>1001</v>
      </c>
      <c r="HP1" s="192" t="s">
        <v>1003</v>
      </c>
      <c r="HQ1" s="192" t="s">
        <v>391</v>
      </c>
      <c r="HR1" s="192" t="s">
        <v>1006</v>
      </c>
      <c r="HS1" s="201"/>
      <c r="HT1" s="192" t="s">
        <v>1008</v>
      </c>
      <c r="HU1" s="192" t="s">
        <v>1010</v>
      </c>
      <c r="HV1" s="192" t="s">
        <v>393</v>
      </c>
      <c r="HW1" s="192" t="s">
        <v>1013</v>
      </c>
      <c r="HX1" s="192" t="s">
        <v>1015</v>
      </c>
      <c r="HY1" s="192" t="s">
        <v>1016</v>
      </c>
      <c r="HZ1" s="192" t="s">
        <v>1018</v>
      </c>
      <c r="IA1" s="201"/>
      <c r="IB1" s="192" t="s">
        <v>1020</v>
      </c>
      <c r="IC1" s="192" t="s">
        <v>1022</v>
      </c>
      <c r="ID1" s="192" t="s">
        <v>1024</v>
      </c>
      <c r="IE1" s="192" t="s">
        <v>395</v>
      </c>
      <c r="IF1" s="192" t="s">
        <v>1026</v>
      </c>
      <c r="IG1" s="192" t="s">
        <v>1028</v>
      </c>
      <c r="IH1" s="192" t="s">
        <v>396</v>
      </c>
      <c r="II1" s="192" t="s">
        <v>1030</v>
      </c>
      <c r="IJ1" s="192" t="s">
        <v>1032</v>
      </c>
      <c r="IK1" s="192" t="s">
        <v>397</v>
      </c>
      <c r="IL1" s="192" t="s">
        <v>1034</v>
      </c>
      <c r="IM1" s="192" t="s">
        <v>1036</v>
      </c>
      <c r="IN1" s="192" t="s">
        <v>1038</v>
      </c>
      <c r="IO1" s="192" t="s">
        <v>1040</v>
      </c>
      <c r="IP1" s="192" t="s">
        <v>398</v>
      </c>
      <c r="IQ1" s="192" t="s">
        <v>1042</v>
      </c>
      <c r="IR1" s="201"/>
      <c r="IS1" s="192" t="s">
        <v>1050</v>
      </c>
      <c r="IT1" s="192" t="s">
        <v>1052</v>
      </c>
      <c r="IU1" s="192" t="s">
        <v>400</v>
      </c>
      <c r="IV1" s="192" t="s">
        <v>1054</v>
      </c>
      <c r="IW1" s="192" t="s">
        <v>1056</v>
      </c>
      <c r="IX1" s="192" t="s">
        <v>1058</v>
      </c>
      <c r="IY1" s="201"/>
      <c r="IZ1" s="192" t="s">
        <v>1060</v>
      </c>
      <c r="JA1" s="192" t="s">
        <v>402</v>
      </c>
      <c r="JB1" s="192" t="s">
        <v>1063</v>
      </c>
      <c r="JC1" s="192" t="s">
        <v>1065</v>
      </c>
      <c r="JD1" s="192" t="s">
        <v>1067</v>
      </c>
      <c r="JE1" s="192" t="s">
        <v>1069</v>
      </c>
      <c r="JF1" s="192" t="s">
        <v>1071</v>
      </c>
      <c r="JG1" s="192" t="s">
        <v>1073</v>
      </c>
      <c r="JH1" s="192" t="s">
        <v>403</v>
      </c>
      <c r="JI1" s="192" t="s">
        <v>1076</v>
      </c>
      <c r="JJ1" s="192" t="s">
        <v>1078</v>
      </c>
      <c r="JK1" s="192" t="s">
        <v>1080</v>
      </c>
      <c r="JL1" s="192" t="s">
        <v>1082</v>
      </c>
      <c r="JM1" s="192" t="s">
        <v>1084</v>
      </c>
      <c r="JN1" s="192" t="s">
        <v>1086</v>
      </c>
      <c r="JO1" s="192" t="s">
        <v>1088</v>
      </c>
      <c r="JP1" s="192" t="s">
        <v>1090</v>
      </c>
      <c r="JQ1" s="192" t="s">
        <v>404</v>
      </c>
      <c r="JR1" s="192" t="s">
        <v>1093</v>
      </c>
      <c r="JS1" s="192" t="s">
        <v>1095</v>
      </c>
      <c r="JT1" s="192" t="s">
        <v>1097</v>
      </c>
      <c r="JU1" s="192" t="s">
        <v>1099</v>
      </c>
      <c r="JV1" s="192" t="s">
        <v>1100</v>
      </c>
      <c r="JW1" s="192" t="s">
        <v>1102</v>
      </c>
      <c r="JX1" s="192" t="s">
        <v>1104</v>
      </c>
      <c r="JY1" s="192" t="s">
        <v>1106</v>
      </c>
      <c r="JZ1" s="192" t="s">
        <v>1108</v>
      </c>
      <c r="KA1" s="192" t="s">
        <v>1110</v>
      </c>
      <c r="KB1" s="192" t="s">
        <v>1112</v>
      </c>
      <c r="KC1" s="192" t="s">
        <v>1114</v>
      </c>
      <c r="KD1" s="192" t="s">
        <v>1116</v>
      </c>
      <c r="KE1" s="192" t="s">
        <v>1118</v>
      </c>
      <c r="KF1" s="192" t="s">
        <v>1120</v>
      </c>
      <c r="KG1" s="192" t="s">
        <v>1122</v>
      </c>
      <c r="KH1" s="192" t="s">
        <v>1124</v>
      </c>
      <c r="KI1" s="192" t="s">
        <v>1126</v>
      </c>
      <c r="KJ1" s="192" t="s">
        <v>1128</v>
      </c>
      <c r="KK1" s="192" t="s">
        <v>1130</v>
      </c>
      <c r="KL1" s="192" t="s">
        <v>1132</v>
      </c>
      <c r="KM1" s="192" t="s">
        <v>1134</v>
      </c>
      <c r="KN1" s="192" t="s">
        <v>1136</v>
      </c>
      <c r="KO1" s="192" t="s">
        <v>1138</v>
      </c>
      <c r="KP1" s="192" t="s">
        <v>1140</v>
      </c>
      <c r="KQ1" s="192" t="s">
        <v>1142</v>
      </c>
      <c r="KR1" s="201"/>
      <c r="KS1" s="192" t="s">
        <v>1144</v>
      </c>
      <c r="KT1" s="192" t="s">
        <v>406</v>
      </c>
      <c r="KU1" s="192" t="s">
        <v>1147</v>
      </c>
      <c r="KV1" s="192" t="s">
        <v>1149</v>
      </c>
      <c r="KW1" s="192" t="s">
        <v>1151</v>
      </c>
      <c r="KX1" s="192" t="s">
        <v>1153</v>
      </c>
      <c r="KY1" s="192" t="s">
        <v>407</v>
      </c>
      <c r="KZ1" s="192" t="s">
        <v>1156</v>
      </c>
      <c r="LA1" s="192" t="s">
        <v>1158</v>
      </c>
      <c r="LB1" s="192" t="s">
        <v>1160</v>
      </c>
      <c r="LC1" s="192" t="s">
        <v>1162</v>
      </c>
      <c r="LD1" s="192" t="s">
        <v>1164</v>
      </c>
      <c r="LE1" s="192" t="s">
        <v>1166</v>
      </c>
      <c r="LF1" s="192" t="s">
        <v>1168</v>
      </c>
      <c r="LG1" s="189"/>
      <c r="LH1" s="201"/>
      <c r="LI1" s="192" t="s">
        <v>408</v>
      </c>
      <c r="LJ1" s="192" t="s">
        <v>1044</v>
      </c>
      <c r="LK1" s="192" t="s">
        <v>1046</v>
      </c>
      <c r="LL1" s="192" t="s">
        <v>1048</v>
      </c>
      <c r="LM1" s="189"/>
      <c r="LN1" s="201"/>
      <c r="LO1" s="192" t="s">
        <v>411</v>
      </c>
      <c r="LP1" s="192" t="s">
        <v>412</v>
      </c>
      <c r="LQ1" s="201"/>
      <c r="LR1" s="192" t="s">
        <v>414</v>
      </c>
      <c r="LS1" s="192" t="s">
        <v>1188</v>
      </c>
      <c r="LT1" s="192" t="s">
        <v>1190</v>
      </c>
      <c r="LU1" s="192" t="s">
        <v>1191</v>
      </c>
      <c r="LV1" s="192" t="s">
        <v>1193</v>
      </c>
      <c r="LW1" s="192" t="s">
        <v>1194</v>
      </c>
      <c r="LX1" s="192" t="s">
        <v>1196</v>
      </c>
      <c r="LY1" s="192" t="s">
        <v>1198</v>
      </c>
      <c r="LZ1" s="192" t="s">
        <v>1200</v>
      </c>
      <c r="MA1" s="192" t="s">
        <v>1202</v>
      </c>
      <c r="MB1" s="192" t="s">
        <v>415</v>
      </c>
      <c r="MC1" s="192" t="s">
        <v>1205</v>
      </c>
      <c r="MD1" s="192" t="s">
        <v>1206</v>
      </c>
      <c r="ME1" s="192" t="s">
        <v>1208</v>
      </c>
      <c r="MF1" s="192" t="s">
        <v>416</v>
      </c>
      <c r="MG1" s="192" t="s">
        <v>1211</v>
      </c>
      <c r="MH1" s="192" t="s">
        <v>1212</v>
      </c>
      <c r="MI1" s="192" t="s">
        <v>1214</v>
      </c>
      <c r="MJ1" s="192" t="s">
        <v>1216</v>
      </c>
      <c r="MK1" s="192" t="s">
        <v>417</v>
      </c>
      <c r="ML1" s="192" t="s">
        <v>1219</v>
      </c>
      <c r="MM1" s="192" t="s">
        <v>1221</v>
      </c>
      <c r="MN1" s="192" t="s">
        <v>1223</v>
      </c>
      <c r="MO1" s="192" t="s">
        <v>1225</v>
      </c>
      <c r="MP1" s="192" t="s">
        <v>418</v>
      </c>
      <c r="MQ1" s="192" t="s">
        <v>1228</v>
      </c>
      <c r="MR1" s="192" t="s">
        <v>1230</v>
      </c>
      <c r="MS1" s="192" t="s">
        <v>1232</v>
      </c>
      <c r="MT1" s="192" t="s">
        <v>1234</v>
      </c>
      <c r="MU1" s="192" t="s">
        <v>1236</v>
      </c>
      <c r="MV1" s="192" t="s">
        <v>1238</v>
      </c>
      <c r="MW1" s="192" t="s">
        <v>1240</v>
      </c>
      <c r="MX1" s="192" t="s">
        <v>1242</v>
      </c>
      <c r="MY1" s="192" t="s">
        <v>1244</v>
      </c>
      <c r="MZ1" s="192" t="s">
        <v>1246</v>
      </c>
      <c r="NA1" s="192" t="s">
        <v>1248</v>
      </c>
      <c r="NB1" s="192" t="s">
        <v>1249</v>
      </c>
      <c r="NC1" s="201"/>
      <c r="ND1" s="192" t="s">
        <v>420</v>
      </c>
      <c r="NE1" s="192" t="s">
        <v>1251</v>
      </c>
      <c r="NF1" s="192" t="s">
        <v>1253</v>
      </c>
      <c r="NG1" s="192" t="s">
        <v>1255</v>
      </c>
      <c r="NH1" s="192" t="s">
        <v>1257</v>
      </c>
      <c r="NI1" s="201"/>
      <c r="NJ1" s="192" t="s">
        <v>422</v>
      </c>
      <c r="NK1" s="192" t="s">
        <v>1258</v>
      </c>
      <c r="NL1" s="192" t="s">
        <v>423</v>
      </c>
      <c r="NM1" s="192" t="s">
        <v>1260</v>
      </c>
      <c r="NN1" s="192" t="s">
        <v>1262</v>
      </c>
      <c r="NO1" s="192" t="s">
        <v>424</v>
      </c>
      <c r="NP1" s="192" t="s">
        <v>1264</v>
      </c>
      <c r="NQ1" s="192" t="s">
        <v>1266</v>
      </c>
      <c r="NR1" s="189"/>
      <c r="NS1" s="201"/>
      <c r="NT1" s="192" t="s">
        <v>425</v>
      </c>
      <c r="NU1" s="192" t="s">
        <v>1170</v>
      </c>
      <c r="NV1" s="192" t="s">
        <v>1172</v>
      </c>
      <c r="NW1" s="192" t="s">
        <v>1174</v>
      </c>
      <c r="NX1" s="192" t="s">
        <v>1176</v>
      </c>
      <c r="NY1" s="192" t="s">
        <v>426</v>
      </c>
      <c r="NZ1" s="192" t="s">
        <v>1178</v>
      </c>
      <c r="OA1" s="192" t="s">
        <v>427</v>
      </c>
      <c r="OB1" s="192" t="s">
        <v>1180</v>
      </c>
      <c r="OC1" s="201"/>
      <c r="OD1" s="192" t="s">
        <v>1182</v>
      </c>
      <c r="OE1" s="192" t="s">
        <v>428</v>
      </c>
      <c r="OF1" s="189"/>
      <c r="OG1" s="201"/>
      <c r="OH1" s="192" t="s">
        <v>1184</v>
      </c>
      <c r="OI1" s="192" t="s">
        <v>1186</v>
      </c>
      <c r="OJ1" s="192" t="s">
        <v>429</v>
      </c>
      <c r="OK1" s="189"/>
      <c r="OL1" s="201"/>
      <c r="OM1" s="192" t="s">
        <v>432</v>
      </c>
      <c r="ON1" s="192" t="s">
        <v>1268</v>
      </c>
      <c r="OO1" s="192" t="s">
        <v>1270</v>
      </c>
      <c r="OP1" s="192" t="s">
        <v>433</v>
      </c>
      <c r="OQ1" s="192" t="s">
        <v>434</v>
      </c>
      <c r="OR1" s="192" t="s">
        <v>1368</v>
      </c>
      <c r="OS1" s="192" t="s">
        <v>1370</v>
      </c>
      <c r="OT1" s="192" t="s">
        <v>1372</v>
      </c>
      <c r="OU1" s="192" t="s">
        <v>1374</v>
      </c>
      <c r="OV1" s="192" t="s">
        <v>1376</v>
      </c>
      <c r="OW1" s="201"/>
      <c r="OX1" s="192" t="s">
        <v>436</v>
      </c>
      <c r="OY1" s="192" t="s">
        <v>1378</v>
      </c>
      <c r="OZ1" s="192" t="s">
        <v>1380</v>
      </c>
      <c r="PA1" s="192" t="s">
        <v>1382</v>
      </c>
      <c r="PB1" s="192" t="s">
        <v>1384</v>
      </c>
      <c r="PC1" s="192" t="s">
        <v>1386</v>
      </c>
      <c r="PD1" s="192" t="s">
        <v>1388</v>
      </c>
      <c r="PE1" s="201"/>
      <c r="PF1" s="192" t="s">
        <v>1390</v>
      </c>
      <c r="PG1" s="192" t="s">
        <v>438</v>
      </c>
      <c r="PH1" s="201"/>
      <c r="PI1" s="192" t="s">
        <v>440</v>
      </c>
      <c r="PJ1" s="192" t="s">
        <v>1420</v>
      </c>
      <c r="PK1" s="192" t="s">
        <v>1422</v>
      </c>
      <c r="PL1" s="201"/>
      <c r="PM1" s="192" t="s">
        <v>442</v>
      </c>
      <c r="PN1" s="192" t="s">
        <v>1424</v>
      </c>
      <c r="PO1" s="192" t="s">
        <v>1425</v>
      </c>
      <c r="PP1" s="192" t="s">
        <v>1426</v>
      </c>
      <c r="PQ1" s="192" t="s">
        <v>1427</v>
      </c>
      <c r="PR1" s="192" t="s">
        <v>1429</v>
      </c>
      <c r="PS1" s="192" t="s">
        <v>1430</v>
      </c>
      <c r="PT1" s="192" t="s">
        <v>1432</v>
      </c>
      <c r="PU1" s="192" t="s">
        <v>1433</v>
      </c>
      <c r="PV1" s="189"/>
      <c r="PW1" s="201"/>
      <c r="PX1" s="192" t="s">
        <v>443</v>
      </c>
      <c r="PY1" s="192" t="s">
        <v>1272</v>
      </c>
      <c r="PZ1" s="192" t="s">
        <v>1274</v>
      </c>
      <c r="QA1" s="192" t="s">
        <v>1276</v>
      </c>
      <c r="QB1" s="192" t="s">
        <v>1278</v>
      </c>
      <c r="QC1" s="192" t="s">
        <v>1280</v>
      </c>
      <c r="QD1" s="192" t="s">
        <v>1282</v>
      </c>
      <c r="QE1" s="192" t="s">
        <v>1284</v>
      </c>
      <c r="QF1" s="192" t="s">
        <v>1286</v>
      </c>
      <c r="QG1" s="192" t="s">
        <v>1288</v>
      </c>
      <c r="QH1" s="192" t="s">
        <v>1290</v>
      </c>
      <c r="QI1" s="192" t="s">
        <v>1292</v>
      </c>
      <c r="QJ1" s="192" t="s">
        <v>1294</v>
      </c>
      <c r="QK1" s="192" t="s">
        <v>1296</v>
      </c>
      <c r="QL1" s="192" t="s">
        <v>1298</v>
      </c>
      <c r="QM1" s="192" t="s">
        <v>1300</v>
      </c>
      <c r="QN1" s="192" t="s">
        <v>1302</v>
      </c>
      <c r="QO1" s="192" t="s">
        <v>1304</v>
      </c>
      <c r="QP1" s="192" t="s">
        <v>1306</v>
      </c>
      <c r="QQ1" s="192" t="s">
        <v>1308</v>
      </c>
      <c r="QR1" s="192" t="s">
        <v>1310</v>
      </c>
      <c r="QS1" s="192" t="s">
        <v>1312</v>
      </c>
      <c r="QT1" s="192" t="s">
        <v>1314</v>
      </c>
      <c r="QU1" s="192" t="s">
        <v>444</v>
      </c>
      <c r="QV1" s="192" t="s">
        <v>1317</v>
      </c>
      <c r="QW1" s="192" t="s">
        <v>1319</v>
      </c>
      <c r="QX1" s="192" t="s">
        <v>1320</v>
      </c>
      <c r="QY1" s="192" t="s">
        <v>1322</v>
      </c>
      <c r="QZ1" s="192" t="s">
        <v>1324</v>
      </c>
      <c r="RA1" s="192" t="s">
        <v>1326</v>
      </c>
      <c r="RB1" s="192" t="s">
        <v>1328</v>
      </c>
      <c r="RC1" s="192" t="s">
        <v>1330</v>
      </c>
      <c r="RD1" s="192" t="s">
        <v>1332</v>
      </c>
      <c r="RE1" s="192" t="s">
        <v>1334</v>
      </c>
      <c r="RF1" s="192" t="s">
        <v>1336</v>
      </c>
      <c r="RG1" s="192" t="s">
        <v>1338</v>
      </c>
      <c r="RH1" s="192" t="s">
        <v>1340</v>
      </c>
      <c r="RI1" s="192" t="s">
        <v>1342</v>
      </c>
      <c r="RJ1" s="192" t="s">
        <v>1344</v>
      </c>
      <c r="RK1" s="192" t="s">
        <v>1346</v>
      </c>
      <c r="RL1" s="192" t="s">
        <v>1348</v>
      </c>
      <c r="RM1" s="192" t="s">
        <v>1350</v>
      </c>
      <c r="RN1" s="192" t="s">
        <v>1352</v>
      </c>
      <c r="RO1" s="192" t="s">
        <v>1354</v>
      </c>
      <c r="RP1" s="192" t="s">
        <v>1356</v>
      </c>
      <c r="RQ1" s="192" t="s">
        <v>1358</v>
      </c>
      <c r="RR1" s="192" t="s">
        <v>1360</v>
      </c>
      <c r="RS1" s="192" t="s">
        <v>1362</v>
      </c>
      <c r="RT1" s="192" t="s">
        <v>1364</v>
      </c>
      <c r="RU1" s="192" t="s">
        <v>1366</v>
      </c>
      <c r="RV1" s="189"/>
      <c r="RW1" s="201"/>
      <c r="RX1" s="192" t="s">
        <v>445</v>
      </c>
      <c r="RY1" s="192" t="s">
        <v>1392</v>
      </c>
      <c r="RZ1" s="192" t="s">
        <v>1394</v>
      </c>
      <c r="SA1" s="192" t="s">
        <v>1396</v>
      </c>
      <c r="SB1" s="192" t="s">
        <v>1398</v>
      </c>
      <c r="SC1" s="192" t="s">
        <v>1400</v>
      </c>
      <c r="SD1" s="192" t="s">
        <v>1402</v>
      </c>
      <c r="SE1" s="192" t="s">
        <v>1404</v>
      </c>
      <c r="SF1" s="192" t="s">
        <v>1406</v>
      </c>
      <c r="SG1" s="192" t="s">
        <v>1408</v>
      </c>
      <c r="SH1" s="192" t="s">
        <v>1410</v>
      </c>
      <c r="SI1" s="192" t="s">
        <v>1412</v>
      </c>
      <c r="SJ1" s="192" t="s">
        <v>1414</v>
      </c>
      <c r="SK1" s="192" t="s">
        <v>1416</v>
      </c>
      <c r="SL1" s="192" t="s">
        <v>1418</v>
      </c>
      <c r="SM1" s="189"/>
      <c r="SN1" s="201"/>
      <c r="SO1" s="192" t="s">
        <v>448</v>
      </c>
      <c r="SP1" s="192" t="s">
        <v>1435</v>
      </c>
      <c r="SQ1" s="192" t="s">
        <v>1437</v>
      </c>
      <c r="SR1" s="192" t="s">
        <v>449</v>
      </c>
      <c r="SS1" s="192" t="s">
        <v>1439</v>
      </c>
      <c r="ST1" s="192" t="s">
        <v>1441</v>
      </c>
      <c r="SU1" s="192" t="s">
        <v>1443</v>
      </c>
      <c r="SV1" s="192" t="s">
        <v>1445</v>
      </c>
      <c r="SW1" s="201"/>
      <c r="SX1" s="192" t="s">
        <v>451</v>
      </c>
      <c r="SY1" s="192" t="s">
        <v>1447</v>
      </c>
      <c r="SZ1" s="192" t="s">
        <v>1449</v>
      </c>
      <c r="TA1" s="192" t="s">
        <v>1451</v>
      </c>
      <c r="TB1" s="192" t="s">
        <v>1453</v>
      </c>
      <c r="TC1" s="192" t="s">
        <v>1455</v>
      </c>
      <c r="TD1" s="192" t="s">
        <v>1457</v>
      </c>
      <c r="TE1" s="192" t="s">
        <v>1459</v>
      </c>
      <c r="TF1" s="192" t="s">
        <v>1461</v>
      </c>
      <c r="TG1" s="192" t="s">
        <v>1463</v>
      </c>
      <c r="TH1" s="192" t="s">
        <v>1465</v>
      </c>
      <c r="TI1" s="192" t="s">
        <v>1467</v>
      </c>
      <c r="TJ1" s="192" t="s">
        <v>1469</v>
      </c>
      <c r="TK1" s="192" t="s">
        <v>1471</v>
      </c>
      <c r="TL1" s="192" t="s">
        <v>1473</v>
      </c>
      <c r="TM1" s="192" t="s">
        <v>1475</v>
      </c>
      <c r="TN1" s="189"/>
      <c r="TO1" s="201"/>
      <c r="TP1" s="192" t="s">
        <v>454</v>
      </c>
      <c r="TQ1" s="192" t="s">
        <v>1477</v>
      </c>
      <c r="TR1" s="192" t="s">
        <v>1479</v>
      </c>
      <c r="TS1" s="192" t="s">
        <v>1481</v>
      </c>
      <c r="TT1" s="192" t="s">
        <v>1483</v>
      </c>
      <c r="TU1" s="192" t="s">
        <v>1485</v>
      </c>
      <c r="TV1" s="192" t="s">
        <v>455</v>
      </c>
      <c r="TW1" s="192" t="s">
        <v>1487</v>
      </c>
      <c r="TX1" s="192" t="s">
        <v>1489</v>
      </c>
      <c r="TY1" s="192" t="s">
        <v>1491</v>
      </c>
      <c r="TZ1" s="192" t="s">
        <v>1493</v>
      </c>
      <c r="UA1" s="192" t="s">
        <v>1495</v>
      </c>
      <c r="UB1" s="192" t="s">
        <v>1497</v>
      </c>
      <c r="UC1" s="201"/>
      <c r="UD1" s="192" t="s">
        <v>457</v>
      </c>
      <c r="UE1" s="189"/>
      <c r="UF1" s="201"/>
      <c r="UG1" s="192" t="s">
        <v>458</v>
      </c>
      <c r="UH1" s="192" t="s">
        <v>1499</v>
      </c>
      <c r="UI1" s="192" t="s">
        <v>1501</v>
      </c>
      <c r="UJ1" s="192" t="s">
        <v>1502</v>
      </c>
      <c r="UK1" s="192" t="s">
        <v>1504</v>
      </c>
      <c r="UL1" s="192" t="s">
        <v>1506</v>
      </c>
      <c r="UM1" s="192" t="s">
        <v>1508</v>
      </c>
      <c r="UN1" s="192" t="s">
        <v>1510</v>
      </c>
      <c r="UO1" s="192" t="s">
        <v>1512</v>
      </c>
      <c r="UP1" s="192" t="s">
        <v>1514</v>
      </c>
      <c r="UQ1" s="192" t="s">
        <v>1516</v>
      </c>
      <c r="UR1" s="192" t="s">
        <v>1518</v>
      </c>
      <c r="US1" s="192" t="s">
        <v>1520</v>
      </c>
      <c r="UT1" s="192" t="s">
        <v>1522</v>
      </c>
      <c r="UU1" s="192" t="s">
        <v>1524</v>
      </c>
      <c r="UV1" s="192" t="s">
        <v>1526</v>
      </c>
      <c r="UW1" s="192" t="s">
        <v>1528</v>
      </c>
      <c r="UX1" s="189"/>
      <c r="UY1" s="192" t="s">
        <v>1532</v>
      </c>
      <c r="UZ1" s="192" t="s">
        <v>1534</v>
      </c>
      <c r="VA1" s="192" t="s">
        <v>1536</v>
      </c>
      <c r="VB1" s="192" t="s">
        <v>1538</v>
      </c>
      <c r="VC1" s="192" t="s">
        <v>1540</v>
      </c>
      <c r="VD1" s="195"/>
    </row>
    <row r="2" spans="1:576" s="132" customFormat="1" hidden="1" x14ac:dyDescent="0.25">
      <c r="A2" s="132" t="s">
        <v>201</v>
      </c>
      <c r="B2" s="132" t="s">
        <v>187</v>
      </c>
      <c r="C2" s="132" t="s">
        <v>558</v>
      </c>
      <c r="D2" s="132" t="s">
        <v>202</v>
      </c>
      <c r="E2" s="132" t="s">
        <v>166</v>
      </c>
      <c r="F2" s="132" t="s">
        <v>559</v>
      </c>
      <c r="G2" s="170" t="s">
        <v>203</v>
      </c>
      <c r="H2" s="132" t="s">
        <v>560</v>
      </c>
      <c r="I2" s="132" t="s">
        <v>561</v>
      </c>
      <c r="J2" s="132" t="s">
        <v>204</v>
      </c>
      <c r="K2" s="132" t="s">
        <v>562</v>
      </c>
      <c r="R2" s="132" t="s">
        <v>206</v>
      </c>
      <c r="S2" s="132" t="s">
        <v>207</v>
      </c>
      <c r="U2" s="132" t="s">
        <v>475</v>
      </c>
      <c r="V2" s="132" t="s">
        <v>493</v>
      </c>
      <c r="W2" s="132" t="s">
        <v>476</v>
      </c>
      <c r="X2" s="132" t="s">
        <v>477</v>
      </c>
      <c r="Y2" s="132" t="s">
        <v>478</v>
      </c>
      <c r="Z2" s="132" t="s">
        <v>479</v>
      </c>
      <c r="AA2" s="132" t="s">
        <v>480</v>
      </c>
      <c r="AB2" s="132" t="s">
        <v>481</v>
      </c>
      <c r="AC2" s="132" t="s">
        <v>482</v>
      </c>
      <c r="AD2" s="132" t="s">
        <v>483</v>
      </c>
      <c r="AE2" s="132" t="s">
        <v>484</v>
      </c>
      <c r="AF2" s="132" t="s">
        <v>485</v>
      </c>
      <c r="AH2" s="132" t="s">
        <v>504</v>
      </c>
      <c r="AI2" s="132" t="s">
        <v>505</v>
      </c>
      <c r="AJ2" s="132" t="s">
        <v>506</v>
      </c>
      <c r="AK2" s="132" t="s">
        <v>507</v>
      </c>
      <c r="AL2" s="132" t="s">
        <v>508</v>
      </c>
      <c r="AM2" s="132" t="s">
        <v>511</v>
      </c>
      <c r="AN2" s="132" t="s">
        <v>509</v>
      </c>
      <c r="AO2" s="132" t="s">
        <v>510</v>
      </c>
      <c r="AP2" s="132" t="s">
        <v>512</v>
      </c>
      <c r="AQ2" s="132" t="s">
        <v>513</v>
      </c>
      <c r="AR2" s="132" t="s">
        <v>514</v>
      </c>
      <c r="AS2" s="132" t="s">
        <v>515</v>
      </c>
      <c r="AT2" s="132" t="s">
        <v>516</v>
      </c>
      <c r="AU2" s="132" t="s">
        <v>517</v>
      </c>
      <c r="AV2" s="132" t="s">
        <v>518</v>
      </c>
      <c r="AW2" s="132" t="s">
        <v>519</v>
      </c>
      <c r="AX2" s="132" t="s">
        <v>520</v>
      </c>
      <c r="AY2" s="132" t="s">
        <v>521</v>
      </c>
      <c r="AZ2" s="132" t="s">
        <v>522</v>
      </c>
      <c r="BA2" s="132" t="s">
        <v>523</v>
      </c>
      <c r="BB2" s="132" t="s">
        <v>524</v>
      </c>
      <c r="BC2" s="132" t="s">
        <v>525</v>
      </c>
      <c r="BD2" s="132" t="s">
        <v>526</v>
      </c>
      <c r="BE2" s="132" t="s">
        <v>527</v>
      </c>
      <c r="BF2" s="132" t="s">
        <v>528</v>
      </c>
      <c r="BG2" s="132" t="s">
        <v>529</v>
      </c>
      <c r="BH2" s="132" t="s">
        <v>530</v>
      </c>
      <c r="BI2" s="132" t="s">
        <v>531</v>
      </c>
      <c r="BJ2" s="132" t="s">
        <v>532</v>
      </c>
      <c r="BK2" s="132" t="s">
        <v>533</v>
      </c>
      <c r="BL2" s="132" t="s">
        <v>534</v>
      </c>
      <c r="BM2" s="132" t="s">
        <v>535</v>
      </c>
      <c r="BN2" s="132" t="s">
        <v>536</v>
      </c>
      <c r="BO2" s="132" t="s">
        <v>537</v>
      </c>
      <c r="BP2" s="132" t="s">
        <v>538</v>
      </c>
      <c r="BQ2" s="132" t="s">
        <v>539</v>
      </c>
      <c r="BR2" s="132" t="s">
        <v>540</v>
      </c>
      <c r="BS2" s="132" t="s">
        <v>541</v>
      </c>
      <c r="BT2" s="132" t="s">
        <v>542</v>
      </c>
      <c r="BU2" s="132" t="s">
        <v>543</v>
      </c>
      <c r="CB2" s="132" t="s">
        <v>1543</v>
      </c>
      <c r="CC2" s="132" t="s">
        <v>1544</v>
      </c>
      <c r="CD2" s="132" t="s">
        <v>1542</v>
      </c>
      <c r="CE2" s="132" t="s">
        <v>1545</v>
      </c>
    </row>
    <row r="3" spans="1:576" hidden="1" x14ac:dyDescent="0.25">
      <c r="AH3" s="95">
        <v>2500</v>
      </c>
      <c r="AI3" s="95">
        <v>1900</v>
      </c>
      <c r="AJ3" s="95">
        <v>1650</v>
      </c>
      <c r="AK3" s="95">
        <v>1580</v>
      </c>
      <c r="AL3" s="95">
        <v>2250</v>
      </c>
      <c r="AM3" s="95">
        <v>1650</v>
      </c>
      <c r="AN3" s="95">
        <v>1400</v>
      </c>
      <c r="AO3" s="95">
        <v>1340</v>
      </c>
      <c r="AP3" s="95">
        <v>2000</v>
      </c>
      <c r="AQ3" s="95">
        <v>1400</v>
      </c>
      <c r="AR3" s="95">
        <v>1150</v>
      </c>
      <c r="AS3" s="95">
        <v>1100</v>
      </c>
      <c r="AT3" s="95">
        <v>1750</v>
      </c>
      <c r="AU3" s="95">
        <v>1150</v>
      </c>
      <c r="AV3" s="95">
        <v>900</v>
      </c>
      <c r="AW3" s="95">
        <v>860</v>
      </c>
      <c r="AX3" s="95">
        <v>1200</v>
      </c>
      <c r="AY3" s="95">
        <v>900</v>
      </c>
      <c r="AZ3" s="95">
        <v>650</v>
      </c>
      <c r="BA3" s="95">
        <v>620</v>
      </c>
      <c r="BB3" s="95">
        <v>5355</v>
      </c>
      <c r="BC3" s="95">
        <v>4935</v>
      </c>
      <c r="BD3" s="95">
        <v>6300</v>
      </c>
      <c r="BE3" s="95">
        <v>5880</v>
      </c>
      <c r="BF3" s="95">
        <v>4725</v>
      </c>
      <c r="BG3" s="95">
        <v>4305</v>
      </c>
      <c r="BH3" s="95">
        <v>5670</v>
      </c>
      <c r="BI3" s="95">
        <v>5250</v>
      </c>
      <c r="BJ3" s="95">
        <v>4095</v>
      </c>
      <c r="BK3" s="95">
        <v>3780</v>
      </c>
      <c r="BL3" s="95">
        <v>5040</v>
      </c>
      <c r="BM3" s="95">
        <v>4620</v>
      </c>
      <c r="BN3" s="95">
        <v>3465</v>
      </c>
      <c r="BO3" s="95">
        <v>3150</v>
      </c>
      <c r="BP3" s="95">
        <v>4410</v>
      </c>
      <c r="BQ3" s="95">
        <v>4095</v>
      </c>
      <c r="BR3" s="95">
        <v>3045</v>
      </c>
      <c r="BS3" s="95">
        <v>2835</v>
      </c>
      <c r="BT3" s="95">
        <v>3885</v>
      </c>
      <c r="BU3" s="95">
        <v>3570</v>
      </c>
      <c r="CB3" s="95">
        <v>35000</v>
      </c>
      <c r="CC3" s="95">
        <v>15000</v>
      </c>
      <c r="CD3" s="95">
        <v>35000</v>
      </c>
      <c r="CE3" s="95">
        <v>15000</v>
      </c>
    </row>
    <row r="4" spans="1:576" ht="15.75" thickBot="1" x14ac:dyDescent="0.3"/>
    <row r="5" spans="1:576" ht="53.25" thickBot="1" x14ac:dyDescent="0.3">
      <c r="C5" s="96" t="s">
        <v>462</v>
      </c>
      <c r="D5" s="213">
        <f>SUMIF(C:C,$C$10,D:D)</f>
        <v>2844695</v>
      </c>
    </row>
    <row r="8" spans="1:576" x14ac:dyDescent="0.25">
      <c r="C8" s="117"/>
      <c r="D8" s="117"/>
      <c r="E8" s="117"/>
      <c r="F8" s="117"/>
      <c r="G8" s="86"/>
      <c r="H8" s="117"/>
      <c r="I8" s="117"/>
    </row>
    <row r="9" spans="1:576" ht="15.75" thickBot="1" x14ac:dyDescent="0.3">
      <c r="C9" s="117"/>
      <c r="D9" s="117"/>
      <c r="E9" s="117"/>
      <c r="F9" s="117"/>
      <c r="G9" s="86"/>
      <c r="H9" s="117"/>
      <c r="I9" s="117"/>
    </row>
    <row r="10" spans="1:576" ht="15.75" thickBot="1" x14ac:dyDescent="0.3">
      <c r="B10" s="103"/>
      <c r="C10" s="29" t="s">
        <v>43</v>
      </c>
      <c r="D10" s="118">
        <f>SUM(F17:F30)</f>
        <v>56000</v>
      </c>
      <c r="F10" s="69"/>
      <c r="G10" s="87"/>
      <c r="H10" s="69"/>
      <c r="I10" s="69"/>
    </row>
    <row r="11" spans="1:576" x14ac:dyDescent="0.25">
      <c r="B11" s="103"/>
      <c r="C11" s="69"/>
      <c r="D11" s="31"/>
      <c r="E11" s="103"/>
      <c r="F11" s="103"/>
      <c r="G11" s="103"/>
      <c r="H11" s="84"/>
      <c r="I11" s="433"/>
      <c r="J11" s="84"/>
      <c r="K11" s="122"/>
    </row>
    <row r="12" spans="1:576" x14ac:dyDescent="0.25">
      <c r="B12" s="103"/>
      <c r="C12" s="69"/>
      <c r="D12" s="31"/>
      <c r="E12" s="103"/>
      <c r="F12" s="103"/>
      <c r="G12" s="103"/>
      <c r="H12" s="84"/>
      <c r="I12" s="84"/>
      <c r="J12" s="84"/>
      <c r="K12" s="122"/>
    </row>
    <row r="13" spans="1:576" ht="15.75" x14ac:dyDescent="0.25">
      <c r="B13" s="103"/>
      <c r="C13" s="217" t="s">
        <v>471</v>
      </c>
      <c r="D13" s="218"/>
      <c r="E13" s="103"/>
      <c r="F13" s="103"/>
      <c r="G13" s="103"/>
      <c r="H13" s="84"/>
      <c r="I13" s="84"/>
      <c r="J13" s="84"/>
      <c r="K13" s="122"/>
    </row>
    <row r="14" spans="1:576" ht="18.75" x14ac:dyDescent="0.25">
      <c r="B14" s="103"/>
      <c r="C14" s="220" t="e">
        <f>IFERROR(VLOOKUP(D13,#REF!,2,FALSE),IFERROR(VLOOKUP(D13,#REF!,2,FALSE),IFERROR(VLOOKUP(D13,#REF!,2,FALSE),IFERROR(VLOOKUP(D13,'Docencia y Recursos Humanos '!$F:$G,2,FALSE),IFERROR(VLOOKUP(D13,Estudiantes!$E:$F,2,FALSE),IFERROR(VLOOKUP(D13,'Gestion Administrativa'!$E:$F,2,FALSE),IFERROR(VLOOKUP(D13,#REF!,2,FALSE),IFERROR(VLOOKUP(D13,#REF!,2,FALSE),IFERROR(VLOOKUP(D13,#REF!,2,FALSE),IFERROR(VLOOKUP(D13,#REF!,2,FALSE),IFERROR(VLOOKUP(D13,#REF!,2,FALSE),VLOOKUP(D13,#REF!,2,0))))))))))))</f>
        <v>#REF!</v>
      </c>
      <c r="D14" s="31"/>
      <c r="E14" s="103"/>
      <c r="F14" s="103"/>
      <c r="G14" s="103"/>
      <c r="H14" s="84"/>
      <c r="I14" s="84"/>
      <c r="J14" s="84"/>
      <c r="K14" s="122"/>
    </row>
    <row r="15" spans="1:576" x14ac:dyDescent="0.25">
      <c r="B15" s="103"/>
      <c r="C15" s="95" t="s">
        <v>1635</v>
      </c>
      <c r="F15" s="103"/>
      <c r="G15" s="84"/>
      <c r="H15" s="84"/>
      <c r="I15" s="84"/>
    </row>
    <row r="16" spans="1:576" ht="32.25" customHeight="1" thickBot="1" x14ac:dyDescent="0.3">
      <c r="B16" s="103"/>
      <c r="C16" s="159" t="s">
        <v>44</v>
      </c>
      <c r="D16" s="159" t="s">
        <v>55</v>
      </c>
      <c r="E16" s="159" t="s">
        <v>57</v>
      </c>
      <c r="F16" s="160" t="s">
        <v>27</v>
      </c>
      <c r="G16" s="160" t="s">
        <v>208</v>
      </c>
      <c r="H16" s="159" t="s">
        <v>46</v>
      </c>
      <c r="I16" s="159" t="s">
        <v>209</v>
      </c>
      <c r="J16" s="159" t="s">
        <v>491</v>
      </c>
      <c r="K16" s="159" t="s">
        <v>492</v>
      </c>
      <c r="L16" s="159" t="s">
        <v>548</v>
      </c>
    </row>
    <row r="17" spans="2:12" ht="15.75" thickBot="1" x14ac:dyDescent="0.3">
      <c r="B17" s="103"/>
      <c r="C17" s="369" t="s">
        <v>1545</v>
      </c>
      <c r="D17" s="168">
        <v>1</v>
      </c>
      <c r="E17" s="106">
        <f>HLOOKUP($C17,$CB$2:$CE$3,2,0)</f>
        <v>15000</v>
      </c>
      <c r="F17" s="107">
        <f>D17*E17</f>
        <v>15000</v>
      </c>
      <c r="G17" s="175" t="s">
        <v>207</v>
      </c>
      <c r="H17" s="108" t="s">
        <v>1191</v>
      </c>
      <c r="I17" s="108" t="str">
        <f>VLOOKUP(H17,Presupuesto!$B$8:$C$583,2,0)</f>
        <v>EQUIPOS VARIOS DE OFICINA</v>
      </c>
      <c r="J17" s="231" t="s">
        <v>187</v>
      </c>
      <c r="K17" s="108" t="s">
        <v>476</v>
      </c>
      <c r="L17" s="108"/>
    </row>
    <row r="18" spans="2:12" x14ac:dyDescent="0.25">
      <c r="B18" s="103"/>
      <c r="C18" s="369" t="s">
        <v>1543</v>
      </c>
      <c r="D18" s="161"/>
      <c r="E18" s="106">
        <f>HLOOKUP($C18,$CB$2:$CE$3,2,0)</f>
        <v>35000</v>
      </c>
      <c r="F18" s="107">
        <f>D18*E18</f>
        <v>0</v>
      </c>
      <c r="G18" s="175"/>
      <c r="H18" s="111">
        <v>42600</v>
      </c>
      <c r="I18" s="111" t="e">
        <f>VLOOKUP(H18,Presupuesto!$B$8:$C$583,2,0)</f>
        <v>#N/A</v>
      </c>
      <c r="J18" s="108" t="str">
        <f>$J$17</f>
        <v>Investigación</v>
      </c>
      <c r="K18" s="108" t="s">
        <v>493</v>
      </c>
      <c r="L18" s="108"/>
    </row>
    <row r="19" spans="2:12" x14ac:dyDescent="0.25">
      <c r="B19" s="103"/>
      <c r="C19" s="109" t="s">
        <v>73</v>
      </c>
      <c r="D19" s="161"/>
      <c r="E19" s="110">
        <v>4000</v>
      </c>
      <c r="F19" s="107">
        <f t="shared" ref="F19:F30" si="0">D19*E19</f>
        <v>0</v>
      </c>
      <c r="G19" s="175"/>
      <c r="H19" s="111">
        <v>42120</v>
      </c>
      <c r="I19" s="111" t="e">
        <f>VLOOKUP(H19,Presupuesto!$B$8:$C$583,2,0)</f>
        <v>#N/A</v>
      </c>
      <c r="J19" s="108" t="str">
        <f t="shared" ref="J19:J30" si="1">$J$17</f>
        <v>Investigación</v>
      </c>
      <c r="K19" s="108" t="s">
        <v>476</v>
      </c>
      <c r="L19" s="108"/>
    </row>
    <row r="20" spans="2:12" x14ac:dyDescent="0.25">
      <c r="B20" s="103"/>
      <c r="C20" s="109" t="s">
        <v>74</v>
      </c>
      <c r="D20" s="161">
        <v>1</v>
      </c>
      <c r="E20" s="110">
        <v>8000</v>
      </c>
      <c r="F20" s="107">
        <f t="shared" si="0"/>
        <v>8000</v>
      </c>
      <c r="G20" s="175" t="s">
        <v>207</v>
      </c>
      <c r="H20" s="111" t="s">
        <v>1191</v>
      </c>
      <c r="I20" s="111" t="str">
        <f>VLOOKUP(H20,Presupuesto!$B$8:$C$583,2,0)</f>
        <v>EQUIPOS VARIOS DE OFICINA</v>
      </c>
      <c r="J20" s="108" t="str">
        <f t="shared" si="1"/>
        <v>Investigación</v>
      </c>
      <c r="K20" s="108" t="s">
        <v>476</v>
      </c>
      <c r="L20" s="108"/>
    </row>
    <row r="21" spans="2:12" x14ac:dyDescent="0.25">
      <c r="B21" s="103"/>
      <c r="C21" s="109" t="s">
        <v>75</v>
      </c>
      <c r="D21" s="161">
        <v>1</v>
      </c>
      <c r="E21" s="110">
        <v>5000</v>
      </c>
      <c r="F21" s="107">
        <f t="shared" si="0"/>
        <v>5000</v>
      </c>
      <c r="G21" s="175" t="s">
        <v>207</v>
      </c>
      <c r="H21" s="111" t="s">
        <v>1191</v>
      </c>
      <c r="I21" s="111" t="str">
        <f>VLOOKUP(H21,Presupuesto!$B$8:$C$583,2,0)</f>
        <v>EQUIPOS VARIOS DE OFICINA</v>
      </c>
      <c r="J21" s="108" t="str">
        <f t="shared" si="1"/>
        <v>Investigación</v>
      </c>
      <c r="K21" s="108" t="s">
        <v>476</v>
      </c>
      <c r="L21" s="108"/>
    </row>
    <row r="22" spans="2:12" x14ac:dyDescent="0.25">
      <c r="B22" s="103"/>
      <c r="C22" s="109" t="s">
        <v>35</v>
      </c>
      <c r="D22" s="161">
        <v>1</v>
      </c>
      <c r="E22" s="110">
        <v>13000</v>
      </c>
      <c r="F22" s="107">
        <f t="shared" si="0"/>
        <v>13000</v>
      </c>
      <c r="G22" s="175" t="s">
        <v>207</v>
      </c>
      <c r="H22" s="111" t="s">
        <v>1191</v>
      </c>
      <c r="I22" s="111" t="str">
        <f>VLOOKUP(H22,Presupuesto!$B$8:$C$583,2,0)</f>
        <v>EQUIPOS VARIOS DE OFICINA</v>
      </c>
      <c r="J22" s="108" t="str">
        <f t="shared" si="1"/>
        <v>Investigación</v>
      </c>
      <c r="K22" s="108" t="s">
        <v>476</v>
      </c>
      <c r="L22" s="108"/>
    </row>
    <row r="23" spans="2:12" x14ac:dyDescent="0.25">
      <c r="B23" s="103"/>
      <c r="C23" s="109" t="s">
        <v>76</v>
      </c>
      <c r="D23" s="161"/>
      <c r="E23" s="110">
        <v>15000</v>
      </c>
      <c r="F23" s="107">
        <f t="shared" si="0"/>
        <v>0</v>
      </c>
      <c r="G23" s="175"/>
      <c r="H23" s="111">
        <v>42300</v>
      </c>
      <c r="I23" s="111" t="e">
        <f>VLOOKUP(H23,Presupuesto!$B$8:$C$583,2,0)</f>
        <v>#N/A</v>
      </c>
      <c r="J23" s="108" t="str">
        <f t="shared" si="1"/>
        <v>Investigación</v>
      </c>
      <c r="K23" s="108" t="s">
        <v>476</v>
      </c>
      <c r="L23" s="108"/>
    </row>
    <row r="24" spans="2:12" x14ac:dyDescent="0.25">
      <c r="B24" s="103"/>
      <c r="C24" s="109" t="s">
        <v>77</v>
      </c>
      <c r="D24" s="161">
        <v>1</v>
      </c>
      <c r="E24" s="110">
        <v>10000</v>
      </c>
      <c r="F24" s="107">
        <f t="shared" si="0"/>
        <v>10000</v>
      </c>
      <c r="G24" s="175" t="s">
        <v>207</v>
      </c>
      <c r="H24" s="111" t="s">
        <v>1191</v>
      </c>
      <c r="I24" s="111" t="str">
        <f>VLOOKUP(H24,Presupuesto!$B$8:$C$583,2,0)</f>
        <v>EQUIPOS VARIOS DE OFICINA</v>
      </c>
      <c r="J24" s="108" t="str">
        <f t="shared" si="1"/>
        <v>Investigación</v>
      </c>
      <c r="K24" s="108" t="s">
        <v>484</v>
      </c>
      <c r="L24" s="108"/>
    </row>
    <row r="25" spans="2:12" x14ac:dyDescent="0.25">
      <c r="C25" s="109" t="s">
        <v>78</v>
      </c>
      <c r="D25" s="161"/>
      <c r="E25" s="110">
        <v>10000</v>
      </c>
      <c r="F25" s="107">
        <f t="shared" si="0"/>
        <v>0</v>
      </c>
      <c r="G25" s="175"/>
      <c r="H25" s="111">
        <v>45100</v>
      </c>
      <c r="I25" s="111" t="e">
        <f>VLOOKUP(H25,Presupuesto!$B$8:$C$583,2,0)</f>
        <v>#N/A</v>
      </c>
      <c r="J25" s="108" t="str">
        <f t="shared" si="1"/>
        <v>Investigación</v>
      </c>
      <c r="K25" s="108" t="s">
        <v>480</v>
      </c>
      <c r="L25" s="108"/>
    </row>
    <row r="26" spans="2:12" x14ac:dyDescent="0.25">
      <c r="C26" s="119" t="s">
        <v>79</v>
      </c>
      <c r="D26" s="161">
        <v>1</v>
      </c>
      <c r="E26" s="110">
        <v>2000</v>
      </c>
      <c r="F26" s="107">
        <f t="shared" si="0"/>
        <v>2000</v>
      </c>
      <c r="G26" s="175" t="s">
        <v>207</v>
      </c>
      <c r="H26" s="120" t="s">
        <v>1191</v>
      </c>
      <c r="I26" s="120" t="str">
        <f>VLOOKUP(H26,Presupuesto!$B$8:$C$583,2,0)</f>
        <v>EQUIPOS VARIOS DE OFICINA</v>
      </c>
      <c r="J26" s="108" t="str">
        <f t="shared" si="1"/>
        <v>Investigación</v>
      </c>
      <c r="K26" s="108" t="s">
        <v>476</v>
      </c>
      <c r="L26" s="108"/>
    </row>
    <row r="27" spans="2:12" x14ac:dyDescent="0.25">
      <c r="C27" s="119" t="s">
        <v>80</v>
      </c>
      <c r="D27" s="161">
        <v>1</v>
      </c>
      <c r="E27" s="110">
        <v>1500</v>
      </c>
      <c r="F27" s="107">
        <f t="shared" si="0"/>
        <v>1500</v>
      </c>
      <c r="G27" s="175" t="s">
        <v>207</v>
      </c>
      <c r="H27" s="120" t="s">
        <v>1191</v>
      </c>
      <c r="I27" s="120" t="str">
        <f>VLOOKUP(H27,Presupuesto!$B$8:$C$583,2,0)</f>
        <v>EQUIPOS VARIOS DE OFICINA</v>
      </c>
      <c r="J27" s="108" t="str">
        <f t="shared" si="1"/>
        <v>Investigación</v>
      </c>
      <c r="K27" s="108" t="s">
        <v>476</v>
      </c>
      <c r="L27" s="108"/>
    </row>
    <row r="28" spans="2:12" x14ac:dyDescent="0.25">
      <c r="C28" s="119" t="s">
        <v>81</v>
      </c>
      <c r="D28" s="161">
        <v>1</v>
      </c>
      <c r="E28" s="110">
        <v>1500</v>
      </c>
      <c r="F28" s="107">
        <f t="shared" si="0"/>
        <v>1500</v>
      </c>
      <c r="G28" s="175" t="s">
        <v>207</v>
      </c>
      <c r="H28" s="120" t="s">
        <v>1191</v>
      </c>
      <c r="I28" s="120" t="str">
        <f>VLOOKUP(H28,Presupuesto!$B$8:$C$583,2,0)</f>
        <v>EQUIPOS VARIOS DE OFICINA</v>
      </c>
      <c r="J28" s="108" t="str">
        <f t="shared" si="1"/>
        <v>Investigación</v>
      </c>
      <c r="K28" s="108" t="s">
        <v>476</v>
      </c>
      <c r="L28" s="108"/>
    </row>
    <row r="29" spans="2:12" x14ac:dyDescent="0.25">
      <c r="C29" s="119" t="s">
        <v>82</v>
      </c>
      <c r="D29" s="161">
        <v>0</v>
      </c>
      <c r="E29" s="110">
        <v>500</v>
      </c>
      <c r="F29" s="107">
        <f t="shared" si="0"/>
        <v>0</v>
      </c>
      <c r="G29" s="175"/>
      <c r="H29" s="120">
        <v>39600</v>
      </c>
      <c r="I29" s="120" t="e">
        <f>VLOOKUP(H29,Presupuesto!$B$8:$C$583,2,0)</f>
        <v>#N/A</v>
      </c>
      <c r="J29" s="108" t="str">
        <f t="shared" si="1"/>
        <v>Investigación</v>
      </c>
      <c r="K29" s="108" t="s">
        <v>476</v>
      </c>
      <c r="L29" s="108"/>
    </row>
    <row r="30" spans="2:12" ht="15.75" thickBot="1" x14ac:dyDescent="0.3">
      <c r="B30" s="103"/>
      <c r="C30" s="112" t="s">
        <v>83</v>
      </c>
      <c r="D30" s="169"/>
      <c r="E30" s="114">
        <v>20</v>
      </c>
      <c r="F30" s="115">
        <f t="shared" si="0"/>
        <v>0</v>
      </c>
      <c r="G30" s="172"/>
      <c r="H30" s="116">
        <v>39600</v>
      </c>
      <c r="I30" s="116" t="e">
        <f>VLOOKUP(H30,Presupuesto!$B$8:$C$583,2,0)</f>
        <v>#N/A</v>
      </c>
      <c r="J30" s="116" t="str">
        <f t="shared" si="1"/>
        <v>Investigación</v>
      </c>
      <c r="K30" s="134" t="s">
        <v>475</v>
      </c>
      <c r="L30" s="134"/>
    </row>
    <row r="31" spans="2:12" x14ac:dyDescent="0.25">
      <c r="B31" s="103"/>
      <c r="F31" s="103"/>
      <c r="G31" s="84"/>
      <c r="H31" s="84"/>
      <c r="I31" s="84"/>
    </row>
    <row r="32" spans="2:12" ht="15.75" thickBot="1" x14ac:dyDescent="0.3"/>
    <row r="33" spans="3:12" ht="15.75" thickBot="1" x14ac:dyDescent="0.3">
      <c r="C33" s="29" t="s">
        <v>43</v>
      </c>
      <c r="D33" s="118">
        <f>SUM(F40:F53)</f>
        <v>0</v>
      </c>
      <c r="F33" s="69"/>
      <c r="G33" s="87"/>
      <c r="H33" s="69"/>
      <c r="I33" s="69"/>
    </row>
    <row r="34" spans="3:12" x14ac:dyDescent="0.25">
      <c r="C34" s="69"/>
      <c r="D34" s="31"/>
      <c r="E34" s="103"/>
      <c r="F34" s="103"/>
      <c r="G34" s="103"/>
      <c r="H34" s="84"/>
      <c r="I34" s="84"/>
      <c r="J34" s="84"/>
      <c r="K34" s="122"/>
    </row>
    <row r="35" spans="3:12" x14ac:dyDescent="0.25">
      <c r="C35" s="69"/>
      <c r="D35" s="31"/>
      <c r="E35" s="103"/>
      <c r="F35" s="103"/>
      <c r="G35" s="103"/>
      <c r="H35" s="84"/>
      <c r="I35" s="84"/>
      <c r="J35" s="84"/>
      <c r="K35" s="122"/>
    </row>
    <row r="36" spans="3:12" ht="15.75" x14ac:dyDescent="0.25">
      <c r="C36" s="217" t="s">
        <v>471</v>
      </c>
      <c r="D36" s="218"/>
      <c r="E36" s="103"/>
      <c r="F36" s="103"/>
      <c r="G36" s="103"/>
      <c r="H36" s="84"/>
      <c r="I36" s="84"/>
      <c r="J36" s="84"/>
      <c r="K36" s="122"/>
    </row>
    <row r="37" spans="3:12" ht="18.75" x14ac:dyDescent="0.25">
      <c r="C37" s="220" t="e">
        <f>IFERROR(VLOOKUP(D36,#REF!,2,FALSE),IFERROR(VLOOKUP(D36,#REF!,2,FALSE),IFERROR(VLOOKUP(D36,#REF!,2,FALSE),IFERROR(VLOOKUP(D36,'Docencia y Recursos Humanos '!$F:$G,2,FALSE),IFERROR(VLOOKUP(D36,Estudiantes!$E:$F,2,FALSE),IFERROR(VLOOKUP(D36,'Gestion Administrativa'!$E:$F,2,FALSE),IFERROR(VLOOKUP(D36,#REF!,2,FALSE),IFERROR(VLOOKUP(D36,#REF!,2,FALSE),IFERROR(VLOOKUP(D36,#REF!,2,FALSE),IFERROR(VLOOKUP(D36,#REF!,2,FALSE),IFERROR(VLOOKUP(D36,#REF!,2,FALSE),VLOOKUP(D36,#REF!,2,0))))))))))))</f>
        <v>#REF!</v>
      </c>
      <c r="D37" s="31"/>
      <c r="E37" s="103"/>
      <c r="F37" s="103"/>
      <c r="G37" s="103"/>
      <c r="H37" s="84"/>
      <c r="I37" s="84"/>
      <c r="J37" s="84"/>
      <c r="K37" s="122"/>
    </row>
    <row r="38" spans="3:12" x14ac:dyDescent="0.25">
      <c r="F38" s="103"/>
      <c r="G38" s="84"/>
      <c r="H38" s="84"/>
      <c r="I38" s="84"/>
    </row>
    <row r="39" spans="3:12" ht="30.75" thickBot="1" x14ac:dyDescent="0.3">
      <c r="C39" s="159" t="s">
        <v>44</v>
      </c>
      <c r="D39" s="159" t="s">
        <v>55</v>
      </c>
      <c r="E39" s="159" t="s">
        <v>57</v>
      </c>
      <c r="F39" s="160" t="s">
        <v>27</v>
      </c>
      <c r="G39" s="160" t="s">
        <v>208</v>
      </c>
      <c r="H39" s="159" t="s">
        <v>46</v>
      </c>
      <c r="I39" s="159" t="s">
        <v>209</v>
      </c>
      <c r="J39" s="159" t="s">
        <v>491</v>
      </c>
      <c r="K39" s="159" t="s">
        <v>492</v>
      </c>
      <c r="L39" s="159" t="s">
        <v>548</v>
      </c>
    </row>
    <row r="40" spans="3:12" ht="15.75" thickBot="1" x14ac:dyDescent="0.3">
      <c r="C40" s="369" t="s">
        <v>1545</v>
      </c>
      <c r="D40" s="168"/>
      <c r="E40" s="106">
        <f>HLOOKUP($C40,$CB$2:$CE$3,2,0)</f>
        <v>15000</v>
      </c>
      <c r="F40" s="107">
        <f>D40*E40</f>
        <v>0</v>
      </c>
      <c r="G40" s="175" t="s">
        <v>206</v>
      </c>
      <c r="H40" s="108" t="s">
        <v>333</v>
      </c>
      <c r="I40" s="108" t="str">
        <f>VLOOKUP(H40,Presupuesto!$B$8:$C$583,2,0)</f>
        <v>RESTRIBUCIONES A PERSONAL DIRECTIVO Y DE CONTROL (11300-00)</v>
      </c>
      <c r="J40" s="231" t="s">
        <v>494</v>
      </c>
      <c r="K40" s="108" t="s">
        <v>475</v>
      </c>
      <c r="L40" s="108"/>
    </row>
    <row r="41" spans="3:12" x14ac:dyDescent="0.25">
      <c r="C41" s="369" t="s">
        <v>1543</v>
      </c>
      <c r="D41" s="161"/>
      <c r="E41" s="106">
        <f>HLOOKUP($C41,$CB$2:$CE$3,2,0)</f>
        <v>35000</v>
      </c>
      <c r="F41" s="107">
        <f>D41*E41</f>
        <v>0</v>
      </c>
      <c r="G41" s="175"/>
      <c r="H41" s="111">
        <v>42600</v>
      </c>
      <c r="I41" s="111" t="e">
        <f>VLOOKUP(H41,Presupuesto!$B$8:$C$583,2,0)</f>
        <v>#N/A</v>
      </c>
      <c r="J41" s="108" t="str">
        <f>$J$17</f>
        <v>Investigación</v>
      </c>
      <c r="K41" s="108" t="s">
        <v>493</v>
      </c>
      <c r="L41" s="108"/>
    </row>
    <row r="42" spans="3:12" x14ac:dyDescent="0.25">
      <c r="C42" s="109" t="s">
        <v>73</v>
      </c>
      <c r="D42" s="161"/>
      <c r="E42" s="110">
        <v>4000</v>
      </c>
      <c r="F42" s="107">
        <f t="shared" ref="F42:F53" si="2">D42*E42</f>
        <v>0</v>
      </c>
      <c r="G42" s="175"/>
      <c r="H42" s="111">
        <v>42120</v>
      </c>
      <c r="I42" s="111" t="e">
        <f>VLOOKUP(H42,Presupuesto!$B$8:$C$583,2,0)</f>
        <v>#N/A</v>
      </c>
      <c r="J42" s="108" t="str">
        <f t="shared" ref="J42:J53" si="3">$J$17</f>
        <v>Investigación</v>
      </c>
      <c r="K42" s="108" t="s">
        <v>476</v>
      </c>
      <c r="L42" s="108"/>
    </row>
    <row r="43" spans="3:12" x14ac:dyDescent="0.25">
      <c r="C43" s="109" t="s">
        <v>74</v>
      </c>
      <c r="D43" s="161"/>
      <c r="E43" s="110">
        <v>8000</v>
      </c>
      <c r="F43" s="107">
        <f t="shared" si="2"/>
        <v>0</v>
      </c>
      <c r="G43" s="175" t="s">
        <v>206</v>
      </c>
      <c r="H43" s="111">
        <v>42600</v>
      </c>
      <c r="I43" s="111" t="e">
        <f>VLOOKUP(H43,Presupuesto!$B$8:$C$583,2,0)</f>
        <v>#N/A</v>
      </c>
      <c r="J43" s="108" t="str">
        <f t="shared" si="3"/>
        <v>Investigación</v>
      </c>
      <c r="K43" s="108" t="s">
        <v>476</v>
      </c>
      <c r="L43" s="108"/>
    </row>
    <row r="44" spans="3:12" x14ac:dyDescent="0.25">
      <c r="C44" s="109" t="s">
        <v>75</v>
      </c>
      <c r="D44" s="161"/>
      <c r="E44" s="110">
        <v>5000</v>
      </c>
      <c r="F44" s="107">
        <f t="shared" si="2"/>
        <v>0</v>
      </c>
      <c r="G44" s="175"/>
      <c r="H44" s="111">
        <v>42600</v>
      </c>
      <c r="I44" s="111" t="e">
        <f>VLOOKUP(H44,Presupuesto!$B$8:$C$583,2,0)</f>
        <v>#N/A</v>
      </c>
      <c r="J44" s="108" t="str">
        <f t="shared" si="3"/>
        <v>Investigación</v>
      </c>
      <c r="K44" s="108" t="s">
        <v>476</v>
      </c>
      <c r="L44" s="108"/>
    </row>
    <row r="45" spans="3:12" x14ac:dyDescent="0.25">
      <c r="C45" s="109" t="s">
        <v>35</v>
      </c>
      <c r="D45" s="161"/>
      <c r="E45" s="110">
        <v>13000</v>
      </c>
      <c r="F45" s="107">
        <f t="shared" si="2"/>
        <v>0</v>
      </c>
      <c r="G45" s="175"/>
      <c r="H45" s="111">
        <v>42300</v>
      </c>
      <c r="I45" s="111" t="e">
        <f>VLOOKUP(H45,Presupuesto!$B$8:$C$583,2,0)</f>
        <v>#N/A</v>
      </c>
      <c r="J45" s="108" t="str">
        <f t="shared" si="3"/>
        <v>Investigación</v>
      </c>
      <c r="K45" s="108" t="s">
        <v>476</v>
      </c>
      <c r="L45" s="108"/>
    </row>
    <row r="46" spans="3:12" x14ac:dyDescent="0.25">
      <c r="C46" s="109" t="s">
        <v>76</v>
      </c>
      <c r="D46" s="161"/>
      <c r="E46" s="110">
        <v>15000</v>
      </c>
      <c r="F46" s="107">
        <f t="shared" si="2"/>
        <v>0</v>
      </c>
      <c r="G46" s="175"/>
      <c r="H46" s="111">
        <v>42300</v>
      </c>
      <c r="I46" s="111" t="e">
        <f>VLOOKUP(H46,Presupuesto!$B$8:$C$583,2,0)</f>
        <v>#N/A</v>
      </c>
      <c r="J46" s="108" t="str">
        <f t="shared" si="3"/>
        <v>Investigación</v>
      </c>
      <c r="K46" s="108" t="s">
        <v>476</v>
      </c>
      <c r="L46" s="108"/>
    </row>
    <row r="47" spans="3:12" x14ac:dyDescent="0.25">
      <c r="C47" s="109" t="s">
        <v>77</v>
      </c>
      <c r="D47" s="161"/>
      <c r="E47" s="110">
        <v>10000</v>
      </c>
      <c r="F47" s="107">
        <f t="shared" si="2"/>
        <v>0</v>
      </c>
      <c r="G47" s="175"/>
      <c r="H47" s="111">
        <v>42300</v>
      </c>
      <c r="I47" s="111" t="e">
        <f>VLOOKUP(H47,Presupuesto!$B$8:$C$583,2,0)</f>
        <v>#N/A</v>
      </c>
      <c r="J47" s="108" t="str">
        <f t="shared" si="3"/>
        <v>Investigación</v>
      </c>
      <c r="K47" s="108" t="s">
        <v>484</v>
      </c>
      <c r="L47" s="108"/>
    </row>
    <row r="48" spans="3:12" x14ac:dyDescent="0.25">
      <c r="C48" s="109" t="s">
        <v>78</v>
      </c>
      <c r="D48" s="161"/>
      <c r="E48" s="110">
        <v>10000</v>
      </c>
      <c r="F48" s="107">
        <f t="shared" si="2"/>
        <v>0</v>
      </c>
      <c r="G48" s="175"/>
      <c r="H48" s="111">
        <v>45100</v>
      </c>
      <c r="I48" s="111" t="e">
        <f>VLOOKUP(H48,Presupuesto!$B$8:$C$583,2,0)</f>
        <v>#N/A</v>
      </c>
      <c r="J48" s="108" t="str">
        <f t="shared" si="3"/>
        <v>Investigación</v>
      </c>
      <c r="K48" s="108" t="s">
        <v>480</v>
      </c>
      <c r="L48" s="108"/>
    </row>
    <row r="49" spans="3:12" x14ac:dyDescent="0.25">
      <c r="C49" s="119" t="s">
        <v>79</v>
      </c>
      <c r="D49" s="161"/>
      <c r="E49" s="110">
        <v>2000</v>
      </c>
      <c r="F49" s="107">
        <f t="shared" si="2"/>
        <v>0</v>
      </c>
      <c r="G49" s="175"/>
      <c r="H49" s="120">
        <v>42600</v>
      </c>
      <c r="I49" s="120" t="e">
        <f>VLOOKUP(H49,Presupuesto!$B$8:$C$583,2,0)</f>
        <v>#N/A</v>
      </c>
      <c r="J49" s="108" t="str">
        <f t="shared" si="3"/>
        <v>Investigación</v>
      </c>
      <c r="K49" s="108" t="s">
        <v>476</v>
      </c>
      <c r="L49" s="108"/>
    </row>
    <row r="50" spans="3:12" x14ac:dyDescent="0.25">
      <c r="C50" s="119" t="s">
        <v>80</v>
      </c>
      <c r="D50" s="161"/>
      <c r="E50" s="110">
        <v>1500</v>
      </c>
      <c r="F50" s="107">
        <f t="shared" si="2"/>
        <v>0</v>
      </c>
      <c r="G50" s="175"/>
      <c r="H50" s="120">
        <v>39300</v>
      </c>
      <c r="I50" s="120" t="e">
        <f>VLOOKUP(H50,Presupuesto!$B$8:$C$583,2,0)</f>
        <v>#N/A</v>
      </c>
      <c r="J50" s="108" t="str">
        <f t="shared" si="3"/>
        <v>Investigación</v>
      </c>
      <c r="K50" s="108" t="s">
        <v>476</v>
      </c>
      <c r="L50" s="108"/>
    </row>
    <row r="51" spans="3:12" x14ac:dyDescent="0.25">
      <c r="C51" s="119" t="s">
        <v>81</v>
      </c>
      <c r="D51" s="161"/>
      <c r="E51" s="110">
        <v>1500</v>
      </c>
      <c r="F51" s="107">
        <f t="shared" si="2"/>
        <v>0</v>
      </c>
      <c r="G51" s="175"/>
      <c r="H51" s="120">
        <v>42600</v>
      </c>
      <c r="I51" s="120" t="e">
        <f>VLOOKUP(H51,Presupuesto!$B$8:$C$583,2,0)</f>
        <v>#N/A</v>
      </c>
      <c r="J51" s="108" t="str">
        <f t="shared" si="3"/>
        <v>Investigación</v>
      </c>
      <c r="K51" s="108" t="s">
        <v>476</v>
      </c>
      <c r="L51" s="108"/>
    </row>
    <row r="52" spans="3:12" x14ac:dyDescent="0.25">
      <c r="C52" s="119" t="s">
        <v>82</v>
      </c>
      <c r="D52" s="161"/>
      <c r="E52" s="110">
        <v>500</v>
      </c>
      <c r="F52" s="107">
        <f t="shared" si="2"/>
        <v>0</v>
      </c>
      <c r="G52" s="175"/>
      <c r="H52" s="120">
        <v>39600</v>
      </c>
      <c r="I52" s="120" t="e">
        <f>VLOOKUP(H52,Presupuesto!$B$8:$C$583,2,0)</f>
        <v>#N/A</v>
      </c>
      <c r="J52" s="108" t="str">
        <f t="shared" si="3"/>
        <v>Investigación</v>
      </c>
      <c r="K52" s="108" t="s">
        <v>476</v>
      </c>
      <c r="L52" s="108"/>
    </row>
    <row r="53" spans="3:12" ht="15.75" thickBot="1" x14ac:dyDescent="0.3">
      <c r="C53" s="112" t="s">
        <v>83</v>
      </c>
      <c r="D53" s="169"/>
      <c r="E53" s="114">
        <v>20</v>
      </c>
      <c r="F53" s="115">
        <f t="shared" si="2"/>
        <v>0</v>
      </c>
      <c r="G53" s="172"/>
      <c r="H53" s="116">
        <v>39600</v>
      </c>
      <c r="I53" s="116" t="e">
        <f>VLOOKUP(H53,Presupuesto!$B$8:$C$583,2,0)</f>
        <v>#N/A</v>
      </c>
      <c r="J53" s="116" t="str">
        <f t="shared" si="3"/>
        <v>Investigación</v>
      </c>
      <c r="K53" s="134" t="s">
        <v>475</v>
      </c>
      <c r="L53" s="134"/>
    </row>
    <row r="56" spans="3:12" ht="15.75" thickBot="1" x14ac:dyDescent="0.3">
      <c r="C56" s="475" t="s">
        <v>1733</v>
      </c>
      <c r="D56" s="117"/>
      <c r="E56" s="117"/>
      <c r="F56" s="117"/>
      <c r="G56" s="86"/>
      <c r="H56" s="117"/>
      <c r="I56" s="117"/>
    </row>
    <row r="57" spans="3:12" ht="15.75" thickBot="1" x14ac:dyDescent="0.3">
      <c r="C57" s="29" t="s">
        <v>43</v>
      </c>
      <c r="D57" s="118">
        <f>SUM(F64:F77)</f>
        <v>188680</v>
      </c>
      <c r="F57" s="69"/>
      <c r="G57" s="87"/>
      <c r="H57" s="69"/>
      <c r="I57" s="69"/>
    </row>
    <row r="58" spans="3:12" x14ac:dyDescent="0.25">
      <c r="C58" s="69"/>
      <c r="D58" s="31"/>
      <c r="E58" s="103"/>
      <c r="F58" s="103"/>
      <c r="G58" s="103"/>
      <c r="H58" s="84"/>
      <c r="I58" s="84"/>
      <c r="J58" s="84"/>
      <c r="K58" s="122"/>
    </row>
    <row r="59" spans="3:12" x14ac:dyDescent="0.25">
      <c r="C59" s="69"/>
      <c r="D59" s="31"/>
      <c r="E59" s="103"/>
      <c r="F59" s="103"/>
      <c r="G59" s="103"/>
      <c r="H59" s="84"/>
      <c r="I59" s="84"/>
      <c r="J59" s="84"/>
      <c r="K59" s="122"/>
    </row>
    <row r="60" spans="3:12" ht="15.75" x14ac:dyDescent="0.25">
      <c r="C60" s="217" t="s">
        <v>471</v>
      </c>
      <c r="D60" s="218"/>
      <c r="E60" s="103"/>
      <c r="F60" s="103"/>
      <c r="G60" s="103"/>
      <c r="H60" s="84"/>
      <c r="I60" s="84"/>
      <c r="J60" s="84"/>
      <c r="K60" s="122"/>
    </row>
    <row r="61" spans="3:12" ht="18.75" x14ac:dyDescent="0.25">
      <c r="C61" s="220">
        <f>IFERROR(VLOOKUP(D60,'[2]Desarrollo Curricular'!$E:$F,2,FALSE),IFERROR(VLOOKUP(D60,[2]Investigación!$E:$F,2,FALSE),IFERROR(VLOOKUP(D60,'[2]Vinculación Univ. Sociedad'!$E:$F,2,FALSE),IFERROR(VLOOKUP(D60,'[2]Docencia y Recursos Humanos '!$E:$F,2,FALSE),IFERROR(VLOOKUP(D60,[2]Estudiantes!$E:$F,2,FALSE),IFERROR(VLOOKUP(D60,'[2]Gestion Administrativa'!$E:$F,2,FALSE),IFERROR(VLOOKUP(D60,'[2]Gestion Academica'!$E:$F,2,FALSE),IFERROR(VLOOKUP(D60,[2]Graduados!$E:$F,2,FALSE),IFERROR(VLOOKUP(D60,'[2]Gestión del Conocimiento'!$E:$F,2,FALSE),IFERROR(VLOOKUP(D60,[2]Gobernabilidad!$E:$F,2,FALSE),IFERROR(VLOOKUP(D60,'[2]NIVEL DE ES Y  SISTEMA NACIONAL'!$E:$F,2,FALSE),VLOOKUP(D60,'[2]Lo Esencial'!$E:$F,2,0))))))))))))</f>
        <v>0</v>
      </c>
      <c r="D61" s="31"/>
      <c r="E61" s="103"/>
      <c r="F61" s="103"/>
      <c r="G61" s="103"/>
      <c r="H61" s="84"/>
      <c r="I61" s="84"/>
      <c r="J61" s="84"/>
      <c r="K61" s="122"/>
    </row>
    <row r="62" spans="3:12" x14ac:dyDescent="0.25">
      <c r="F62" s="103"/>
      <c r="G62" s="84"/>
      <c r="H62" s="84"/>
      <c r="I62" s="84"/>
    </row>
    <row r="63" spans="3:12" ht="30.75" thickBot="1" x14ac:dyDescent="0.3">
      <c r="C63" s="159" t="s">
        <v>44</v>
      </c>
      <c r="D63" s="159" t="s">
        <v>55</v>
      </c>
      <c r="E63" s="159" t="s">
        <v>57</v>
      </c>
      <c r="F63" s="160" t="s">
        <v>27</v>
      </c>
      <c r="G63" s="160" t="s">
        <v>208</v>
      </c>
      <c r="H63" s="159" t="s">
        <v>46</v>
      </c>
      <c r="I63" s="159" t="s">
        <v>209</v>
      </c>
      <c r="J63" s="159" t="s">
        <v>491</v>
      </c>
      <c r="K63" s="159" t="s">
        <v>492</v>
      </c>
      <c r="L63" s="159" t="s">
        <v>548</v>
      </c>
    </row>
    <row r="64" spans="3:12" ht="15.75" thickBot="1" x14ac:dyDescent="0.3">
      <c r="C64" s="369" t="s">
        <v>1545</v>
      </c>
      <c r="D64" s="168">
        <v>2</v>
      </c>
      <c r="E64" s="106">
        <f>HLOOKUP($C64,$CB$2:$CE$3,2,0)</f>
        <v>15000</v>
      </c>
      <c r="F64" s="107">
        <f>D64*E64</f>
        <v>30000</v>
      </c>
      <c r="G64" s="175" t="s">
        <v>207</v>
      </c>
      <c r="H64" s="108" t="s">
        <v>1219</v>
      </c>
      <c r="I64" s="108" t="str">
        <f>VLOOKUP(H64,[2]Presupuesto!$B$8:$C$583,2,0)</f>
        <v>EQUIPO DE COMPUTACION</v>
      </c>
      <c r="J64" s="231" t="s">
        <v>559</v>
      </c>
      <c r="K64" s="108" t="s">
        <v>477</v>
      </c>
      <c r="L64" s="108"/>
    </row>
    <row r="65" spans="3:12" x14ac:dyDescent="0.25">
      <c r="C65" s="369" t="s">
        <v>1543</v>
      </c>
      <c r="D65" s="161"/>
      <c r="E65" s="106"/>
      <c r="F65" s="107">
        <f>D65*E65</f>
        <v>0</v>
      </c>
      <c r="G65" s="175"/>
      <c r="H65" s="111"/>
      <c r="I65" s="111" t="e">
        <f>VLOOKUP(H65,[2]Presupuesto!$B$8:$C$583,2,0)</f>
        <v>#N/A</v>
      </c>
      <c r="J65" s="231" t="s">
        <v>559</v>
      </c>
      <c r="K65" s="108" t="s">
        <v>477</v>
      </c>
      <c r="L65" s="108"/>
    </row>
    <row r="66" spans="3:12" x14ac:dyDescent="0.25">
      <c r="C66" s="109" t="s">
        <v>73</v>
      </c>
      <c r="D66" s="161"/>
      <c r="E66" s="110"/>
      <c r="F66" s="107">
        <f t="shared" ref="F66:F77" si="4">D66*E66</f>
        <v>0</v>
      </c>
      <c r="G66" s="175"/>
      <c r="H66" s="111"/>
      <c r="I66" s="111" t="e">
        <f>VLOOKUP(H66,[2]Presupuesto!$B$8:$C$583,2,0)</f>
        <v>#N/A</v>
      </c>
      <c r="J66" s="231" t="s">
        <v>559</v>
      </c>
      <c r="K66" s="108" t="s">
        <v>477</v>
      </c>
      <c r="L66" s="108"/>
    </row>
    <row r="67" spans="3:12" x14ac:dyDescent="0.25">
      <c r="C67" s="109" t="s">
        <v>74</v>
      </c>
      <c r="D67" s="161"/>
      <c r="E67" s="110"/>
      <c r="F67" s="107">
        <f t="shared" si="4"/>
        <v>0</v>
      </c>
      <c r="G67" s="175" t="s">
        <v>207</v>
      </c>
      <c r="H67" s="111"/>
      <c r="I67" s="111" t="e">
        <f>VLOOKUP(H67,[2]Presupuesto!$B$8:$C$583,2,0)</f>
        <v>#N/A</v>
      </c>
      <c r="J67" s="231" t="s">
        <v>559</v>
      </c>
      <c r="K67" s="108" t="s">
        <v>477</v>
      </c>
      <c r="L67" s="108"/>
    </row>
    <row r="68" spans="3:12" x14ac:dyDescent="0.25">
      <c r="C68" s="109" t="s">
        <v>75</v>
      </c>
      <c r="D68" s="161"/>
      <c r="E68" s="110"/>
      <c r="F68" s="107">
        <f t="shared" si="4"/>
        <v>0</v>
      </c>
      <c r="G68" s="175"/>
      <c r="H68" s="111"/>
      <c r="I68" s="111" t="e">
        <f>VLOOKUP(H68,[2]Presupuesto!$B$8:$C$583,2,0)</f>
        <v>#N/A</v>
      </c>
      <c r="J68" s="231" t="s">
        <v>559</v>
      </c>
      <c r="K68" s="108" t="s">
        <v>477</v>
      </c>
      <c r="L68" s="108"/>
    </row>
    <row r="69" spans="3:12" x14ac:dyDescent="0.25">
      <c r="C69" s="109" t="s">
        <v>35</v>
      </c>
      <c r="D69" s="161">
        <v>10</v>
      </c>
      <c r="E69" s="110">
        <v>14000</v>
      </c>
      <c r="F69" s="107">
        <f t="shared" si="4"/>
        <v>140000</v>
      </c>
      <c r="G69" s="175" t="s">
        <v>207</v>
      </c>
      <c r="H69" s="111" t="s">
        <v>1230</v>
      </c>
      <c r="I69" s="111" t="str">
        <f>VLOOKUP(H69,[2]Presupuesto!$B$8:$C$583,2,0)</f>
        <v>EQUIPO EDUCACIONAL Y RECREATIVO</v>
      </c>
      <c r="J69" s="231" t="s">
        <v>559</v>
      </c>
      <c r="K69" s="108" t="s">
        <v>477</v>
      </c>
      <c r="L69" s="108"/>
    </row>
    <row r="70" spans="3:12" x14ac:dyDescent="0.25">
      <c r="C70" s="109" t="s">
        <v>76</v>
      </c>
      <c r="D70" s="161"/>
      <c r="E70" s="110"/>
      <c r="F70" s="107">
        <f t="shared" si="4"/>
        <v>0</v>
      </c>
      <c r="G70" s="175"/>
      <c r="H70" s="111"/>
      <c r="I70" s="111" t="e">
        <f>VLOOKUP(H70,[2]Presupuesto!$B$8:$C$583,2,0)</f>
        <v>#N/A</v>
      </c>
      <c r="J70" s="231" t="s">
        <v>559</v>
      </c>
      <c r="K70" s="108" t="s">
        <v>477</v>
      </c>
      <c r="L70" s="108"/>
    </row>
    <row r="71" spans="3:12" x14ac:dyDescent="0.25">
      <c r="C71" s="109" t="s">
        <v>77</v>
      </c>
      <c r="D71" s="161"/>
      <c r="E71" s="110"/>
      <c r="F71" s="107">
        <f t="shared" si="4"/>
        <v>0</v>
      </c>
      <c r="G71" s="175"/>
      <c r="H71" s="111"/>
      <c r="I71" s="111" t="e">
        <f>VLOOKUP(H71,[2]Presupuesto!$B$8:$C$583,2,0)</f>
        <v>#N/A</v>
      </c>
      <c r="J71" s="231" t="s">
        <v>559</v>
      </c>
      <c r="K71" s="108" t="s">
        <v>477</v>
      </c>
      <c r="L71" s="108"/>
    </row>
    <row r="72" spans="3:12" x14ac:dyDescent="0.25">
      <c r="C72" s="109" t="s">
        <v>78</v>
      </c>
      <c r="D72" s="161">
        <v>4</v>
      </c>
      <c r="E72" s="110">
        <v>2000</v>
      </c>
      <c r="F72" s="107">
        <f t="shared" si="4"/>
        <v>8000</v>
      </c>
      <c r="G72" s="175" t="s">
        <v>207</v>
      </c>
      <c r="H72" s="111" t="s">
        <v>420</v>
      </c>
      <c r="I72" s="111" t="str">
        <f>VLOOKUP(H72,[2]Presupuesto!$B$8:$C$583,2,0)</f>
        <v>APLICACIONES INFORMATICAS (45100-00)</v>
      </c>
      <c r="J72" s="231" t="s">
        <v>559</v>
      </c>
      <c r="K72" s="108" t="s">
        <v>477</v>
      </c>
      <c r="L72" s="108"/>
    </row>
    <row r="73" spans="3:12" x14ac:dyDescent="0.25">
      <c r="C73" s="119" t="s">
        <v>79</v>
      </c>
      <c r="D73" s="161"/>
      <c r="E73" s="110"/>
      <c r="F73" s="107">
        <f t="shared" si="4"/>
        <v>0</v>
      </c>
      <c r="G73" s="175"/>
      <c r="H73" s="120"/>
      <c r="I73" s="120" t="e">
        <f>VLOOKUP(H73,[2]Presupuesto!$B$8:$C$583,2,0)</f>
        <v>#N/A</v>
      </c>
      <c r="J73" s="231" t="s">
        <v>559</v>
      </c>
      <c r="K73" s="108" t="s">
        <v>477</v>
      </c>
      <c r="L73" s="108"/>
    </row>
    <row r="74" spans="3:12" x14ac:dyDescent="0.25">
      <c r="C74" s="119" t="s">
        <v>80</v>
      </c>
      <c r="D74" s="161">
        <v>6</v>
      </c>
      <c r="E74" s="110">
        <v>1200</v>
      </c>
      <c r="F74" s="107">
        <f t="shared" si="4"/>
        <v>7200</v>
      </c>
      <c r="G74" s="175" t="s">
        <v>207</v>
      </c>
      <c r="H74" s="120" t="s">
        <v>417</v>
      </c>
      <c r="I74" s="120" t="str">
        <f>VLOOKUP(H74,[2]Presupuesto!$B$8:$C$583,2,0)</f>
        <v>EQUIPOS PARA COMPUTACION</v>
      </c>
      <c r="J74" s="231" t="s">
        <v>559</v>
      </c>
      <c r="K74" s="108" t="s">
        <v>477</v>
      </c>
      <c r="L74" s="108"/>
    </row>
    <row r="75" spans="3:12" x14ac:dyDescent="0.25">
      <c r="C75" s="119" t="s">
        <v>81</v>
      </c>
      <c r="D75" s="161"/>
      <c r="E75" s="110"/>
      <c r="F75" s="107">
        <f t="shared" si="4"/>
        <v>0</v>
      </c>
      <c r="G75" s="175"/>
      <c r="H75" s="120"/>
      <c r="I75" s="120" t="e">
        <f>VLOOKUP(H75,[2]Presupuesto!$B$8:$C$583,2,0)</f>
        <v>#N/A</v>
      </c>
      <c r="J75" s="231" t="s">
        <v>559</v>
      </c>
      <c r="K75" s="108" t="s">
        <v>477</v>
      </c>
      <c r="L75" s="108"/>
    </row>
    <row r="76" spans="3:12" x14ac:dyDescent="0.25">
      <c r="C76" s="119" t="s">
        <v>82</v>
      </c>
      <c r="D76" s="161">
        <v>10</v>
      </c>
      <c r="E76" s="110">
        <v>300</v>
      </c>
      <c r="F76" s="107">
        <f t="shared" si="4"/>
        <v>3000</v>
      </c>
      <c r="G76" s="175" t="s">
        <v>207</v>
      </c>
      <c r="H76" s="120" t="s">
        <v>1160</v>
      </c>
      <c r="I76" s="120" t="str">
        <f>VLOOKUP(H76,[2]Presupuesto!$B$8:$C$583,2,0)</f>
        <v>OTROS RESPUESTOS Y ACCESORIOS MENORES</v>
      </c>
      <c r="J76" s="108" t="str">
        <f>$J$17</f>
        <v>Investigación</v>
      </c>
      <c r="K76" s="108" t="s">
        <v>477</v>
      </c>
      <c r="L76" s="108"/>
    </row>
    <row r="77" spans="3:12" ht="15.75" thickBot="1" x14ac:dyDescent="0.3">
      <c r="C77" s="112" t="s">
        <v>83</v>
      </c>
      <c r="D77" s="169">
        <v>24</v>
      </c>
      <c r="E77" s="114">
        <v>20</v>
      </c>
      <c r="F77" s="115">
        <f t="shared" si="4"/>
        <v>480</v>
      </c>
      <c r="G77" s="172" t="s">
        <v>207</v>
      </c>
      <c r="H77" s="116" t="s">
        <v>1160</v>
      </c>
      <c r="I77" s="116" t="str">
        <f>VLOOKUP(H77,[2]Presupuesto!$B$8:$C$583,2,0)</f>
        <v>OTROS RESPUESTOS Y ACCESORIOS MENORES</v>
      </c>
      <c r="J77" s="116" t="str">
        <f>$J$17</f>
        <v>Investigación</v>
      </c>
      <c r="K77" s="108" t="s">
        <v>477</v>
      </c>
      <c r="L77" s="134"/>
    </row>
    <row r="80" spans="3:12" ht="21" x14ac:dyDescent="0.25">
      <c r="C80" s="117"/>
      <c r="D80" s="117"/>
      <c r="E80" s="478" t="s">
        <v>1739</v>
      </c>
      <c r="F80" s="117"/>
      <c r="G80" s="86"/>
      <c r="H80" s="117"/>
      <c r="I80" s="117"/>
    </row>
    <row r="81" spans="3:12" ht="15.75" thickBot="1" x14ac:dyDescent="0.3">
      <c r="C81" s="117"/>
      <c r="D81" s="117"/>
      <c r="E81" s="117"/>
      <c r="F81" s="117"/>
      <c r="G81" s="86"/>
      <c r="H81" s="117"/>
      <c r="I81" s="117"/>
    </row>
    <row r="82" spans="3:12" ht="15.75" thickBot="1" x14ac:dyDescent="0.3">
      <c r="C82" s="29" t="s">
        <v>43</v>
      </c>
      <c r="D82" s="118">
        <f>SUM(F89:F102)</f>
        <v>39900</v>
      </c>
      <c r="F82" s="69"/>
      <c r="G82" s="87"/>
      <c r="H82" s="69"/>
      <c r="I82" s="69"/>
    </row>
    <row r="83" spans="3:12" x14ac:dyDescent="0.25">
      <c r="C83" s="69"/>
      <c r="D83" s="31"/>
      <c r="E83" s="103"/>
      <c r="F83" s="103"/>
      <c r="G83" s="103"/>
      <c r="H83" s="84"/>
      <c r="I83" s="84"/>
      <c r="J83" s="84"/>
      <c r="K83" s="122"/>
    </row>
    <row r="84" spans="3:12" x14ac:dyDescent="0.25">
      <c r="C84" s="69"/>
      <c r="D84" s="31"/>
      <c r="E84" s="103"/>
      <c r="F84" s="103"/>
      <c r="G84" s="103"/>
      <c r="H84" s="84"/>
      <c r="I84" s="84"/>
      <c r="J84" s="84"/>
      <c r="K84" s="122"/>
    </row>
    <row r="85" spans="3:12" ht="15.75" x14ac:dyDescent="0.25">
      <c r="C85" s="217" t="s">
        <v>471</v>
      </c>
      <c r="D85" s="218"/>
      <c r="E85" s="103"/>
      <c r="F85" s="103"/>
      <c r="G85" s="103"/>
      <c r="H85" s="84"/>
      <c r="I85" s="84"/>
      <c r="J85" s="84"/>
      <c r="K85" s="122"/>
    </row>
    <row r="86" spans="3:12" ht="18.75" x14ac:dyDescent="0.25">
      <c r="C86" s="220">
        <f>IFERROR(VLOOKUP(D85,'[8]Desarrollo Curricular'!$E:$F,2,FALSE),IFERROR(VLOOKUP(D85,[8]Investigación!$E:$F,2,FALSE),IFERROR(VLOOKUP(D85,'[8]Vinculación Univ. Sociedad'!$E:$F,2,FALSE),IFERROR(VLOOKUP(D85,'[8]Docencia y Recursos Humanos '!$E:$F,2,FALSE),IFERROR(VLOOKUP(D85,[8]Estudiantes!$E:$F,2,FALSE),IFERROR(VLOOKUP(D85,'[8]Gestion Administrativa'!$E:$F,2,FALSE),IFERROR(VLOOKUP(D85,'[8]Gestion Academica'!$E:$F,2,FALSE),IFERROR(VLOOKUP(D85,[8]Graduados!$E:$F,2,FALSE),IFERROR(VLOOKUP(D85,'[8]Gestión del Conocimiento'!$E:$F,2,FALSE),IFERROR(VLOOKUP(D85,[8]Gobernabilidad!$E:$F,2,FALSE),IFERROR(VLOOKUP(D85,'[8]NIVEL DE ES Y  SISTEMA NACIONAL'!$E:$F,2,FALSE),VLOOKUP(D85,'[8]Lo Esencial'!$E:$F,2,0))))))))))))</f>
        <v>0</v>
      </c>
      <c r="D86" s="31"/>
      <c r="E86" s="103"/>
      <c r="F86" s="103"/>
      <c r="G86" s="103"/>
      <c r="H86" s="84"/>
      <c r="I86" s="84"/>
      <c r="J86" s="84"/>
      <c r="K86" s="122"/>
    </row>
    <row r="87" spans="3:12" x14ac:dyDescent="0.25">
      <c r="F87" s="103"/>
      <c r="G87" s="84"/>
      <c r="H87" s="84"/>
      <c r="I87" s="84"/>
    </row>
    <row r="88" spans="3:12" ht="30.75" thickBot="1" x14ac:dyDescent="0.3">
      <c r="C88" s="159" t="s">
        <v>44</v>
      </c>
      <c r="D88" s="159" t="s">
        <v>55</v>
      </c>
      <c r="E88" s="159" t="s">
        <v>57</v>
      </c>
      <c r="F88" s="160" t="s">
        <v>27</v>
      </c>
      <c r="G88" s="160" t="s">
        <v>208</v>
      </c>
      <c r="H88" s="159" t="s">
        <v>46</v>
      </c>
      <c r="I88" s="159" t="s">
        <v>209</v>
      </c>
      <c r="J88" s="159" t="s">
        <v>491</v>
      </c>
      <c r="K88" s="159" t="s">
        <v>492</v>
      </c>
      <c r="L88" s="159" t="s">
        <v>548</v>
      </c>
    </row>
    <row r="89" spans="3:12" ht="15.75" thickBot="1" x14ac:dyDescent="0.3">
      <c r="C89" s="369" t="s">
        <v>1544</v>
      </c>
      <c r="D89" s="168">
        <v>2</v>
      </c>
      <c r="E89" s="106">
        <f>HLOOKUP($C89,$CB$2:$CE$3,2,0)</f>
        <v>15000</v>
      </c>
      <c r="F89" s="107">
        <f>D89*E89</f>
        <v>30000</v>
      </c>
      <c r="G89" s="175" t="s">
        <v>207</v>
      </c>
      <c r="H89" s="108" t="s">
        <v>1219</v>
      </c>
      <c r="I89" s="108" t="str">
        <f>VLOOKUP(H89,[8]Presupuesto!$B$8:$C$583,2,0)</f>
        <v>EQUIPO DE COMPUTACION</v>
      </c>
      <c r="J89" s="231" t="s">
        <v>559</v>
      </c>
      <c r="K89" s="108" t="s">
        <v>478</v>
      </c>
      <c r="L89" s="108"/>
    </row>
    <row r="90" spans="3:12" x14ac:dyDescent="0.25">
      <c r="C90" s="369" t="s">
        <v>1543</v>
      </c>
      <c r="D90" s="479">
        <v>0</v>
      </c>
      <c r="E90" s="480">
        <f>HLOOKUP($C90,$CB$2:$CE$3,2,0)</f>
        <v>35000</v>
      </c>
      <c r="F90" s="481">
        <f>D90*E90</f>
        <v>0</v>
      </c>
      <c r="G90" s="482"/>
      <c r="H90" s="483">
        <v>42600</v>
      </c>
      <c r="I90" s="111" t="e">
        <f>VLOOKUP(H90,[8]Presupuesto!$B$8:$C$583,2,0)</f>
        <v>#N/A</v>
      </c>
      <c r="J90" s="231" t="s">
        <v>559</v>
      </c>
      <c r="K90" s="108" t="s">
        <v>493</v>
      </c>
      <c r="L90" s="108"/>
    </row>
    <row r="91" spans="3:12" x14ac:dyDescent="0.25">
      <c r="C91" s="484" t="s">
        <v>73</v>
      </c>
      <c r="D91" s="479">
        <v>1</v>
      </c>
      <c r="E91" s="485">
        <v>6000</v>
      </c>
      <c r="F91" s="481">
        <f t="shared" ref="F91:F102" si="5">D91*E91</f>
        <v>6000</v>
      </c>
      <c r="G91" s="482" t="s">
        <v>207</v>
      </c>
      <c r="H91" s="483" t="s">
        <v>1200</v>
      </c>
      <c r="I91" s="108" t="str">
        <f>VLOOKUP(H91,[8]Presupuesto!$B$8:$C$583,2,0)</f>
        <v>OTROS</v>
      </c>
      <c r="J91" s="231" t="s">
        <v>559</v>
      </c>
      <c r="K91" s="108" t="s">
        <v>476</v>
      </c>
      <c r="L91" s="108"/>
    </row>
    <row r="92" spans="3:12" x14ac:dyDescent="0.25">
      <c r="C92" s="109" t="s">
        <v>74</v>
      </c>
      <c r="D92" s="161">
        <v>0</v>
      </c>
      <c r="E92" s="110">
        <v>8000</v>
      </c>
      <c r="F92" s="107">
        <f t="shared" si="5"/>
        <v>0</v>
      </c>
      <c r="G92" s="175" t="s">
        <v>206</v>
      </c>
      <c r="H92" s="111">
        <v>42600</v>
      </c>
      <c r="I92" s="111" t="e">
        <f>VLOOKUP(H92,[8]Presupuesto!$B$8:$C$583,2,0)</f>
        <v>#N/A</v>
      </c>
      <c r="J92" s="231" t="s">
        <v>559</v>
      </c>
      <c r="K92" s="108" t="s">
        <v>476</v>
      </c>
      <c r="L92" s="108"/>
    </row>
    <row r="93" spans="3:12" x14ac:dyDescent="0.25">
      <c r="C93" s="109" t="s">
        <v>75</v>
      </c>
      <c r="D93" s="161">
        <v>0</v>
      </c>
      <c r="E93" s="110">
        <v>5000</v>
      </c>
      <c r="F93" s="107">
        <f t="shared" si="5"/>
        <v>0</v>
      </c>
      <c r="G93" s="175"/>
      <c r="H93" s="111">
        <v>42600</v>
      </c>
      <c r="I93" s="111" t="e">
        <f>VLOOKUP(H93,[8]Presupuesto!$B$8:$C$583,2,0)</f>
        <v>#N/A</v>
      </c>
      <c r="J93" s="231" t="s">
        <v>559</v>
      </c>
      <c r="K93" s="108" t="s">
        <v>476</v>
      </c>
      <c r="L93" s="108"/>
    </row>
    <row r="94" spans="3:12" x14ac:dyDescent="0.25">
      <c r="C94" s="109" t="s">
        <v>35</v>
      </c>
      <c r="D94" s="161">
        <v>0</v>
      </c>
      <c r="E94" s="110">
        <v>13000</v>
      </c>
      <c r="F94" s="107">
        <f t="shared" si="5"/>
        <v>0</v>
      </c>
      <c r="G94" s="175"/>
      <c r="H94" s="111">
        <v>42300</v>
      </c>
      <c r="I94" s="111" t="e">
        <f>VLOOKUP(H94,[8]Presupuesto!$B$8:$C$583,2,0)</f>
        <v>#N/A</v>
      </c>
      <c r="J94" s="231" t="s">
        <v>559</v>
      </c>
      <c r="K94" s="108" t="s">
        <v>476</v>
      </c>
      <c r="L94" s="108"/>
    </row>
    <row r="95" spans="3:12" x14ac:dyDescent="0.25">
      <c r="C95" s="109" t="s">
        <v>76</v>
      </c>
      <c r="D95" s="161">
        <v>0</v>
      </c>
      <c r="E95" s="110">
        <v>15000</v>
      </c>
      <c r="F95" s="107">
        <f t="shared" si="5"/>
        <v>0</v>
      </c>
      <c r="G95" s="175"/>
      <c r="H95" s="111">
        <v>42300</v>
      </c>
      <c r="I95" s="111" t="e">
        <f>VLOOKUP(H95,[8]Presupuesto!$B$8:$C$583,2,0)</f>
        <v>#N/A</v>
      </c>
      <c r="J95" s="231" t="s">
        <v>559</v>
      </c>
      <c r="K95" s="108" t="s">
        <v>476</v>
      </c>
      <c r="L95" s="108"/>
    </row>
    <row r="96" spans="3:12" x14ac:dyDescent="0.25">
      <c r="C96" s="109" t="s">
        <v>77</v>
      </c>
      <c r="D96" s="161">
        <v>0</v>
      </c>
      <c r="E96" s="110">
        <v>10000</v>
      </c>
      <c r="F96" s="107">
        <f t="shared" si="5"/>
        <v>0</v>
      </c>
      <c r="G96" s="175"/>
      <c r="H96" s="111">
        <v>42300</v>
      </c>
      <c r="I96" s="111" t="e">
        <f>VLOOKUP(H96,[8]Presupuesto!$B$8:$C$583,2,0)</f>
        <v>#N/A</v>
      </c>
      <c r="J96" s="231" t="s">
        <v>559</v>
      </c>
      <c r="K96" s="108" t="s">
        <v>484</v>
      </c>
      <c r="L96" s="108"/>
    </row>
    <row r="97" spans="3:12" x14ac:dyDescent="0.25">
      <c r="C97" s="109" t="s">
        <v>78</v>
      </c>
      <c r="D97" s="161">
        <v>0</v>
      </c>
      <c r="E97" s="110">
        <v>10000</v>
      </c>
      <c r="F97" s="107">
        <f t="shared" si="5"/>
        <v>0</v>
      </c>
      <c r="G97" s="175"/>
      <c r="H97" s="111">
        <v>45100</v>
      </c>
      <c r="I97" s="111" t="e">
        <f>VLOOKUP(H97,[8]Presupuesto!$B$8:$C$583,2,0)</f>
        <v>#N/A</v>
      </c>
      <c r="J97" s="231" t="s">
        <v>559</v>
      </c>
      <c r="K97" s="108" t="s">
        <v>480</v>
      </c>
      <c r="L97" s="108"/>
    </row>
    <row r="98" spans="3:12" x14ac:dyDescent="0.25">
      <c r="C98" s="119" t="s">
        <v>79</v>
      </c>
      <c r="D98" s="161">
        <v>0</v>
      </c>
      <c r="E98" s="110">
        <v>2000</v>
      </c>
      <c r="F98" s="107">
        <f t="shared" si="5"/>
        <v>0</v>
      </c>
      <c r="G98" s="175"/>
      <c r="H98" s="120">
        <v>42600</v>
      </c>
      <c r="I98" s="120" t="e">
        <f>VLOOKUP(H98,[8]Presupuesto!$B$8:$C$583,2,0)</f>
        <v>#N/A</v>
      </c>
      <c r="J98" s="231" t="s">
        <v>559</v>
      </c>
      <c r="K98" s="108" t="s">
        <v>476</v>
      </c>
      <c r="L98" s="108"/>
    </row>
    <row r="99" spans="3:12" x14ac:dyDescent="0.25">
      <c r="C99" s="486" t="s">
        <v>80</v>
      </c>
      <c r="D99" s="479">
        <v>2</v>
      </c>
      <c r="E99" s="485">
        <v>1500</v>
      </c>
      <c r="F99" s="481">
        <f t="shared" si="5"/>
        <v>3000</v>
      </c>
      <c r="G99" s="482" t="s">
        <v>207</v>
      </c>
      <c r="H99" s="487" t="s">
        <v>1200</v>
      </c>
      <c r="I99" s="120" t="str">
        <f>VLOOKUP(H99,[8]Presupuesto!$B$8:$C$583,2,0)</f>
        <v>OTROS</v>
      </c>
      <c r="J99" s="231" t="s">
        <v>559</v>
      </c>
      <c r="K99" s="108" t="s">
        <v>476</v>
      </c>
      <c r="L99" s="108"/>
    </row>
    <row r="100" spans="3:12" x14ac:dyDescent="0.25">
      <c r="C100" s="119" t="s">
        <v>81</v>
      </c>
      <c r="D100" s="161">
        <v>0</v>
      </c>
      <c r="E100" s="110">
        <v>1500</v>
      </c>
      <c r="F100" s="107">
        <f t="shared" si="5"/>
        <v>0</v>
      </c>
      <c r="G100" s="175"/>
      <c r="H100" s="120">
        <v>42600</v>
      </c>
      <c r="I100" s="120" t="e">
        <f>VLOOKUP(H100,[8]Presupuesto!$B$8:$C$583,2,0)</f>
        <v>#N/A</v>
      </c>
      <c r="J100" s="231" t="s">
        <v>559</v>
      </c>
      <c r="K100" s="108" t="s">
        <v>476</v>
      </c>
      <c r="L100" s="108"/>
    </row>
    <row r="101" spans="3:12" x14ac:dyDescent="0.25">
      <c r="C101" s="119" t="s">
        <v>82</v>
      </c>
      <c r="D101" s="161">
        <v>1</v>
      </c>
      <c r="E101" s="110">
        <v>500</v>
      </c>
      <c r="F101" s="107">
        <f t="shared" si="5"/>
        <v>500</v>
      </c>
      <c r="G101" s="175" t="s">
        <v>207</v>
      </c>
      <c r="H101" s="120" t="s">
        <v>1200</v>
      </c>
      <c r="I101" s="120" t="str">
        <f>VLOOKUP(H101,[8]Presupuesto!$B$8:$C$583,2,0)</f>
        <v>OTROS</v>
      </c>
      <c r="J101" s="231" t="s">
        <v>559</v>
      </c>
      <c r="K101" s="108" t="s">
        <v>476</v>
      </c>
      <c r="L101" s="108"/>
    </row>
    <row r="102" spans="3:12" ht="15.75" thickBot="1" x14ac:dyDescent="0.3">
      <c r="C102" s="112" t="s">
        <v>83</v>
      </c>
      <c r="D102" s="169">
        <v>20</v>
      </c>
      <c r="E102" s="114">
        <v>20</v>
      </c>
      <c r="F102" s="115">
        <f t="shared" si="5"/>
        <v>400</v>
      </c>
      <c r="G102" s="172" t="s">
        <v>207</v>
      </c>
      <c r="H102" s="116" t="s">
        <v>1200</v>
      </c>
      <c r="I102" s="116" t="str">
        <f>VLOOKUP(H102,[8]Presupuesto!$B$8:$C$583,2,0)</f>
        <v>OTROS</v>
      </c>
      <c r="J102" s="231" t="s">
        <v>559</v>
      </c>
      <c r="K102" s="134" t="s">
        <v>476</v>
      </c>
      <c r="L102" s="488"/>
    </row>
    <row r="104" spans="3:12" ht="15.75" thickBot="1" x14ac:dyDescent="0.3"/>
    <row r="105" spans="3:12" ht="15.75" thickBot="1" x14ac:dyDescent="0.3">
      <c r="C105" s="29" t="s">
        <v>43</v>
      </c>
      <c r="D105" s="118">
        <f>SUM(F112:F125)</f>
        <v>600000</v>
      </c>
      <c r="F105" s="69"/>
      <c r="G105" s="87"/>
      <c r="H105" s="69"/>
      <c r="I105" s="69"/>
    </row>
    <row r="106" spans="3:12" x14ac:dyDescent="0.25">
      <c r="C106" s="69"/>
      <c r="D106" s="31"/>
      <c r="E106" s="103"/>
      <c r="F106" s="103"/>
      <c r="G106" s="103"/>
      <c r="H106" s="84"/>
      <c r="I106" s="84"/>
      <c r="J106" s="84"/>
      <c r="K106" s="122"/>
    </row>
    <row r="107" spans="3:12" x14ac:dyDescent="0.25">
      <c r="C107" s="69"/>
      <c r="D107" s="31"/>
      <c r="E107" s="103"/>
      <c r="F107" s="103"/>
      <c r="G107" s="103"/>
      <c r="H107" s="84"/>
      <c r="I107" s="84"/>
      <c r="J107" s="84"/>
      <c r="K107" s="122"/>
    </row>
    <row r="108" spans="3:12" ht="15.75" x14ac:dyDescent="0.25">
      <c r="C108" s="217" t="s">
        <v>471</v>
      </c>
      <c r="D108" s="218"/>
      <c r="E108" s="103"/>
      <c r="F108" s="103"/>
      <c r="G108" s="103"/>
      <c r="H108" s="84"/>
      <c r="I108" s="84"/>
      <c r="J108" s="84"/>
      <c r="K108" s="122"/>
    </row>
    <row r="109" spans="3:12" ht="18.75" x14ac:dyDescent="0.25">
      <c r="C109" s="220">
        <f>IFERROR(VLOOKUP(D108,'[8]Desarrollo Curricular'!$E:$F,2,FALSE),IFERROR(VLOOKUP(D108,[8]Investigación!$E:$F,2,FALSE),IFERROR(VLOOKUP(D108,'[8]Vinculación Univ. Sociedad'!$E:$F,2,FALSE),IFERROR(VLOOKUP(D108,'[8]Docencia y Recursos Humanos '!$E:$F,2,FALSE),IFERROR(VLOOKUP(D108,[8]Estudiantes!$E:$F,2,FALSE),IFERROR(VLOOKUP(D108,'[8]Gestion Administrativa'!$E:$F,2,FALSE),IFERROR(VLOOKUP(D108,'[8]Gestion Academica'!$E:$F,2,FALSE),IFERROR(VLOOKUP(D108,[8]Graduados!$E:$F,2,FALSE),IFERROR(VLOOKUP(D108,'[8]Gestión del Conocimiento'!$E:$F,2,FALSE),IFERROR(VLOOKUP(D108,[8]Gobernabilidad!$E:$F,2,FALSE),IFERROR(VLOOKUP(D108,'[8]NIVEL DE ES Y  SISTEMA NACIONAL'!$E:$F,2,FALSE),VLOOKUP(D108,'[8]Lo Esencial'!$E:$F,2,0))))))))))))</f>
        <v>0</v>
      </c>
      <c r="D109" s="31"/>
      <c r="E109" s="103"/>
      <c r="F109" s="103"/>
      <c r="G109" s="103"/>
      <c r="H109" s="84"/>
      <c r="I109" s="84"/>
      <c r="J109" s="84"/>
      <c r="K109" s="122"/>
    </row>
    <row r="110" spans="3:12" x14ac:dyDescent="0.25">
      <c r="C110" s="95" t="s">
        <v>1801</v>
      </c>
      <c r="F110" s="103"/>
      <c r="G110" s="84"/>
      <c r="H110" s="84"/>
      <c r="I110" s="84"/>
    </row>
    <row r="111" spans="3:12" ht="30.75" thickBot="1" x14ac:dyDescent="0.3">
      <c r="C111" s="159" t="s">
        <v>44</v>
      </c>
      <c r="D111" s="159" t="s">
        <v>55</v>
      </c>
      <c r="E111" s="159" t="s">
        <v>57</v>
      </c>
      <c r="F111" s="160" t="s">
        <v>27</v>
      </c>
      <c r="G111" s="160" t="s">
        <v>208</v>
      </c>
      <c r="H111" s="159" t="s">
        <v>46</v>
      </c>
      <c r="I111" s="159" t="s">
        <v>209</v>
      </c>
      <c r="J111" s="159" t="s">
        <v>491</v>
      </c>
      <c r="K111" s="159" t="s">
        <v>492</v>
      </c>
      <c r="L111" s="159" t="s">
        <v>548</v>
      </c>
    </row>
    <row r="112" spans="3:12" ht="15.75" thickBot="1" x14ac:dyDescent="0.3">
      <c r="C112" s="369" t="s">
        <v>1544</v>
      </c>
      <c r="D112" s="168">
        <v>0</v>
      </c>
      <c r="E112" s="106">
        <f>HLOOKUP($C112,$CB$2:$CE$3,2,0)</f>
        <v>15000</v>
      </c>
      <c r="F112" s="107">
        <f>D112*E112</f>
        <v>0</v>
      </c>
      <c r="G112" s="175" t="s">
        <v>207</v>
      </c>
      <c r="H112" s="108" t="s">
        <v>1219</v>
      </c>
      <c r="I112" s="108" t="str">
        <f>VLOOKUP(H112,[8]Presupuesto!$B$8:$C$583,2,0)</f>
        <v>EQUIPO DE COMPUTACION</v>
      </c>
      <c r="J112" s="231" t="s">
        <v>559</v>
      </c>
      <c r="K112" s="108" t="s">
        <v>478</v>
      </c>
      <c r="L112" s="108"/>
    </row>
    <row r="113" spans="3:12" x14ac:dyDescent="0.25">
      <c r="C113" s="369" t="s">
        <v>1543</v>
      </c>
      <c r="D113" s="479">
        <v>0</v>
      </c>
      <c r="E113" s="480">
        <f>HLOOKUP($C113,$CB$2:$CE$3,2,0)</f>
        <v>35000</v>
      </c>
      <c r="F113" s="481">
        <f>D113*E113</f>
        <v>0</v>
      </c>
      <c r="G113" s="482"/>
      <c r="H113" s="483">
        <v>42600</v>
      </c>
      <c r="I113" s="111" t="e">
        <f>VLOOKUP(H113,[8]Presupuesto!$B$8:$C$583,2,0)</f>
        <v>#N/A</v>
      </c>
      <c r="J113" s="231" t="s">
        <v>559</v>
      </c>
      <c r="K113" s="108" t="s">
        <v>493</v>
      </c>
      <c r="L113" s="108"/>
    </row>
    <row r="114" spans="3:12" x14ac:dyDescent="0.25">
      <c r="C114" s="484" t="s">
        <v>73</v>
      </c>
      <c r="D114" s="479">
        <v>0</v>
      </c>
      <c r="E114" s="485">
        <v>6000</v>
      </c>
      <c r="F114" s="481">
        <f t="shared" ref="F114:F125" si="6">D114*E114</f>
        <v>0</v>
      </c>
      <c r="G114" s="482" t="s">
        <v>207</v>
      </c>
      <c r="H114" s="483" t="s">
        <v>1200</v>
      </c>
      <c r="I114" s="108" t="str">
        <f>VLOOKUP(H114,[8]Presupuesto!$B$8:$C$583,2,0)</f>
        <v>OTROS</v>
      </c>
      <c r="J114" s="231" t="s">
        <v>559</v>
      </c>
      <c r="K114" s="108" t="s">
        <v>476</v>
      </c>
      <c r="L114" s="108"/>
    </row>
    <row r="115" spans="3:12" x14ac:dyDescent="0.25">
      <c r="C115" s="109" t="s">
        <v>74</v>
      </c>
      <c r="D115" s="161">
        <v>0</v>
      </c>
      <c r="E115" s="110">
        <v>8000</v>
      </c>
      <c r="F115" s="107">
        <f t="shared" si="6"/>
        <v>0</v>
      </c>
      <c r="G115" s="175" t="s">
        <v>206</v>
      </c>
      <c r="H115" s="111">
        <v>42600</v>
      </c>
      <c r="I115" s="111" t="e">
        <f>VLOOKUP(H115,[8]Presupuesto!$B$8:$C$583,2,0)</f>
        <v>#N/A</v>
      </c>
      <c r="J115" s="231" t="s">
        <v>559</v>
      </c>
      <c r="K115" s="108" t="s">
        <v>476</v>
      </c>
      <c r="L115" s="108"/>
    </row>
    <row r="116" spans="3:12" x14ac:dyDescent="0.25">
      <c r="C116" s="109" t="s">
        <v>75</v>
      </c>
      <c r="D116" s="161">
        <v>0</v>
      </c>
      <c r="E116" s="110">
        <v>5000</v>
      </c>
      <c r="F116" s="107">
        <f t="shared" si="6"/>
        <v>0</v>
      </c>
      <c r="G116" s="175"/>
      <c r="H116" s="111">
        <v>42600</v>
      </c>
      <c r="I116" s="111" t="e">
        <f>VLOOKUP(H116,[8]Presupuesto!$B$8:$C$583,2,0)</f>
        <v>#N/A</v>
      </c>
      <c r="J116" s="231" t="s">
        <v>559</v>
      </c>
      <c r="K116" s="108" t="s">
        <v>476</v>
      </c>
      <c r="L116" s="108"/>
    </row>
    <row r="117" spans="3:12" x14ac:dyDescent="0.25">
      <c r="C117" s="109" t="s">
        <v>35</v>
      </c>
      <c r="D117" s="161">
        <v>40</v>
      </c>
      <c r="E117" s="110">
        <v>13000</v>
      </c>
      <c r="F117" s="107">
        <f t="shared" si="6"/>
        <v>520000</v>
      </c>
      <c r="G117" s="175" t="s">
        <v>207</v>
      </c>
      <c r="H117" s="108" t="s">
        <v>1219</v>
      </c>
      <c r="I117" s="108" t="str">
        <f>VLOOKUP(H117,[8]Presupuesto!$B$8:$C$583,2,0)</f>
        <v>EQUIPO DE COMPUTACION</v>
      </c>
      <c r="J117" s="231" t="s">
        <v>559</v>
      </c>
      <c r="K117" s="108" t="s">
        <v>476</v>
      </c>
      <c r="L117" s="108"/>
    </row>
    <row r="118" spans="3:12" x14ac:dyDescent="0.25">
      <c r="C118" s="109" t="s">
        <v>1802</v>
      </c>
      <c r="D118" s="161">
        <v>40</v>
      </c>
      <c r="E118" s="110">
        <v>2000</v>
      </c>
      <c r="F118" s="107">
        <f t="shared" si="6"/>
        <v>80000</v>
      </c>
      <c r="G118" s="175" t="s">
        <v>207</v>
      </c>
      <c r="H118" s="108" t="s">
        <v>1219</v>
      </c>
      <c r="I118" s="108" t="str">
        <f>VLOOKUP(H118,[8]Presupuesto!$B$8:$C$583,2,0)</f>
        <v>EQUIPO DE COMPUTACION</v>
      </c>
      <c r="J118" s="231" t="s">
        <v>559</v>
      </c>
      <c r="K118" s="108" t="s">
        <v>476</v>
      </c>
      <c r="L118" s="108"/>
    </row>
    <row r="119" spans="3:12" x14ac:dyDescent="0.25">
      <c r="C119" s="109" t="s">
        <v>77</v>
      </c>
      <c r="D119" s="161">
        <v>0</v>
      </c>
      <c r="E119" s="110">
        <v>10000</v>
      </c>
      <c r="F119" s="107">
        <f t="shared" si="6"/>
        <v>0</v>
      </c>
      <c r="G119" s="175"/>
      <c r="H119" s="111">
        <v>42300</v>
      </c>
      <c r="I119" s="111" t="e">
        <f>VLOOKUP(H119,[8]Presupuesto!$B$8:$C$583,2,0)</f>
        <v>#N/A</v>
      </c>
      <c r="J119" s="231" t="s">
        <v>559</v>
      </c>
      <c r="K119" s="108" t="s">
        <v>484</v>
      </c>
      <c r="L119" s="108"/>
    </row>
    <row r="120" spans="3:12" x14ac:dyDescent="0.25">
      <c r="C120" s="109" t="s">
        <v>78</v>
      </c>
      <c r="D120" s="161">
        <v>0</v>
      </c>
      <c r="E120" s="110">
        <v>10000</v>
      </c>
      <c r="F120" s="107">
        <f t="shared" si="6"/>
        <v>0</v>
      </c>
      <c r="G120" s="175"/>
      <c r="H120" s="111">
        <v>45100</v>
      </c>
      <c r="I120" s="111" t="e">
        <f>VLOOKUP(H120,[8]Presupuesto!$B$8:$C$583,2,0)</f>
        <v>#N/A</v>
      </c>
      <c r="J120" s="231" t="s">
        <v>559</v>
      </c>
      <c r="K120" s="108" t="s">
        <v>480</v>
      </c>
      <c r="L120" s="108"/>
    </row>
    <row r="121" spans="3:12" x14ac:dyDescent="0.25">
      <c r="C121" s="119" t="s">
        <v>79</v>
      </c>
      <c r="D121" s="161">
        <v>0</v>
      </c>
      <c r="E121" s="110">
        <v>2000</v>
      </c>
      <c r="F121" s="107">
        <f t="shared" si="6"/>
        <v>0</v>
      </c>
      <c r="G121" s="175"/>
      <c r="H121" s="120">
        <v>42600</v>
      </c>
      <c r="I121" s="120" t="e">
        <f>VLOOKUP(H121,[8]Presupuesto!$B$8:$C$583,2,0)</f>
        <v>#N/A</v>
      </c>
      <c r="J121" s="231" t="s">
        <v>559</v>
      </c>
      <c r="K121" s="108" t="s">
        <v>476</v>
      </c>
      <c r="L121" s="108"/>
    </row>
    <row r="122" spans="3:12" x14ac:dyDescent="0.25">
      <c r="C122" s="486" t="s">
        <v>80</v>
      </c>
      <c r="D122" s="479">
        <v>0</v>
      </c>
      <c r="E122" s="485">
        <v>1500</v>
      </c>
      <c r="F122" s="481">
        <f t="shared" si="6"/>
        <v>0</v>
      </c>
      <c r="G122" s="482" t="s">
        <v>207</v>
      </c>
      <c r="H122" s="487" t="s">
        <v>1200</v>
      </c>
      <c r="I122" s="120" t="str">
        <f>VLOOKUP(H122,[8]Presupuesto!$B$8:$C$583,2,0)</f>
        <v>OTROS</v>
      </c>
      <c r="J122" s="231" t="s">
        <v>559</v>
      </c>
      <c r="K122" s="108" t="s">
        <v>476</v>
      </c>
      <c r="L122" s="108"/>
    </row>
    <row r="123" spans="3:12" x14ac:dyDescent="0.25">
      <c r="C123" s="119" t="s">
        <v>81</v>
      </c>
      <c r="D123" s="161">
        <v>0</v>
      </c>
      <c r="E123" s="110">
        <v>1500</v>
      </c>
      <c r="F123" s="107">
        <f t="shared" si="6"/>
        <v>0</v>
      </c>
      <c r="G123" s="175"/>
      <c r="H123" s="120">
        <v>42600</v>
      </c>
      <c r="I123" s="120" t="e">
        <f>VLOOKUP(H123,[8]Presupuesto!$B$8:$C$583,2,0)</f>
        <v>#N/A</v>
      </c>
      <c r="J123" s="231" t="s">
        <v>559</v>
      </c>
      <c r="K123" s="108" t="s">
        <v>476</v>
      </c>
      <c r="L123" s="108"/>
    </row>
    <row r="124" spans="3:12" x14ac:dyDescent="0.25">
      <c r="C124" s="119" t="s">
        <v>82</v>
      </c>
      <c r="D124" s="161">
        <v>0</v>
      </c>
      <c r="E124" s="110">
        <v>500</v>
      </c>
      <c r="F124" s="107">
        <f t="shared" si="6"/>
        <v>0</v>
      </c>
      <c r="G124" s="175" t="s">
        <v>207</v>
      </c>
      <c r="H124" s="120" t="s">
        <v>1200</v>
      </c>
      <c r="I124" s="120" t="str">
        <f>VLOOKUP(H124,[8]Presupuesto!$B$8:$C$583,2,0)</f>
        <v>OTROS</v>
      </c>
      <c r="J124" s="231" t="s">
        <v>559</v>
      </c>
      <c r="K124" s="108" t="s">
        <v>476</v>
      </c>
      <c r="L124" s="108"/>
    </row>
    <row r="125" spans="3:12" ht="15.75" thickBot="1" x14ac:dyDescent="0.3">
      <c r="C125" s="112" t="s">
        <v>83</v>
      </c>
      <c r="D125" s="169">
        <v>0</v>
      </c>
      <c r="E125" s="114">
        <v>20</v>
      </c>
      <c r="F125" s="115">
        <f t="shared" si="6"/>
        <v>0</v>
      </c>
      <c r="G125" s="172" t="s">
        <v>207</v>
      </c>
      <c r="H125" s="116" t="s">
        <v>1200</v>
      </c>
      <c r="I125" s="116" t="str">
        <f>VLOOKUP(H125,[8]Presupuesto!$B$8:$C$583,2,0)</f>
        <v>OTROS</v>
      </c>
      <c r="J125" s="231" t="s">
        <v>559</v>
      </c>
      <c r="K125" s="134" t="s">
        <v>476</v>
      </c>
      <c r="L125" s="488"/>
    </row>
    <row r="127" spans="3:12" ht="15.75" thickBot="1" x14ac:dyDescent="0.3"/>
    <row r="128" spans="3:12" ht="15.75" thickBot="1" x14ac:dyDescent="0.3">
      <c r="C128" s="29" t="s">
        <v>43</v>
      </c>
      <c r="D128" s="118">
        <f>SUM(F135:F148)</f>
        <v>170500</v>
      </c>
      <c r="F128" s="69"/>
      <c r="G128" s="87"/>
      <c r="H128" s="69"/>
      <c r="I128" s="69"/>
    </row>
    <row r="129" spans="3:12" x14ac:dyDescent="0.25">
      <c r="C129" s="69"/>
      <c r="D129" s="31"/>
      <c r="E129" s="103"/>
      <c r="F129" s="103"/>
      <c r="G129" s="103"/>
      <c r="H129" s="84"/>
      <c r="I129" s="84"/>
      <c r="J129" s="84"/>
      <c r="K129" s="122"/>
    </row>
    <row r="130" spans="3:12" x14ac:dyDescent="0.25">
      <c r="C130" s="69"/>
      <c r="D130" s="31"/>
      <c r="E130" s="103"/>
      <c r="F130" s="103"/>
      <c r="G130" s="103"/>
      <c r="H130" s="84"/>
      <c r="I130" s="84"/>
      <c r="J130" s="84"/>
      <c r="K130" s="122"/>
    </row>
    <row r="131" spans="3:12" ht="15.75" x14ac:dyDescent="0.25">
      <c r="C131" s="217" t="s">
        <v>471</v>
      </c>
      <c r="D131" s="218"/>
      <c r="E131" s="103"/>
      <c r="F131" s="103"/>
      <c r="G131" s="103"/>
      <c r="H131" s="84"/>
      <c r="I131" s="84"/>
      <c r="J131" s="84"/>
      <c r="K131" s="122"/>
    </row>
    <row r="132" spans="3:12" ht="18.75" x14ac:dyDescent="0.25">
      <c r="C132" s="220" t="s">
        <v>1836</v>
      </c>
      <c r="D132" s="31"/>
      <c r="E132" s="103"/>
      <c r="F132" s="103"/>
      <c r="G132" s="103"/>
      <c r="H132" s="84"/>
      <c r="I132" s="84"/>
      <c r="J132" s="84"/>
      <c r="K132" s="122"/>
    </row>
    <row r="133" spans="3:12" ht="18.75" x14ac:dyDescent="0.25">
      <c r="C133" s="220"/>
      <c r="E133" s="220"/>
      <c r="F133" s="103"/>
      <c r="G133" s="84"/>
      <c r="H133" s="84"/>
      <c r="I133" s="84"/>
    </row>
    <row r="134" spans="3:12" ht="30.75" thickBot="1" x14ac:dyDescent="0.3">
      <c r="C134" s="159" t="s">
        <v>44</v>
      </c>
      <c r="D134" s="159" t="s">
        <v>55</v>
      </c>
      <c r="E134" s="159" t="s">
        <v>57</v>
      </c>
      <c r="F134" s="160" t="s">
        <v>27</v>
      </c>
      <c r="G134" s="160" t="s">
        <v>208</v>
      </c>
      <c r="H134" s="159" t="s">
        <v>46</v>
      </c>
      <c r="I134" s="159" t="s">
        <v>209</v>
      </c>
      <c r="J134" s="159" t="s">
        <v>491</v>
      </c>
      <c r="K134" s="159" t="s">
        <v>492</v>
      </c>
      <c r="L134" s="159" t="s">
        <v>548</v>
      </c>
    </row>
    <row r="135" spans="3:12" ht="15.75" thickBot="1" x14ac:dyDescent="0.3">
      <c r="C135" s="369" t="s">
        <v>1545</v>
      </c>
      <c r="D135" s="168">
        <v>1</v>
      </c>
      <c r="E135" s="106">
        <f>HLOOKUP($C135,$CB$2:$CE$3,2,0)</f>
        <v>15000</v>
      </c>
      <c r="F135" s="107">
        <f>D135*E135</f>
        <v>15000</v>
      </c>
      <c r="G135" s="175" t="s">
        <v>207</v>
      </c>
      <c r="H135" s="108" t="s">
        <v>1219</v>
      </c>
      <c r="I135" s="108" t="str">
        <f>VLOOKUP(H135,[3]Presupuesto!$B$8:$C$583,2,0)</f>
        <v>EQUIPO DE COMPUTACION</v>
      </c>
      <c r="J135" s="231" t="s">
        <v>559</v>
      </c>
      <c r="K135" s="108" t="s">
        <v>476</v>
      </c>
      <c r="L135" s="108"/>
    </row>
    <row r="136" spans="3:12" x14ac:dyDescent="0.25">
      <c r="C136" s="369" t="s">
        <v>1543</v>
      </c>
      <c r="D136" s="161">
        <v>2</v>
      </c>
      <c r="E136" s="106">
        <f>HLOOKUP($C136,$CB$2:$CE$3,2,0)</f>
        <v>35000</v>
      </c>
      <c r="F136" s="107">
        <f>D136*E136</f>
        <v>70000</v>
      </c>
      <c r="G136" s="175" t="s">
        <v>207</v>
      </c>
      <c r="H136" s="108" t="s">
        <v>1219</v>
      </c>
      <c r="I136" s="111" t="str">
        <f>VLOOKUP(H136,[3]Presupuesto!$B$8:$C$583,2,0)</f>
        <v>EQUIPO DE COMPUTACION</v>
      </c>
      <c r="J136" s="231" t="s">
        <v>559</v>
      </c>
      <c r="K136" s="108" t="s">
        <v>476</v>
      </c>
      <c r="L136" s="108"/>
    </row>
    <row r="137" spans="3:12" x14ac:dyDescent="0.25">
      <c r="C137" s="109" t="s">
        <v>73</v>
      </c>
      <c r="D137" s="161">
        <v>1</v>
      </c>
      <c r="E137" s="110">
        <v>4000</v>
      </c>
      <c r="F137" s="107">
        <f t="shared" ref="F137:F148" si="7">D137*E137</f>
        <v>4000</v>
      </c>
      <c r="G137" s="175" t="s">
        <v>207</v>
      </c>
      <c r="H137" s="108" t="s">
        <v>1219</v>
      </c>
      <c r="I137" s="111" t="str">
        <f>VLOOKUP(H137,[3]Presupuesto!$B$8:$C$583,2,0)</f>
        <v>EQUIPO DE COMPUTACION</v>
      </c>
      <c r="J137" s="231" t="s">
        <v>559</v>
      </c>
      <c r="K137" s="108" t="s">
        <v>476</v>
      </c>
      <c r="L137" s="108"/>
    </row>
    <row r="138" spans="3:12" x14ac:dyDescent="0.25">
      <c r="C138" s="109" t="s">
        <v>74</v>
      </c>
      <c r="D138" s="161">
        <v>1</v>
      </c>
      <c r="E138" s="110">
        <v>8000</v>
      </c>
      <c r="F138" s="107">
        <f t="shared" si="7"/>
        <v>8000</v>
      </c>
      <c r="G138" s="175" t="s">
        <v>207</v>
      </c>
      <c r="H138" s="108" t="s">
        <v>1219</v>
      </c>
      <c r="I138" s="111" t="str">
        <f>VLOOKUP(H138,[3]Presupuesto!$B$8:$C$583,2,0)</f>
        <v>EQUIPO DE COMPUTACION</v>
      </c>
      <c r="J138" s="231" t="s">
        <v>559</v>
      </c>
      <c r="K138" s="108" t="s">
        <v>476</v>
      </c>
      <c r="L138" s="108"/>
    </row>
    <row r="139" spans="3:12" x14ac:dyDescent="0.25">
      <c r="C139" s="109" t="s">
        <v>75</v>
      </c>
      <c r="D139" s="161">
        <v>1</v>
      </c>
      <c r="E139" s="110">
        <v>5000</v>
      </c>
      <c r="F139" s="107">
        <f t="shared" si="7"/>
        <v>5000</v>
      </c>
      <c r="G139" s="175" t="s">
        <v>207</v>
      </c>
      <c r="H139" s="108" t="s">
        <v>1219</v>
      </c>
      <c r="I139" s="111" t="str">
        <f>VLOOKUP(H139,[3]Presupuesto!$B$8:$C$583,2,0)</f>
        <v>EQUIPO DE COMPUTACION</v>
      </c>
      <c r="J139" s="231" t="s">
        <v>559</v>
      </c>
      <c r="K139" s="108" t="s">
        <v>476</v>
      </c>
      <c r="L139" s="108"/>
    </row>
    <row r="140" spans="3:12" x14ac:dyDescent="0.25">
      <c r="C140" s="109" t="s">
        <v>35</v>
      </c>
      <c r="D140" s="161">
        <v>2</v>
      </c>
      <c r="E140" s="110">
        <v>13000</v>
      </c>
      <c r="F140" s="107">
        <f t="shared" si="7"/>
        <v>26000</v>
      </c>
      <c r="G140" s="175" t="s">
        <v>207</v>
      </c>
      <c r="H140" s="108" t="s">
        <v>1219</v>
      </c>
      <c r="I140" s="111" t="str">
        <f>VLOOKUP(H140,[3]Presupuesto!$B$8:$C$583,2,0)</f>
        <v>EQUIPO DE COMPUTACION</v>
      </c>
      <c r="J140" s="231" t="s">
        <v>559</v>
      </c>
      <c r="K140" s="108" t="s">
        <v>476</v>
      </c>
      <c r="L140" s="108"/>
    </row>
    <row r="141" spans="3:12" x14ac:dyDescent="0.25">
      <c r="C141" s="109" t="s">
        <v>76</v>
      </c>
      <c r="D141" s="161">
        <v>0</v>
      </c>
      <c r="E141" s="110">
        <v>15000</v>
      </c>
      <c r="F141" s="107">
        <f t="shared" si="7"/>
        <v>0</v>
      </c>
      <c r="G141" s="175" t="s">
        <v>207</v>
      </c>
      <c r="H141" s="108" t="s">
        <v>1219</v>
      </c>
      <c r="I141" s="111" t="str">
        <f>VLOOKUP(H141,[3]Presupuesto!$B$8:$C$583,2,0)</f>
        <v>EQUIPO DE COMPUTACION</v>
      </c>
      <c r="J141" s="231" t="s">
        <v>559</v>
      </c>
      <c r="K141" s="108" t="s">
        <v>476</v>
      </c>
      <c r="L141" s="108"/>
    </row>
    <row r="142" spans="3:12" x14ac:dyDescent="0.25">
      <c r="C142" s="109" t="s">
        <v>77</v>
      </c>
      <c r="D142" s="161">
        <v>0</v>
      </c>
      <c r="E142" s="110">
        <v>10000</v>
      </c>
      <c r="F142" s="107">
        <f t="shared" si="7"/>
        <v>0</v>
      </c>
      <c r="G142" s="175" t="s">
        <v>207</v>
      </c>
      <c r="H142" s="108" t="s">
        <v>1219</v>
      </c>
      <c r="I142" s="111" t="str">
        <f>VLOOKUP(H142,[3]Presupuesto!$B$8:$C$583,2,0)</f>
        <v>EQUIPO DE COMPUTACION</v>
      </c>
      <c r="J142" s="231" t="s">
        <v>559</v>
      </c>
      <c r="K142" s="108" t="s">
        <v>484</v>
      </c>
      <c r="L142" s="108"/>
    </row>
    <row r="143" spans="3:12" x14ac:dyDescent="0.25">
      <c r="C143" s="109" t="s">
        <v>78</v>
      </c>
      <c r="D143" s="161">
        <v>3</v>
      </c>
      <c r="E143" s="110">
        <v>10000</v>
      </c>
      <c r="F143" s="107">
        <f t="shared" si="7"/>
        <v>30000</v>
      </c>
      <c r="G143" s="175" t="s">
        <v>207</v>
      </c>
      <c r="H143" s="108" t="s">
        <v>1219</v>
      </c>
      <c r="I143" s="111" t="str">
        <f>VLOOKUP(H143,[3]Presupuesto!$B$8:$C$583,2,0)</f>
        <v>EQUIPO DE COMPUTACION</v>
      </c>
      <c r="J143" s="231" t="s">
        <v>559</v>
      </c>
      <c r="K143" s="108" t="s">
        <v>480</v>
      </c>
      <c r="L143" s="108"/>
    </row>
    <row r="144" spans="3:12" x14ac:dyDescent="0.25">
      <c r="C144" s="119" t="s">
        <v>79</v>
      </c>
      <c r="D144" s="161">
        <v>2</v>
      </c>
      <c r="E144" s="110">
        <v>2000</v>
      </c>
      <c r="F144" s="107">
        <f t="shared" si="7"/>
        <v>4000</v>
      </c>
      <c r="G144" s="175" t="s">
        <v>207</v>
      </c>
      <c r="H144" s="108" t="s">
        <v>1219</v>
      </c>
      <c r="I144" s="120" t="str">
        <f>VLOOKUP(H144,[3]Presupuesto!$B$8:$C$583,2,0)</f>
        <v>EQUIPO DE COMPUTACION</v>
      </c>
      <c r="J144" s="231" t="s">
        <v>559</v>
      </c>
      <c r="K144" s="108" t="s">
        <v>476</v>
      </c>
      <c r="L144" s="108"/>
    </row>
    <row r="145" spans="3:12" x14ac:dyDescent="0.25">
      <c r="C145" s="119" t="s">
        <v>80</v>
      </c>
      <c r="D145" s="161">
        <v>3</v>
      </c>
      <c r="E145" s="110">
        <v>1500</v>
      </c>
      <c r="F145" s="107">
        <f t="shared" si="7"/>
        <v>4500</v>
      </c>
      <c r="G145" s="175" t="s">
        <v>207</v>
      </c>
      <c r="H145" s="108" t="s">
        <v>1219</v>
      </c>
      <c r="I145" s="120" t="str">
        <f>VLOOKUP(H145,[3]Presupuesto!$B$8:$C$583,2,0)</f>
        <v>EQUIPO DE COMPUTACION</v>
      </c>
      <c r="J145" s="231" t="s">
        <v>559</v>
      </c>
      <c r="K145" s="108" t="s">
        <v>476</v>
      </c>
      <c r="L145" s="108"/>
    </row>
    <row r="146" spans="3:12" x14ac:dyDescent="0.25">
      <c r="C146" s="119" t="s">
        <v>81</v>
      </c>
      <c r="D146" s="161">
        <v>1</v>
      </c>
      <c r="E146" s="110">
        <v>1500</v>
      </c>
      <c r="F146" s="107">
        <f t="shared" si="7"/>
        <v>1500</v>
      </c>
      <c r="G146" s="175" t="s">
        <v>207</v>
      </c>
      <c r="H146" s="108" t="s">
        <v>1219</v>
      </c>
      <c r="I146" s="120" t="str">
        <f>VLOOKUP(H146,[3]Presupuesto!$B$8:$C$583,2,0)</f>
        <v>EQUIPO DE COMPUTACION</v>
      </c>
      <c r="J146" s="231" t="s">
        <v>559</v>
      </c>
      <c r="K146" s="108" t="s">
        <v>476</v>
      </c>
      <c r="L146" s="108"/>
    </row>
    <row r="147" spans="3:12" x14ac:dyDescent="0.25">
      <c r="C147" s="119" t="s">
        <v>82</v>
      </c>
      <c r="D147" s="161">
        <v>1</v>
      </c>
      <c r="E147" s="110">
        <v>500</v>
      </c>
      <c r="F147" s="107">
        <f t="shared" si="7"/>
        <v>500</v>
      </c>
      <c r="G147" s="175" t="s">
        <v>207</v>
      </c>
      <c r="H147" s="108" t="s">
        <v>1219</v>
      </c>
      <c r="I147" s="120" t="str">
        <f>VLOOKUP(H147,[3]Presupuesto!$B$8:$C$583,2,0)</f>
        <v>EQUIPO DE COMPUTACION</v>
      </c>
      <c r="J147" s="231" t="s">
        <v>559</v>
      </c>
      <c r="K147" s="108" t="s">
        <v>476</v>
      </c>
      <c r="L147" s="108"/>
    </row>
    <row r="148" spans="3:12" ht="15.75" thickBot="1" x14ac:dyDescent="0.3">
      <c r="C148" s="112" t="s">
        <v>83</v>
      </c>
      <c r="D148" s="169">
        <v>100</v>
      </c>
      <c r="E148" s="114">
        <v>20</v>
      </c>
      <c r="F148" s="115">
        <f t="shared" si="7"/>
        <v>2000</v>
      </c>
      <c r="G148" s="172" t="s">
        <v>207</v>
      </c>
      <c r="H148" s="108" t="s">
        <v>1219</v>
      </c>
      <c r="I148" s="116" t="str">
        <f>VLOOKUP(H148,[3]Presupuesto!$B$8:$C$583,2,0)</f>
        <v>EQUIPO DE COMPUTACION</v>
      </c>
      <c r="J148" s="231" t="s">
        <v>559</v>
      </c>
      <c r="K148" s="134" t="s">
        <v>476</v>
      </c>
      <c r="L148" s="134"/>
    </row>
    <row r="150" spans="3:12" ht="15.75" thickBot="1" x14ac:dyDescent="0.3"/>
    <row r="151" spans="3:12" ht="15.75" thickBot="1" x14ac:dyDescent="0.3">
      <c r="C151" s="29" t="s">
        <v>43</v>
      </c>
      <c r="D151" s="118">
        <f>SUM(F158:F171)</f>
        <v>554540</v>
      </c>
      <c r="F151" s="69"/>
      <c r="G151" s="87"/>
      <c r="H151" s="69"/>
      <c r="I151" s="69"/>
    </row>
    <row r="152" spans="3:12" x14ac:dyDescent="0.25">
      <c r="C152" s="69"/>
      <c r="D152" s="31"/>
      <c r="E152" s="103"/>
      <c r="F152" s="103"/>
      <c r="G152" s="103"/>
      <c r="H152" s="84"/>
      <c r="I152" s="84"/>
      <c r="J152" s="84"/>
      <c r="K152" s="122"/>
    </row>
    <row r="153" spans="3:12" x14ac:dyDescent="0.25">
      <c r="C153" s="69"/>
      <c r="D153" s="31"/>
      <c r="E153" s="103"/>
      <c r="F153" s="103"/>
      <c r="G153" s="103"/>
      <c r="H153" s="84"/>
      <c r="I153" s="84"/>
      <c r="J153" s="84"/>
      <c r="K153" s="122"/>
    </row>
    <row r="154" spans="3:12" ht="15.75" x14ac:dyDescent="0.25">
      <c r="C154" s="217" t="s">
        <v>471</v>
      </c>
      <c r="D154" s="218"/>
      <c r="E154" s="103"/>
      <c r="F154" s="103"/>
      <c r="G154" s="103"/>
      <c r="H154" s="84"/>
      <c r="I154" s="84"/>
      <c r="J154" s="84"/>
      <c r="K154" s="122"/>
    </row>
    <row r="155" spans="3:12" ht="18.75" x14ac:dyDescent="0.25">
      <c r="C155" s="220" t="e">
        <f>#VALUE!</f>
        <v>#VALUE!</v>
      </c>
      <c r="D155" s="31"/>
      <c r="E155" s="103"/>
      <c r="F155" s="103"/>
      <c r="G155" s="103"/>
      <c r="H155" s="84"/>
      <c r="I155" s="84"/>
      <c r="J155" s="84"/>
      <c r="K155" s="122"/>
    </row>
    <row r="156" spans="3:12" x14ac:dyDescent="0.25">
      <c r="C156" s="95" t="s">
        <v>1884</v>
      </c>
      <c r="F156" s="103"/>
      <c r="G156" s="84"/>
      <c r="H156" s="84"/>
      <c r="I156" s="84"/>
    </row>
    <row r="157" spans="3:12" ht="30.75" thickBot="1" x14ac:dyDescent="0.3">
      <c r="C157" s="159" t="s">
        <v>44</v>
      </c>
      <c r="D157" s="159" t="s">
        <v>55</v>
      </c>
      <c r="E157" s="159" t="s">
        <v>57</v>
      </c>
      <c r="F157" s="160" t="s">
        <v>27</v>
      </c>
      <c r="G157" s="160" t="s">
        <v>208</v>
      </c>
      <c r="H157" s="159" t="s">
        <v>46</v>
      </c>
      <c r="I157" s="159" t="s">
        <v>209</v>
      </c>
      <c r="J157" s="159" t="s">
        <v>491</v>
      </c>
      <c r="K157" s="159" t="s">
        <v>492</v>
      </c>
      <c r="L157" s="159" t="s">
        <v>548</v>
      </c>
    </row>
    <row r="158" spans="3:12" ht="15.75" thickBot="1" x14ac:dyDescent="0.3">
      <c r="C158" s="369" t="s">
        <v>1545</v>
      </c>
      <c r="D158" s="168">
        <v>2</v>
      </c>
      <c r="E158" s="106">
        <f>HLOOKUP($C158,$CB$2:$CE$3,2,0)</f>
        <v>15000</v>
      </c>
      <c r="F158" s="107">
        <f>D158*E158</f>
        <v>30000</v>
      </c>
      <c r="G158" s="175" t="s">
        <v>207</v>
      </c>
      <c r="H158" s="108" t="s">
        <v>1219</v>
      </c>
      <c r="I158" s="108" t="str">
        <f>VLOOKUP(H158,[9]Presupuesto!$B$8:$C$583,2,0)</f>
        <v>EQUIPO DE COMPUTACION</v>
      </c>
      <c r="J158" s="231" t="s">
        <v>559</v>
      </c>
      <c r="K158" s="108" t="s">
        <v>493</v>
      </c>
      <c r="L158" s="108"/>
    </row>
    <row r="159" spans="3:12" x14ac:dyDescent="0.25">
      <c r="C159" s="369" t="s">
        <v>1543</v>
      </c>
      <c r="D159" s="161">
        <v>10</v>
      </c>
      <c r="E159" s="106">
        <f>HLOOKUP($C159,$CB$2:$CE$3,2,0)</f>
        <v>35000</v>
      </c>
      <c r="F159" s="107">
        <f>D159*E159</f>
        <v>350000</v>
      </c>
      <c r="G159" s="175" t="s">
        <v>207</v>
      </c>
      <c r="H159" s="108" t="s">
        <v>1219</v>
      </c>
      <c r="I159" s="111" t="str">
        <f>VLOOKUP(H159,[9]Presupuesto!$B$8:$C$583,2,0)</f>
        <v>EQUIPO DE COMPUTACION</v>
      </c>
      <c r="J159" s="231" t="s">
        <v>559</v>
      </c>
      <c r="K159" s="108" t="s">
        <v>493</v>
      </c>
      <c r="L159" s="108"/>
    </row>
    <row r="160" spans="3:12" x14ac:dyDescent="0.25">
      <c r="C160" s="109" t="s">
        <v>73</v>
      </c>
      <c r="D160" s="161">
        <v>0</v>
      </c>
      <c r="E160" s="110">
        <v>4000</v>
      </c>
      <c r="F160" s="107">
        <f t="shared" ref="F160:F171" si="8">D160*E160</f>
        <v>0</v>
      </c>
      <c r="G160" s="175" t="s">
        <v>207</v>
      </c>
      <c r="H160" s="108" t="s">
        <v>1219</v>
      </c>
      <c r="I160" s="111" t="str">
        <f>VLOOKUP(H160,[9]Presupuesto!$B$8:$C$583,2,0)</f>
        <v>EQUIPO DE COMPUTACION</v>
      </c>
      <c r="J160" s="231" t="s">
        <v>559</v>
      </c>
      <c r="K160" s="108" t="s">
        <v>493</v>
      </c>
      <c r="L160" s="108"/>
    </row>
    <row r="161" spans="3:12" x14ac:dyDescent="0.25">
      <c r="C161" s="109" t="s">
        <v>74</v>
      </c>
      <c r="D161" s="161">
        <v>0</v>
      </c>
      <c r="E161" s="110">
        <v>8000</v>
      </c>
      <c r="F161" s="107">
        <f t="shared" si="8"/>
        <v>0</v>
      </c>
      <c r="G161" s="175" t="s">
        <v>207</v>
      </c>
      <c r="H161" s="108" t="s">
        <v>1219</v>
      </c>
      <c r="I161" s="111" t="str">
        <f>VLOOKUP(H161,[9]Presupuesto!$B$8:$C$583,2,0)</f>
        <v>EQUIPO DE COMPUTACION</v>
      </c>
      <c r="J161" s="231" t="s">
        <v>559</v>
      </c>
      <c r="K161" s="108" t="s">
        <v>493</v>
      </c>
      <c r="L161" s="108"/>
    </row>
    <row r="162" spans="3:12" x14ac:dyDescent="0.25">
      <c r="C162" s="109" t="s">
        <v>75</v>
      </c>
      <c r="D162" s="161">
        <v>2</v>
      </c>
      <c r="E162" s="110">
        <v>5000</v>
      </c>
      <c r="F162" s="107">
        <f t="shared" si="8"/>
        <v>10000</v>
      </c>
      <c r="G162" s="175" t="s">
        <v>207</v>
      </c>
      <c r="H162" s="108" t="s">
        <v>1219</v>
      </c>
      <c r="I162" s="111" t="str">
        <f>VLOOKUP(H162,[9]Presupuesto!$B$8:$C$583,2,0)</f>
        <v>EQUIPO DE COMPUTACION</v>
      </c>
      <c r="J162" s="231" t="s">
        <v>559</v>
      </c>
      <c r="K162" s="108" t="s">
        <v>493</v>
      </c>
      <c r="L162" s="108"/>
    </row>
    <row r="163" spans="3:12" x14ac:dyDescent="0.25">
      <c r="C163" s="109" t="s">
        <v>35</v>
      </c>
      <c r="D163" s="161">
        <v>10</v>
      </c>
      <c r="E163" s="110">
        <v>13000</v>
      </c>
      <c r="F163" s="107">
        <f t="shared" si="8"/>
        <v>130000</v>
      </c>
      <c r="G163" s="175" t="s">
        <v>207</v>
      </c>
      <c r="H163" s="108" t="s">
        <v>1219</v>
      </c>
      <c r="I163" s="111" t="str">
        <f>VLOOKUP(H163,[9]Presupuesto!$B$8:$C$583,2,0)</f>
        <v>EQUIPO DE COMPUTACION</v>
      </c>
      <c r="J163" s="231" t="s">
        <v>559</v>
      </c>
      <c r="K163" s="108" t="s">
        <v>493</v>
      </c>
      <c r="L163" s="108"/>
    </row>
    <row r="164" spans="3:12" x14ac:dyDescent="0.25">
      <c r="C164" s="109" t="s">
        <v>76</v>
      </c>
      <c r="D164" s="161">
        <v>0</v>
      </c>
      <c r="E164" s="110">
        <v>15000</v>
      </c>
      <c r="F164" s="107">
        <f t="shared" si="8"/>
        <v>0</v>
      </c>
      <c r="G164" s="175" t="s">
        <v>207</v>
      </c>
      <c r="H164" s="108" t="s">
        <v>1219</v>
      </c>
      <c r="I164" s="111" t="str">
        <f>VLOOKUP(H164,[9]Presupuesto!$B$8:$C$583,2,0)</f>
        <v>EQUIPO DE COMPUTACION</v>
      </c>
      <c r="J164" s="231" t="s">
        <v>559</v>
      </c>
      <c r="K164" s="108" t="s">
        <v>493</v>
      </c>
      <c r="L164" s="108"/>
    </row>
    <row r="165" spans="3:12" x14ac:dyDescent="0.25">
      <c r="C165" s="109" t="s">
        <v>77</v>
      </c>
      <c r="D165" s="539">
        <v>0</v>
      </c>
      <c r="E165" s="110">
        <v>10000</v>
      </c>
      <c r="F165" s="107">
        <f t="shared" si="8"/>
        <v>0</v>
      </c>
      <c r="G165" s="175" t="s">
        <v>207</v>
      </c>
      <c r="H165" s="108" t="s">
        <v>1219</v>
      </c>
      <c r="I165" s="111" t="str">
        <f>VLOOKUP(H165,[9]Presupuesto!$B$8:$C$583,2,0)</f>
        <v>EQUIPO DE COMPUTACION</v>
      </c>
      <c r="J165" s="231" t="s">
        <v>559</v>
      </c>
      <c r="K165" s="108" t="s">
        <v>493</v>
      </c>
      <c r="L165" s="108"/>
    </row>
    <row r="166" spans="3:12" x14ac:dyDescent="0.25">
      <c r="C166" s="109" t="s">
        <v>78</v>
      </c>
      <c r="D166" s="161">
        <v>2</v>
      </c>
      <c r="E166" s="110">
        <v>10000</v>
      </c>
      <c r="F166" s="107">
        <f t="shared" si="8"/>
        <v>20000</v>
      </c>
      <c r="G166" s="175" t="s">
        <v>207</v>
      </c>
      <c r="H166" s="108" t="s">
        <v>1219</v>
      </c>
      <c r="I166" s="111" t="str">
        <f>VLOOKUP(H166,[9]Presupuesto!$B$8:$C$583,2,0)</f>
        <v>EQUIPO DE COMPUTACION</v>
      </c>
      <c r="J166" s="231" t="s">
        <v>559</v>
      </c>
      <c r="K166" s="108" t="s">
        <v>493</v>
      </c>
      <c r="L166" s="108"/>
    </row>
    <row r="167" spans="3:12" x14ac:dyDescent="0.25">
      <c r="C167" s="119" t="s">
        <v>79</v>
      </c>
      <c r="D167" s="161">
        <v>2</v>
      </c>
      <c r="E167" s="110">
        <v>2000</v>
      </c>
      <c r="F167" s="107">
        <f t="shared" si="8"/>
        <v>4000</v>
      </c>
      <c r="G167" s="175" t="s">
        <v>207</v>
      </c>
      <c r="H167" s="108" t="s">
        <v>1219</v>
      </c>
      <c r="I167" s="120" t="str">
        <f>VLOOKUP(H167,[9]Presupuesto!$B$8:$C$583,2,0)</f>
        <v>EQUIPO DE COMPUTACION</v>
      </c>
      <c r="J167" s="231" t="s">
        <v>559</v>
      </c>
      <c r="K167" s="108" t="s">
        <v>493</v>
      </c>
      <c r="L167" s="108"/>
    </row>
    <row r="168" spans="3:12" x14ac:dyDescent="0.25">
      <c r="C168" s="119" t="s">
        <v>80</v>
      </c>
      <c r="D168" s="161">
        <v>5</v>
      </c>
      <c r="E168" s="110">
        <v>1500</v>
      </c>
      <c r="F168" s="107">
        <f t="shared" si="8"/>
        <v>7500</v>
      </c>
      <c r="G168" s="175" t="s">
        <v>207</v>
      </c>
      <c r="H168" s="108" t="s">
        <v>1219</v>
      </c>
      <c r="I168" s="120" t="str">
        <f>VLOOKUP(H168,[9]Presupuesto!$B$8:$C$583,2,0)</f>
        <v>EQUIPO DE COMPUTACION</v>
      </c>
      <c r="J168" s="231" t="s">
        <v>559</v>
      </c>
      <c r="K168" s="108" t="s">
        <v>493</v>
      </c>
      <c r="L168" s="108"/>
    </row>
    <row r="169" spans="3:12" x14ac:dyDescent="0.25">
      <c r="C169" s="119" t="s">
        <v>81</v>
      </c>
      <c r="D169" s="161">
        <v>1</v>
      </c>
      <c r="E169" s="110">
        <v>1500</v>
      </c>
      <c r="F169" s="107">
        <f t="shared" si="8"/>
        <v>1500</v>
      </c>
      <c r="G169" s="175" t="s">
        <v>207</v>
      </c>
      <c r="H169" s="108" t="s">
        <v>1219</v>
      </c>
      <c r="I169" s="120" t="str">
        <f>VLOOKUP(H169,[9]Presupuesto!$B$8:$C$583,2,0)</f>
        <v>EQUIPO DE COMPUTACION</v>
      </c>
      <c r="J169" s="231" t="s">
        <v>559</v>
      </c>
      <c r="K169" s="108" t="s">
        <v>493</v>
      </c>
      <c r="L169" s="108"/>
    </row>
    <row r="170" spans="3:12" x14ac:dyDescent="0.25">
      <c r="C170" s="119" t="s">
        <v>82</v>
      </c>
      <c r="D170" s="161">
        <v>3</v>
      </c>
      <c r="E170" s="110">
        <v>500</v>
      </c>
      <c r="F170" s="107">
        <f t="shared" si="8"/>
        <v>1500</v>
      </c>
      <c r="G170" s="175" t="s">
        <v>207</v>
      </c>
      <c r="H170" s="108" t="s">
        <v>1219</v>
      </c>
      <c r="I170" s="120" t="str">
        <f>VLOOKUP(H170,[9]Presupuesto!$B$8:$C$583,2,0)</f>
        <v>EQUIPO DE COMPUTACION</v>
      </c>
      <c r="J170" s="231" t="s">
        <v>559</v>
      </c>
      <c r="K170" s="108" t="s">
        <v>493</v>
      </c>
      <c r="L170" s="108"/>
    </row>
    <row r="171" spans="3:12" ht="15.75" thickBot="1" x14ac:dyDescent="0.3">
      <c r="C171" s="112" t="s">
        <v>83</v>
      </c>
      <c r="D171" s="169">
        <v>2</v>
      </c>
      <c r="E171" s="114">
        <v>20</v>
      </c>
      <c r="F171" s="115">
        <f t="shared" si="8"/>
        <v>40</v>
      </c>
      <c r="G171" s="175" t="s">
        <v>207</v>
      </c>
      <c r="H171" s="108" t="s">
        <v>1219</v>
      </c>
      <c r="I171" s="116" t="str">
        <f>VLOOKUP(H171,[9]Presupuesto!$B$8:$C$583,2,0)</f>
        <v>EQUIPO DE COMPUTACION</v>
      </c>
      <c r="J171" s="231" t="s">
        <v>559</v>
      </c>
      <c r="K171" s="108" t="s">
        <v>493</v>
      </c>
      <c r="L171" s="134"/>
    </row>
    <row r="172" spans="3:12" x14ac:dyDescent="0.25">
      <c r="K172" s="108"/>
    </row>
    <row r="174" spans="3:12" ht="15.75" thickBot="1" x14ac:dyDescent="0.3"/>
    <row r="175" spans="3:12" ht="15.75" thickBot="1" x14ac:dyDescent="0.3">
      <c r="C175" s="29" t="s">
        <v>43</v>
      </c>
      <c r="D175" s="118">
        <f>SUM(F182:F195)</f>
        <v>113000</v>
      </c>
      <c r="F175" s="69"/>
      <c r="G175" s="87"/>
      <c r="H175" s="69"/>
      <c r="I175" s="69"/>
    </row>
    <row r="176" spans="3:12" x14ac:dyDescent="0.25">
      <c r="C176" s="69"/>
      <c r="D176" s="31"/>
      <c r="E176" s="103"/>
      <c r="F176" s="103"/>
      <c r="G176" s="103"/>
      <c r="H176" s="84"/>
      <c r="I176" s="84"/>
      <c r="J176" s="84"/>
      <c r="K176" s="122"/>
    </row>
    <row r="177" spans="3:12" x14ac:dyDescent="0.25">
      <c r="C177" s="69"/>
      <c r="D177" s="31"/>
      <c r="E177" s="103"/>
      <c r="F177" s="103"/>
      <c r="G177" s="103"/>
      <c r="H177" s="84"/>
      <c r="I177" s="84"/>
      <c r="J177" s="84"/>
      <c r="K177" s="122"/>
    </row>
    <row r="178" spans="3:12" ht="15.75" x14ac:dyDescent="0.25">
      <c r="C178" s="217" t="s">
        <v>471</v>
      </c>
      <c r="D178" s="218"/>
      <c r="E178" s="103"/>
      <c r="F178" s="103"/>
      <c r="G178" s="103"/>
      <c r="H178" s="84"/>
      <c r="I178" s="84"/>
      <c r="J178" s="84"/>
      <c r="K178" s="122"/>
    </row>
    <row r="179" spans="3:12" ht="18.75" x14ac:dyDescent="0.25">
      <c r="C179" s="220">
        <f>IFERROR(VLOOKUP(D178,'[4]Desarrollo Curricular'!$E:$F,2,FALSE),IFERROR(VLOOKUP(D178,[4]Investigación!$E:$F,2,FALSE),IFERROR(VLOOKUP(D178,'[4]Vinculación Univ. Sociedad'!$E:$F,2,FALSE),IFERROR(VLOOKUP(D178,'[4]Docencia y Recursos Humanos '!$E:$F,2,FALSE),IFERROR(VLOOKUP(D178,[4]Estudiantes!$E:$F,2,FALSE),IFERROR(VLOOKUP(D178,'[4]Gestion Administrativa'!$E:$F,2,FALSE),IFERROR(VLOOKUP(D178,'[4]Gestion Academica'!$E:$F,2,FALSE),IFERROR(VLOOKUP(D178,[4]Graduados!$E:$F,2,FALSE),IFERROR(VLOOKUP(D178,'[4]Gestión del Conocimiento'!$E:$F,2,FALSE),IFERROR(VLOOKUP(D178,[4]Gobernabilidad!$E:$F,2,FALSE),IFERROR(VLOOKUP(D178,'[4]NIVEL DE ES Y  SISTEMA NACIONAL'!$E:$F,2,FALSE),VLOOKUP(D178,'[4]Lo Esencial'!$E:$F,2,0))))))))))))</f>
        <v>0</v>
      </c>
      <c r="D179" s="31"/>
      <c r="E179" s="103"/>
      <c r="F179" s="103"/>
      <c r="G179" s="103"/>
      <c r="H179" s="84"/>
      <c r="I179" s="84"/>
      <c r="J179" s="84"/>
      <c r="K179" s="122"/>
    </row>
    <row r="180" spans="3:12" x14ac:dyDescent="0.25">
      <c r="C180" s="95" t="s">
        <v>1885</v>
      </c>
      <c r="F180" s="103"/>
      <c r="G180" s="84"/>
      <c r="H180" s="84"/>
      <c r="I180" s="84"/>
    </row>
    <row r="181" spans="3:12" ht="30.75" thickBot="1" x14ac:dyDescent="0.3">
      <c r="C181" s="159" t="s">
        <v>44</v>
      </c>
      <c r="D181" s="159" t="s">
        <v>55</v>
      </c>
      <c r="E181" s="159" t="s">
        <v>57</v>
      </c>
      <c r="F181" s="160" t="s">
        <v>27</v>
      </c>
      <c r="G181" s="160" t="s">
        <v>208</v>
      </c>
      <c r="H181" s="159" t="s">
        <v>46</v>
      </c>
      <c r="I181" s="159" t="s">
        <v>209</v>
      </c>
      <c r="J181" s="159" t="s">
        <v>491</v>
      </c>
      <c r="K181" s="159" t="s">
        <v>492</v>
      </c>
      <c r="L181" s="159" t="s">
        <v>548</v>
      </c>
    </row>
    <row r="182" spans="3:12" ht="15.75" thickBot="1" x14ac:dyDescent="0.3">
      <c r="C182" s="369" t="s">
        <v>1545</v>
      </c>
      <c r="D182" s="168">
        <v>5</v>
      </c>
      <c r="E182" s="106">
        <f>HLOOKUP($C182,$CB$2:$CE$3,2,0)</f>
        <v>15000</v>
      </c>
      <c r="F182" s="107">
        <f>D182*E182</f>
        <v>75000</v>
      </c>
      <c r="G182" s="175" t="s">
        <v>207</v>
      </c>
      <c r="H182" s="108" t="s">
        <v>333</v>
      </c>
      <c r="I182" s="108" t="str">
        <f>VLOOKUP(H182,[4]Presupuesto!$B$8:$C$583,2,0)</f>
        <v>RESTRIBUCIONES A PERSONAL DIRECTIVO Y DE CONTROL (11300-00)</v>
      </c>
      <c r="J182" s="231" t="s">
        <v>559</v>
      </c>
      <c r="K182" s="108" t="s">
        <v>475</v>
      </c>
      <c r="L182" s="108"/>
    </row>
    <row r="183" spans="3:12" x14ac:dyDescent="0.25">
      <c r="C183" s="369" t="s">
        <v>1543</v>
      </c>
      <c r="D183" s="161">
        <v>0</v>
      </c>
      <c r="E183" s="106">
        <v>0</v>
      </c>
      <c r="F183" s="107">
        <f>D183*E183</f>
        <v>0</v>
      </c>
      <c r="G183" s="175"/>
      <c r="H183" s="111">
        <v>42600</v>
      </c>
      <c r="I183" s="111"/>
      <c r="J183" s="108" t="str">
        <f>$J$17</f>
        <v>Investigación</v>
      </c>
      <c r="K183" s="108" t="s">
        <v>493</v>
      </c>
      <c r="L183" s="108"/>
    </row>
    <row r="184" spans="3:12" x14ac:dyDescent="0.25">
      <c r="C184" s="109" t="s">
        <v>73</v>
      </c>
      <c r="D184" s="161">
        <v>1</v>
      </c>
      <c r="E184" s="110">
        <v>4000</v>
      </c>
      <c r="F184" s="107">
        <f t="shared" ref="F184:F195" si="9">D184*E184</f>
        <v>4000</v>
      </c>
      <c r="G184" s="175" t="s">
        <v>207</v>
      </c>
      <c r="H184" s="111" t="s">
        <v>1219</v>
      </c>
      <c r="I184" s="111" t="str">
        <f>VLOOKUP(H184,[4]Presupuesto!$B$8:$C$583,2,0)</f>
        <v>EQUIPO DE COMPUTACION</v>
      </c>
      <c r="J184" s="108" t="str">
        <f t="shared" ref="J184:J195" si="10">$J$17</f>
        <v>Investigación</v>
      </c>
      <c r="K184" s="108" t="s">
        <v>476</v>
      </c>
      <c r="L184" s="108"/>
    </row>
    <row r="185" spans="3:12" x14ac:dyDescent="0.25">
      <c r="C185" s="109" t="s">
        <v>74</v>
      </c>
      <c r="D185" s="161">
        <v>0</v>
      </c>
      <c r="E185" s="110">
        <v>0</v>
      </c>
      <c r="F185" s="107">
        <f t="shared" si="9"/>
        <v>0</v>
      </c>
      <c r="G185" s="175" t="s">
        <v>206</v>
      </c>
      <c r="H185" s="111">
        <v>42600</v>
      </c>
      <c r="I185" s="111" t="e">
        <f>VLOOKUP(H185,[4]Presupuesto!$B$8:$C$583,2,0)</f>
        <v>#N/A</v>
      </c>
      <c r="J185" s="108" t="str">
        <f t="shared" si="10"/>
        <v>Investigación</v>
      </c>
      <c r="K185" s="108" t="s">
        <v>476</v>
      </c>
      <c r="L185" s="108"/>
    </row>
    <row r="186" spans="3:12" x14ac:dyDescent="0.25">
      <c r="C186" s="109" t="s">
        <v>75</v>
      </c>
      <c r="D186" s="161">
        <v>0</v>
      </c>
      <c r="E186" s="110">
        <v>0</v>
      </c>
      <c r="F186" s="107">
        <f t="shared" si="9"/>
        <v>0</v>
      </c>
      <c r="G186" s="175"/>
      <c r="H186" s="111">
        <v>42600</v>
      </c>
      <c r="I186" s="111" t="e">
        <f>VLOOKUP(H186,[4]Presupuesto!$B$8:$C$583,2,0)</f>
        <v>#N/A</v>
      </c>
      <c r="J186" s="108" t="str">
        <f t="shared" si="10"/>
        <v>Investigación</v>
      </c>
      <c r="K186" s="108" t="s">
        <v>476</v>
      </c>
      <c r="L186" s="108"/>
    </row>
    <row r="187" spans="3:12" x14ac:dyDescent="0.25">
      <c r="C187" s="109" t="s">
        <v>35</v>
      </c>
      <c r="D187" s="161">
        <v>1</v>
      </c>
      <c r="E187" s="110">
        <v>13000</v>
      </c>
      <c r="F187" s="107">
        <f t="shared" si="9"/>
        <v>13000</v>
      </c>
      <c r="G187" s="175" t="s">
        <v>207</v>
      </c>
      <c r="H187" s="111" t="s">
        <v>417</v>
      </c>
      <c r="I187" s="111" t="str">
        <f>VLOOKUP(H187,[4]Presupuesto!$B$8:$C$583,2,0)</f>
        <v>EQUIPOS PARA COMPUTACION</v>
      </c>
      <c r="J187" s="108" t="str">
        <f t="shared" si="10"/>
        <v>Investigación</v>
      </c>
      <c r="K187" s="108" t="s">
        <v>476</v>
      </c>
      <c r="L187" s="108"/>
    </row>
    <row r="188" spans="3:12" x14ac:dyDescent="0.25">
      <c r="C188" s="109" t="s">
        <v>76</v>
      </c>
      <c r="D188" s="161">
        <v>0</v>
      </c>
      <c r="E188" s="110">
        <v>0</v>
      </c>
      <c r="F188" s="107">
        <f t="shared" si="9"/>
        <v>0</v>
      </c>
      <c r="G188" s="175"/>
      <c r="H188" s="111">
        <v>42300</v>
      </c>
      <c r="I188" s="111" t="e">
        <f>VLOOKUP(H188,[4]Presupuesto!$B$8:$C$583,2,0)</f>
        <v>#N/A</v>
      </c>
      <c r="J188" s="108" t="str">
        <f t="shared" si="10"/>
        <v>Investigación</v>
      </c>
      <c r="K188" s="108" t="s">
        <v>476</v>
      </c>
      <c r="L188" s="108"/>
    </row>
    <row r="189" spans="3:12" x14ac:dyDescent="0.25">
      <c r="C189" s="109" t="s">
        <v>77</v>
      </c>
      <c r="D189" s="161">
        <v>0</v>
      </c>
      <c r="E189" s="110">
        <v>0</v>
      </c>
      <c r="F189" s="107">
        <f t="shared" si="9"/>
        <v>0</v>
      </c>
      <c r="G189" s="175"/>
      <c r="H189" s="111">
        <v>42300</v>
      </c>
      <c r="I189" s="111" t="e">
        <f>VLOOKUP(H189,[4]Presupuesto!$B$8:$C$583,2,0)</f>
        <v>#N/A</v>
      </c>
      <c r="J189" s="108" t="str">
        <f t="shared" si="10"/>
        <v>Investigación</v>
      </c>
      <c r="K189" s="108" t="s">
        <v>484</v>
      </c>
      <c r="L189" s="108"/>
    </row>
    <row r="190" spans="3:12" x14ac:dyDescent="0.25">
      <c r="C190" s="109" t="s">
        <v>78</v>
      </c>
      <c r="D190" s="161">
        <v>0</v>
      </c>
      <c r="E190" s="110">
        <v>0</v>
      </c>
      <c r="F190" s="107">
        <f t="shared" si="9"/>
        <v>0</v>
      </c>
      <c r="G190" s="175"/>
      <c r="H190" s="111">
        <v>45100</v>
      </c>
      <c r="I190" s="111" t="e">
        <f>VLOOKUP(H190,[4]Presupuesto!$B$8:$C$583,2,0)</f>
        <v>#N/A</v>
      </c>
      <c r="J190" s="108" t="str">
        <f t="shared" si="10"/>
        <v>Investigación</v>
      </c>
      <c r="K190" s="108" t="s">
        <v>480</v>
      </c>
      <c r="L190" s="108"/>
    </row>
    <row r="191" spans="3:12" x14ac:dyDescent="0.25">
      <c r="C191" s="119" t="s">
        <v>79</v>
      </c>
      <c r="D191" s="161">
        <v>6</v>
      </c>
      <c r="E191" s="110">
        <v>2000</v>
      </c>
      <c r="F191" s="107">
        <f t="shared" si="9"/>
        <v>12000</v>
      </c>
      <c r="G191" s="175" t="s">
        <v>207</v>
      </c>
      <c r="H191" s="120" t="s">
        <v>1219</v>
      </c>
      <c r="I191" s="120" t="str">
        <f>VLOOKUP(H191,[4]Presupuesto!$B$8:$C$583,2,0)</f>
        <v>EQUIPO DE COMPUTACION</v>
      </c>
      <c r="J191" s="108" t="str">
        <f t="shared" si="10"/>
        <v>Investigación</v>
      </c>
      <c r="K191" s="108" t="s">
        <v>476</v>
      </c>
      <c r="L191" s="108"/>
    </row>
    <row r="192" spans="3:12" x14ac:dyDescent="0.25">
      <c r="C192" s="119" t="s">
        <v>80</v>
      </c>
      <c r="D192" s="161">
        <v>5</v>
      </c>
      <c r="E192" s="110">
        <v>1500</v>
      </c>
      <c r="F192" s="107">
        <f t="shared" si="9"/>
        <v>7500</v>
      </c>
      <c r="G192" s="175" t="s">
        <v>207</v>
      </c>
      <c r="H192" s="120" t="s">
        <v>1219</v>
      </c>
      <c r="I192" s="120" t="str">
        <f>VLOOKUP(H192,[4]Presupuesto!$B$8:$C$583,2,0)</f>
        <v>EQUIPO DE COMPUTACION</v>
      </c>
      <c r="J192" s="108" t="str">
        <f t="shared" si="10"/>
        <v>Investigación</v>
      </c>
      <c r="K192" s="108" t="s">
        <v>476</v>
      </c>
      <c r="L192" s="108"/>
    </row>
    <row r="193" spans="3:12" x14ac:dyDescent="0.25">
      <c r="C193" s="119" t="s">
        <v>81</v>
      </c>
      <c r="D193" s="161">
        <v>0</v>
      </c>
      <c r="E193" s="110">
        <v>0</v>
      </c>
      <c r="F193" s="107">
        <f t="shared" si="9"/>
        <v>0</v>
      </c>
      <c r="G193" s="175"/>
      <c r="H193" s="120">
        <v>42600</v>
      </c>
      <c r="I193" s="120" t="e">
        <f>VLOOKUP(H193,[4]Presupuesto!$B$8:$C$583,2,0)</f>
        <v>#N/A</v>
      </c>
      <c r="J193" s="108" t="str">
        <f t="shared" si="10"/>
        <v>Investigación</v>
      </c>
      <c r="K193" s="108" t="s">
        <v>476</v>
      </c>
      <c r="L193" s="108"/>
    </row>
    <row r="194" spans="3:12" x14ac:dyDescent="0.25">
      <c r="C194" s="119" t="s">
        <v>82</v>
      </c>
      <c r="D194" s="161">
        <v>3</v>
      </c>
      <c r="E194" s="110">
        <v>500</v>
      </c>
      <c r="F194" s="107">
        <f t="shared" si="9"/>
        <v>1500</v>
      </c>
      <c r="G194" s="175" t="s">
        <v>207</v>
      </c>
      <c r="H194" s="120" t="s">
        <v>1219</v>
      </c>
      <c r="I194" s="120" t="str">
        <f>VLOOKUP(H194,[4]Presupuesto!$B$8:$C$583,2,0)</f>
        <v>EQUIPO DE COMPUTACION</v>
      </c>
      <c r="J194" s="108" t="str">
        <f t="shared" si="10"/>
        <v>Investigación</v>
      </c>
      <c r="K194" s="108" t="s">
        <v>476</v>
      </c>
      <c r="L194" s="108"/>
    </row>
    <row r="195" spans="3:12" ht="15.75" thickBot="1" x14ac:dyDescent="0.3">
      <c r="C195" s="112" t="s">
        <v>83</v>
      </c>
      <c r="D195" s="169">
        <v>0</v>
      </c>
      <c r="E195" s="114">
        <v>0</v>
      </c>
      <c r="F195" s="115">
        <f t="shared" si="9"/>
        <v>0</v>
      </c>
      <c r="G195" s="172"/>
      <c r="H195" s="116">
        <v>39600</v>
      </c>
      <c r="I195" s="116" t="e">
        <f>VLOOKUP(H195,[4]Presupuesto!$B$8:$C$583,2,0)</f>
        <v>#N/A</v>
      </c>
      <c r="J195" s="116" t="str">
        <f t="shared" si="10"/>
        <v>Investigación</v>
      </c>
      <c r="K195" s="134" t="s">
        <v>475</v>
      </c>
      <c r="L195" s="134"/>
    </row>
    <row r="197" spans="3:12" ht="15.75" thickBot="1" x14ac:dyDescent="0.3"/>
    <row r="198" spans="3:12" ht="15.75" thickBot="1" x14ac:dyDescent="0.3">
      <c r="C198" s="29" t="s">
        <v>43</v>
      </c>
      <c r="D198" s="118">
        <f>SUM(F205:F218)</f>
        <v>260500</v>
      </c>
      <c r="F198" s="69"/>
      <c r="G198" s="87"/>
      <c r="H198" s="69"/>
      <c r="I198" s="69"/>
    </row>
    <row r="199" spans="3:12" x14ac:dyDescent="0.25">
      <c r="C199" s="69"/>
      <c r="D199" s="31"/>
      <c r="E199" s="103"/>
      <c r="F199" s="103"/>
      <c r="G199" s="103"/>
      <c r="H199" s="84"/>
      <c r="I199" s="84"/>
      <c r="J199" s="84"/>
      <c r="K199" s="122"/>
    </row>
    <row r="200" spans="3:12" x14ac:dyDescent="0.25">
      <c r="C200" s="69"/>
      <c r="D200" s="31"/>
      <c r="E200" s="103"/>
      <c r="F200" s="103"/>
      <c r="G200" s="103"/>
      <c r="H200" s="84"/>
      <c r="I200" s="84"/>
      <c r="J200" s="84"/>
      <c r="K200" s="122"/>
    </row>
    <row r="201" spans="3:12" ht="15.75" x14ac:dyDescent="0.25">
      <c r="C201" s="217" t="s">
        <v>471</v>
      </c>
      <c r="D201" s="218"/>
      <c r="E201" s="103"/>
      <c r="F201" s="103"/>
      <c r="G201" s="103"/>
      <c r="H201" s="84"/>
      <c r="I201" s="84"/>
      <c r="J201" s="84"/>
      <c r="K201" s="122"/>
    </row>
    <row r="202" spans="3:12" ht="18.75" x14ac:dyDescent="0.25">
      <c r="C202" s="220" t="e">
        <f>IFERROR(VLOOKUP(D201,'[10]Desarrollo Curricular'!$E:$F,2,FALSE),IFERROR(VLOOKUP(D201,[10]Investigación!$E:$F,2,FALSE),IFERROR(VLOOKUP(D201,'[10]Vinculación Univ. Sociedad'!$E:$F,2,FALSE),IFERROR(VLOOKUP(D201,'[10]Docencia y Recursos Humanos '!$E:$F,2,FALSE),IFERROR(VLOOKUP(D201,[10]Estudiantes!$E:$F,2,FALSE),IFERROR(VLOOKUP(D201,'[10]Gestion Administrativa'!$E:$F,2,FALSE),IFERROR(VLOOKUP(D201,'[10]Gestion Academica'!$E:$F,2,FALSE),IFERROR(VLOOKUP(D201,[10]Graduados!$E:$F,2,FALSE),IFERROR(VLOOKUP(D201,'[10]Gestión del Conocimiento'!$E:$F,2,FALSE),IFERROR(VLOOKUP(D201,[10]Gobernabilidad!$E:$F,2,FALSE),IFERROR(VLOOKUP(D201,'[10]NIVEL DE ES Y  SISTEMA NACIONAL'!$E:$F,2,FALSE),VLOOKUP(D201,'[10]Lo Esencial'!$E:$F,2,0))))))))))))</f>
        <v>#N/A</v>
      </c>
      <c r="D202" s="31"/>
      <c r="E202" s="103"/>
      <c r="F202" s="103"/>
      <c r="G202" s="103"/>
      <c r="H202" s="84"/>
      <c r="I202" s="84"/>
      <c r="J202" s="84"/>
      <c r="K202" s="122"/>
    </row>
    <row r="203" spans="3:12" x14ac:dyDescent="0.25">
      <c r="C203" s="95" t="s">
        <v>1887</v>
      </c>
      <c r="F203" s="103"/>
      <c r="G203" s="84"/>
      <c r="H203" s="84"/>
      <c r="I203" s="84"/>
    </row>
    <row r="204" spans="3:12" ht="30.75" thickBot="1" x14ac:dyDescent="0.3">
      <c r="C204" s="159" t="s">
        <v>44</v>
      </c>
      <c r="D204" s="159" t="s">
        <v>55</v>
      </c>
      <c r="E204" s="159" t="s">
        <v>57</v>
      </c>
      <c r="F204" s="160" t="s">
        <v>27</v>
      </c>
      <c r="G204" s="160" t="s">
        <v>208</v>
      </c>
      <c r="H204" s="159" t="s">
        <v>46</v>
      </c>
      <c r="I204" s="159" t="s">
        <v>209</v>
      </c>
      <c r="J204" s="159" t="s">
        <v>491</v>
      </c>
      <c r="K204" s="159" t="s">
        <v>492</v>
      </c>
      <c r="L204" s="159" t="s">
        <v>548</v>
      </c>
    </row>
    <row r="205" spans="3:12" ht="15.75" thickBot="1" x14ac:dyDescent="0.3">
      <c r="C205" s="369" t="s">
        <v>1545</v>
      </c>
      <c r="D205" s="168">
        <v>3</v>
      </c>
      <c r="E205" s="106">
        <f>HLOOKUP($C205,$CB$2:$CE$3,2,0)</f>
        <v>15000</v>
      </c>
      <c r="F205" s="107">
        <f>D205*E205</f>
        <v>45000</v>
      </c>
      <c r="G205" s="175" t="s">
        <v>207</v>
      </c>
      <c r="H205" s="192" t="s">
        <v>1219</v>
      </c>
      <c r="I205" s="108" t="str">
        <f>VLOOKUP(H205,[10]Presupuesto!$B$8:$C$585,2,0)</f>
        <v>EQUIPO DE COMPUTACION</v>
      </c>
      <c r="J205" s="231" t="s">
        <v>559</v>
      </c>
      <c r="K205" s="108" t="s">
        <v>493</v>
      </c>
      <c r="L205" s="108"/>
    </row>
    <row r="206" spans="3:12" x14ac:dyDescent="0.25">
      <c r="C206" s="369" t="s">
        <v>1543</v>
      </c>
      <c r="D206" s="161">
        <v>2</v>
      </c>
      <c r="E206" s="106">
        <f>HLOOKUP($C206,$CB$2:$CE$3,2,0)</f>
        <v>35000</v>
      </c>
      <c r="F206" s="107">
        <f>D206*E206</f>
        <v>70000</v>
      </c>
      <c r="G206" s="175" t="s">
        <v>207</v>
      </c>
      <c r="H206" s="192" t="s">
        <v>1219</v>
      </c>
      <c r="I206" s="111" t="str">
        <f>VLOOKUP(H206,[10]Presupuesto!$B$8:$C$585,2,0)</f>
        <v>EQUIPO DE COMPUTACION</v>
      </c>
      <c r="J206" s="231" t="s">
        <v>559</v>
      </c>
      <c r="K206" s="108" t="s">
        <v>493</v>
      </c>
      <c r="L206" s="108"/>
    </row>
    <row r="207" spans="3:12" x14ac:dyDescent="0.25">
      <c r="C207" s="109" t="s">
        <v>73</v>
      </c>
      <c r="D207" s="161">
        <v>0</v>
      </c>
      <c r="E207" s="110"/>
      <c r="F207" s="107">
        <f t="shared" ref="F207:F218" si="11">D207*E207</f>
        <v>0</v>
      </c>
      <c r="G207" s="175"/>
      <c r="H207" s="111">
        <v>42120</v>
      </c>
      <c r="I207" s="111" t="e">
        <f>VLOOKUP(H207,[10]Presupuesto!$B$8:$C$585,2,0)</f>
        <v>#N/A</v>
      </c>
      <c r="J207" s="231" t="s">
        <v>559</v>
      </c>
      <c r="K207" s="108" t="s">
        <v>493</v>
      </c>
      <c r="L207" s="108"/>
    </row>
    <row r="208" spans="3:12" x14ac:dyDescent="0.25">
      <c r="C208" s="109" t="s">
        <v>74</v>
      </c>
      <c r="D208" s="161">
        <v>0</v>
      </c>
      <c r="E208" s="110"/>
      <c r="F208" s="107">
        <f t="shared" si="11"/>
        <v>0</v>
      </c>
      <c r="G208" s="175" t="s">
        <v>207</v>
      </c>
      <c r="H208" s="111">
        <v>42600</v>
      </c>
      <c r="I208" s="111" t="e">
        <f>VLOOKUP(H208,[10]Presupuesto!$B$8:$C$585,2,0)</f>
        <v>#N/A</v>
      </c>
      <c r="J208" s="231" t="s">
        <v>559</v>
      </c>
      <c r="K208" s="108" t="s">
        <v>493</v>
      </c>
      <c r="L208" s="108"/>
    </row>
    <row r="209" spans="3:12" x14ac:dyDescent="0.25">
      <c r="C209" s="109" t="s">
        <v>75</v>
      </c>
      <c r="D209" s="161">
        <v>2</v>
      </c>
      <c r="E209" s="110">
        <v>5000</v>
      </c>
      <c r="F209" s="107">
        <f t="shared" si="11"/>
        <v>10000</v>
      </c>
      <c r="G209" s="175" t="s">
        <v>207</v>
      </c>
      <c r="H209" s="192" t="s">
        <v>1193</v>
      </c>
      <c r="I209" s="111" t="str">
        <f>VLOOKUP(H209,[10]Presupuesto!$B$8:$C$585,2,0)</f>
        <v>EQUIPOS VARIOS DE OFICINA</v>
      </c>
      <c r="J209" s="231" t="s">
        <v>559</v>
      </c>
      <c r="K209" s="108" t="s">
        <v>493</v>
      </c>
      <c r="L209" s="108"/>
    </row>
    <row r="210" spans="3:12" x14ac:dyDescent="0.25">
      <c r="C210" s="109" t="s">
        <v>35</v>
      </c>
      <c r="D210" s="161">
        <v>5</v>
      </c>
      <c r="E210" s="110">
        <v>13000</v>
      </c>
      <c r="F210" s="107">
        <f t="shared" si="11"/>
        <v>65000</v>
      </c>
      <c r="G210" s="175" t="s">
        <v>207</v>
      </c>
      <c r="H210" s="192" t="s">
        <v>1230</v>
      </c>
      <c r="I210" s="111" t="str">
        <f>VLOOKUP(H210,[10]Presupuesto!$B$8:$C$585,2,0)</f>
        <v>EQUIPO EDUCACIONAL Y RECREATIVO</v>
      </c>
      <c r="J210" s="231" t="s">
        <v>559</v>
      </c>
      <c r="K210" s="108" t="s">
        <v>493</v>
      </c>
      <c r="L210" s="108"/>
    </row>
    <row r="211" spans="3:12" x14ac:dyDescent="0.25">
      <c r="C211" s="109" t="s">
        <v>76</v>
      </c>
      <c r="D211" s="161">
        <v>0</v>
      </c>
      <c r="E211" s="110">
        <v>15000</v>
      </c>
      <c r="F211" s="107">
        <f t="shared" si="11"/>
        <v>0</v>
      </c>
      <c r="G211" s="175"/>
      <c r="H211" s="111">
        <v>42300</v>
      </c>
      <c r="I211" s="111" t="e">
        <f>VLOOKUP(H211,[10]Presupuesto!$B$8:$C$585,2,0)</f>
        <v>#N/A</v>
      </c>
      <c r="J211" s="231" t="s">
        <v>559</v>
      </c>
      <c r="K211" s="108" t="s">
        <v>493</v>
      </c>
      <c r="L211" s="108"/>
    </row>
    <row r="212" spans="3:12" x14ac:dyDescent="0.25">
      <c r="C212" s="109" t="s">
        <v>77</v>
      </c>
      <c r="D212" s="161">
        <v>0</v>
      </c>
      <c r="E212" s="110">
        <v>10000</v>
      </c>
      <c r="F212" s="107">
        <f t="shared" si="11"/>
        <v>0</v>
      </c>
      <c r="G212" s="175"/>
      <c r="H212" s="111">
        <v>42300</v>
      </c>
      <c r="I212" s="111" t="e">
        <f>VLOOKUP(H212,[10]Presupuesto!$B$8:$C$585,2,0)</f>
        <v>#N/A</v>
      </c>
      <c r="J212" s="231" t="s">
        <v>559</v>
      </c>
      <c r="K212" s="108" t="s">
        <v>493</v>
      </c>
      <c r="L212" s="108"/>
    </row>
    <row r="213" spans="3:12" x14ac:dyDescent="0.25">
      <c r="C213" s="109" t="s">
        <v>78</v>
      </c>
      <c r="D213" s="161">
        <v>5</v>
      </c>
      <c r="E213" s="110">
        <v>10000</v>
      </c>
      <c r="F213" s="107">
        <f t="shared" si="11"/>
        <v>50000</v>
      </c>
      <c r="G213" s="175" t="s">
        <v>207</v>
      </c>
      <c r="H213" s="192" t="s">
        <v>417</v>
      </c>
      <c r="I213" s="111" t="str">
        <f>VLOOKUP(H213,[10]Presupuesto!$B$8:$C$585,2,0)</f>
        <v>EQUIPOS PARA COMPUTACION</v>
      </c>
      <c r="J213" s="231" t="s">
        <v>559</v>
      </c>
      <c r="K213" s="108" t="s">
        <v>493</v>
      </c>
      <c r="L213" s="108"/>
    </row>
    <row r="214" spans="3:12" x14ac:dyDescent="0.25">
      <c r="C214" s="119" t="s">
        <v>79</v>
      </c>
      <c r="D214" s="161">
        <v>5</v>
      </c>
      <c r="E214" s="110">
        <v>2000</v>
      </c>
      <c r="F214" s="107">
        <f t="shared" si="11"/>
        <v>10000</v>
      </c>
      <c r="G214" s="175" t="s">
        <v>207</v>
      </c>
      <c r="H214" s="192" t="s">
        <v>417</v>
      </c>
      <c r="I214" s="120" t="str">
        <f>VLOOKUP(H214,[10]Presupuesto!$B$8:$C$585,2,0)</f>
        <v>EQUIPOS PARA COMPUTACION</v>
      </c>
      <c r="J214" s="231" t="s">
        <v>559</v>
      </c>
      <c r="K214" s="108" t="s">
        <v>493</v>
      </c>
      <c r="L214" s="108"/>
    </row>
    <row r="215" spans="3:12" x14ac:dyDescent="0.25">
      <c r="C215" s="119" t="s">
        <v>80</v>
      </c>
      <c r="D215" s="161">
        <v>5</v>
      </c>
      <c r="E215" s="110">
        <v>1500</v>
      </c>
      <c r="F215" s="107">
        <f t="shared" si="11"/>
        <v>7500</v>
      </c>
      <c r="G215" s="175" t="s">
        <v>207</v>
      </c>
      <c r="H215" s="192" t="s">
        <v>417</v>
      </c>
      <c r="I215" s="120" t="str">
        <f>VLOOKUP(H215,[10]Presupuesto!$B$8:$C$585,2,0)</f>
        <v>EQUIPOS PARA COMPUTACION</v>
      </c>
      <c r="J215" s="231" t="s">
        <v>559</v>
      </c>
      <c r="K215" s="108" t="s">
        <v>493</v>
      </c>
      <c r="L215" s="108"/>
    </row>
    <row r="216" spans="3:12" x14ac:dyDescent="0.25">
      <c r="C216" s="119" t="s">
        <v>81</v>
      </c>
      <c r="D216" s="161">
        <v>2</v>
      </c>
      <c r="E216" s="110">
        <v>1500</v>
      </c>
      <c r="F216" s="107">
        <f t="shared" si="11"/>
        <v>3000</v>
      </c>
      <c r="G216" s="175" t="s">
        <v>207</v>
      </c>
      <c r="H216" s="192" t="s">
        <v>417</v>
      </c>
      <c r="I216" s="120" t="str">
        <f>VLOOKUP(H216,[10]Presupuesto!$B$8:$C$585,2,0)</f>
        <v>EQUIPOS PARA COMPUTACION</v>
      </c>
      <c r="J216" s="231" t="s">
        <v>559</v>
      </c>
      <c r="K216" s="108" t="s">
        <v>493</v>
      </c>
      <c r="L216" s="108"/>
    </row>
    <row r="217" spans="3:12" x14ac:dyDescent="0.25">
      <c r="C217" s="119" t="s">
        <v>82</v>
      </c>
      <c r="D217" s="161">
        <v>0</v>
      </c>
      <c r="E217" s="110">
        <v>500</v>
      </c>
      <c r="F217" s="107">
        <f t="shared" si="11"/>
        <v>0</v>
      </c>
      <c r="G217" s="175"/>
      <c r="H217" s="120">
        <v>39600</v>
      </c>
      <c r="I217" s="120" t="e">
        <f>VLOOKUP(H217,[10]Presupuesto!$B$8:$C$585,2,0)</f>
        <v>#N/A</v>
      </c>
      <c r="J217" s="231" t="s">
        <v>559</v>
      </c>
      <c r="K217" s="108" t="s">
        <v>493</v>
      </c>
      <c r="L217" s="108"/>
    </row>
    <row r="218" spans="3:12" ht="15.75" thickBot="1" x14ac:dyDescent="0.3">
      <c r="C218" s="112" t="s">
        <v>83</v>
      </c>
      <c r="D218" s="169">
        <v>0</v>
      </c>
      <c r="E218" s="114">
        <v>20</v>
      </c>
      <c r="F218" s="115">
        <f t="shared" si="11"/>
        <v>0</v>
      </c>
      <c r="G218" s="172"/>
      <c r="H218" s="116">
        <v>39600</v>
      </c>
      <c r="I218" s="116" t="e">
        <f>VLOOKUP(H218,[10]Presupuesto!$B$8:$C$585,2,0)</f>
        <v>#N/A</v>
      </c>
      <c r="J218" s="231" t="s">
        <v>559</v>
      </c>
      <c r="K218" s="108" t="s">
        <v>493</v>
      </c>
      <c r="L218" s="134"/>
    </row>
    <row r="219" spans="3:12" ht="15.75" thickBot="1" x14ac:dyDescent="0.3"/>
    <row r="220" spans="3:12" ht="15.75" thickBot="1" x14ac:dyDescent="0.3">
      <c r="C220" s="29" t="s">
        <v>43</v>
      </c>
      <c r="D220" s="118">
        <f>SUM(F227:F240)</f>
        <v>132500</v>
      </c>
      <c r="F220" s="69"/>
      <c r="G220" s="87"/>
      <c r="H220" s="69"/>
      <c r="I220" s="69"/>
    </row>
    <row r="221" spans="3:12" x14ac:dyDescent="0.25">
      <c r="C221" s="69"/>
      <c r="D221" s="31"/>
      <c r="E221" s="103"/>
      <c r="F221" s="103"/>
      <c r="G221" s="103"/>
      <c r="H221" s="84"/>
      <c r="I221" s="84"/>
      <c r="J221" s="84"/>
      <c r="K221" s="122"/>
    </row>
    <row r="222" spans="3:12" x14ac:dyDescent="0.25">
      <c r="C222" s="69"/>
      <c r="D222" s="31"/>
      <c r="E222" s="103"/>
      <c r="F222" s="103"/>
      <c r="G222" s="103"/>
      <c r="H222" s="84"/>
      <c r="I222" s="84"/>
      <c r="J222" s="84"/>
      <c r="K222" s="122"/>
    </row>
    <row r="223" spans="3:12" ht="15.75" x14ac:dyDescent="0.25">
      <c r="C223" s="217" t="s">
        <v>471</v>
      </c>
      <c r="D223" s="218"/>
      <c r="E223" s="103"/>
      <c r="F223" s="103"/>
      <c r="G223" s="103"/>
      <c r="H223" s="84"/>
      <c r="I223" s="84"/>
      <c r="J223" s="84"/>
      <c r="K223" s="122"/>
    </row>
    <row r="224" spans="3:12" ht="18.75" x14ac:dyDescent="0.25">
      <c r="C224" s="220" t="e">
        <f>IFERROR(VLOOKUP(D223,'[11]Desarrollo Curricular'!$E:$F,2,FALSE),IFERROR(VLOOKUP(D223,[11]Investigación!$E:$F,2,FALSE),IFERROR(VLOOKUP(D223,'[11]Vinculación Univ. Sociedad'!$E:$F,2,FALSE),IFERROR(VLOOKUP(D223,'[11]Docencia y Recursos Humanos '!$E:$F,2,FALSE),IFERROR(VLOOKUP(D223,[11]Estudiantes!$E:$F,2,FALSE),IFERROR(VLOOKUP(D223,'[11]Gestion Administrativa'!$E:$F,2,FALSE),IFERROR(VLOOKUP(D223,'[11]Gestion Academica'!$E:$F,2,FALSE),IFERROR(VLOOKUP(D223,[11]Graduados!$E:$F,2,FALSE),IFERROR(VLOOKUP(D223,'[11]Gestión del Conocimiento'!$E:$F,2,FALSE),IFERROR(VLOOKUP(D223,[11]Gobernabilidad!$E:$F,2,FALSE),IFERROR(VLOOKUP(D223,'[11]NIVEL DE ES Y  SISTEMA NACIONAL'!$E:$F,2,FALSE),VLOOKUP(D223,'[11]Lo Esencial'!$E:$F,2,0))))))))))))</f>
        <v>#N/A</v>
      </c>
      <c r="D224" s="31"/>
      <c r="E224" s="103"/>
      <c r="F224" s="103"/>
      <c r="G224" s="103"/>
      <c r="H224" s="84"/>
      <c r="I224" s="84"/>
      <c r="J224" s="84"/>
      <c r="K224" s="122"/>
    </row>
    <row r="225" spans="3:12" x14ac:dyDescent="0.25">
      <c r="C225" s="95" t="s">
        <v>1896</v>
      </c>
      <c r="F225" s="103"/>
      <c r="G225" s="84"/>
      <c r="H225" s="84"/>
      <c r="I225" s="84"/>
    </row>
    <row r="226" spans="3:12" ht="30.75" thickBot="1" x14ac:dyDescent="0.3">
      <c r="C226" s="159" t="s">
        <v>44</v>
      </c>
      <c r="D226" s="159" t="s">
        <v>55</v>
      </c>
      <c r="E226" s="159" t="s">
        <v>57</v>
      </c>
      <c r="F226" s="160" t="s">
        <v>27</v>
      </c>
      <c r="G226" s="160" t="s">
        <v>208</v>
      </c>
      <c r="H226" s="159" t="s">
        <v>46</v>
      </c>
      <c r="I226" s="159" t="s">
        <v>209</v>
      </c>
      <c r="J226" s="159" t="s">
        <v>491</v>
      </c>
      <c r="K226" s="159" t="s">
        <v>492</v>
      </c>
      <c r="L226" s="159" t="s">
        <v>548</v>
      </c>
    </row>
    <row r="227" spans="3:12" ht="15.75" thickBot="1" x14ac:dyDescent="0.3">
      <c r="C227" s="369" t="s">
        <v>1545</v>
      </c>
      <c r="D227" s="168">
        <v>2</v>
      </c>
      <c r="E227" s="106">
        <f>HLOOKUP($C227,$CB$2:$CE$3,2,0)</f>
        <v>15000</v>
      </c>
      <c r="F227" s="107">
        <f>D227*E227</f>
        <v>30000</v>
      </c>
      <c r="G227" s="175" t="s">
        <v>207</v>
      </c>
      <c r="H227" s="192" t="s">
        <v>1219</v>
      </c>
      <c r="I227" s="108" t="str">
        <f>VLOOKUP(H227,[11]Presupuesto!$B$8:$C$585,2,0)</f>
        <v>EQUIPO DE COMPUTACION</v>
      </c>
      <c r="J227" s="231" t="s">
        <v>559</v>
      </c>
      <c r="K227" s="108" t="s">
        <v>493</v>
      </c>
      <c r="L227" s="108"/>
    </row>
    <row r="228" spans="3:12" x14ac:dyDescent="0.25">
      <c r="C228" s="369" t="s">
        <v>1543</v>
      </c>
      <c r="D228" s="161">
        <v>1</v>
      </c>
      <c r="E228" s="106">
        <f>HLOOKUP($C228,$CB$2:$CE$3,2,0)</f>
        <v>35000</v>
      </c>
      <c r="F228" s="107">
        <f>D228*E228</f>
        <v>35000</v>
      </c>
      <c r="G228" s="175" t="s">
        <v>207</v>
      </c>
      <c r="H228" s="192" t="s">
        <v>1219</v>
      </c>
      <c r="I228" s="111" t="str">
        <f>VLOOKUP(H228,[11]Presupuesto!$B$8:$C$585,2,0)</f>
        <v>EQUIPO DE COMPUTACION</v>
      </c>
      <c r="J228" s="231" t="s">
        <v>559</v>
      </c>
      <c r="K228" s="108" t="s">
        <v>493</v>
      </c>
      <c r="L228" s="108"/>
    </row>
    <row r="229" spans="3:12" x14ac:dyDescent="0.25">
      <c r="C229" s="109" t="s">
        <v>73</v>
      </c>
      <c r="D229" s="161">
        <v>0</v>
      </c>
      <c r="E229" s="110"/>
      <c r="F229" s="107">
        <f t="shared" ref="F229:F240" si="12">D229*E229</f>
        <v>0</v>
      </c>
      <c r="G229" s="175"/>
      <c r="H229" s="111"/>
      <c r="I229" s="111" t="e">
        <f>VLOOKUP(H229,[11]Presupuesto!$B$8:$C$585,2,0)</f>
        <v>#N/A</v>
      </c>
      <c r="J229" s="231" t="s">
        <v>559</v>
      </c>
      <c r="K229" s="108" t="s">
        <v>493</v>
      </c>
      <c r="L229" s="108"/>
    </row>
    <row r="230" spans="3:12" x14ac:dyDescent="0.25">
      <c r="C230" s="109" t="s">
        <v>74</v>
      </c>
      <c r="D230" s="161">
        <v>0</v>
      </c>
      <c r="E230" s="110"/>
      <c r="F230" s="107">
        <f t="shared" si="12"/>
        <v>0</v>
      </c>
      <c r="G230" s="175" t="s">
        <v>206</v>
      </c>
      <c r="H230" s="111"/>
      <c r="I230" s="111" t="e">
        <f>VLOOKUP(H230,[11]Presupuesto!$B$8:$C$585,2,0)</f>
        <v>#N/A</v>
      </c>
      <c r="J230" s="231" t="s">
        <v>559</v>
      </c>
      <c r="K230" s="108" t="s">
        <v>493</v>
      </c>
      <c r="L230" s="108"/>
    </row>
    <row r="231" spans="3:12" x14ac:dyDescent="0.25">
      <c r="C231" s="109" t="s">
        <v>75</v>
      </c>
      <c r="D231" s="161">
        <v>2</v>
      </c>
      <c r="E231" s="110">
        <v>5000</v>
      </c>
      <c r="F231" s="107">
        <f t="shared" si="12"/>
        <v>10000</v>
      </c>
      <c r="G231" s="175" t="s">
        <v>207</v>
      </c>
      <c r="H231" s="192" t="s">
        <v>1193</v>
      </c>
      <c r="I231" s="111" t="str">
        <f>VLOOKUP(H231,[11]Presupuesto!$B$8:$C$585,2,0)</f>
        <v>EQUIPOS VARIOS DE OFICINA</v>
      </c>
      <c r="J231" s="231" t="s">
        <v>559</v>
      </c>
      <c r="K231" s="108" t="s">
        <v>493</v>
      </c>
      <c r="L231" s="108"/>
    </row>
    <row r="232" spans="3:12" x14ac:dyDescent="0.25">
      <c r="C232" s="109" t="s">
        <v>35</v>
      </c>
      <c r="D232" s="161">
        <v>2</v>
      </c>
      <c r="E232" s="110">
        <v>13000</v>
      </c>
      <c r="F232" s="107">
        <f t="shared" si="12"/>
        <v>26000</v>
      </c>
      <c r="G232" s="175" t="s">
        <v>207</v>
      </c>
      <c r="H232" s="192" t="s">
        <v>1230</v>
      </c>
      <c r="I232" s="111" t="str">
        <f>VLOOKUP(H232,[11]Presupuesto!$B$8:$C$585,2,0)</f>
        <v>EQUIPO EDUCACIONAL Y RECREATIVO</v>
      </c>
      <c r="J232" s="231" t="s">
        <v>559</v>
      </c>
      <c r="K232" s="108" t="s">
        <v>493</v>
      </c>
      <c r="L232" s="108"/>
    </row>
    <row r="233" spans="3:12" x14ac:dyDescent="0.25">
      <c r="C233" s="109" t="s">
        <v>76</v>
      </c>
      <c r="D233" s="161">
        <v>0</v>
      </c>
      <c r="E233" s="110"/>
      <c r="F233" s="107">
        <f t="shared" si="12"/>
        <v>0</v>
      </c>
      <c r="G233" s="175"/>
      <c r="H233" s="111"/>
      <c r="I233" s="111" t="e">
        <f>VLOOKUP(H233,[11]Presupuesto!$B$8:$C$585,2,0)</f>
        <v>#N/A</v>
      </c>
      <c r="J233" s="231" t="s">
        <v>559</v>
      </c>
      <c r="K233" s="108" t="s">
        <v>493</v>
      </c>
      <c r="L233" s="108"/>
    </row>
    <row r="234" spans="3:12" x14ac:dyDescent="0.25">
      <c r="C234" s="109" t="s">
        <v>77</v>
      </c>
      <c r="D234" s="161">
        <v>0</v>
      </c>
      <c r="E234" s="110"/>
      <c r="F234" s="107">
        <f t="shared" si="12"/>
        <v>0</v>
      </c>
      <c r="G234" s="175"/>
      <c r="H234" s="111"/>
      <c r="I234" s="111" t="e">
        <f>VLOOKUP(H234,[11]Presupuesto!$B$8:$C$585,2,0)</f>
        <v>#N/A</v>
      </c>
      <c r="J234" s="231" t="s">
        <v>559</v>
      </c>
      <c r="K234" s="108" t="s">
        <v>493</v>
      </c>
      <c r="L234" s="108"/>
    </row>
    <row r="235" spans="3:12" x14ac:dyDescent="0.25">
      <c r="C235" s="109" t="s">
        <v>78</v>
      </c>
      <c r="D235" s="161">
        <v>3</v>
      </c>
      <c r="E235" s="110">
        <v>10000</v>
      </c>
      <c r="F235" s="107">
        <f t="shared" si="12"/>
        <v>30000</v>
      </c>
      <c r="G235" s="175" t="s">
        <v>207</v>
      </c>
      <c r="H235" s="192" t="s">
        <v>417</v>
      </c>
      <c r="I235" s="120" t="str">
        <f>VLOOKUP(H235,[11]Presupuesto!$B$8:$C$585,2,0)</f>
        <v>EQUIPOS PARA COMPUTACION</v>
      </c>
      <c r="J235" s="231" t="s">
        <v>559</v>
      </c>
      <c r="K235" s="108" t="s">
        <v>493</v>
      </c>
      <c r="L235" s="108"/>
    </row>
    <row r="236" spans="3:12" x14ac:dyDescent="0.25">
      <c r="C236" s="119" t="s">
        <v>79</v>
      </c>
      <c r="D236" s="161"/>
      <c r="E236" s="110"/>
      <c r="F236" s="107">
        <f t="shared" si="12"/>
        <v>0</v>
      </c>
      <c r="G236" s="175" t="s">
        <v>207</v>
      </c>
      <c r="H236" s="192" t="s">
        <v>417</v>
      </c>
      <c r="I236" s="120" t="str">
        <f>VLOOKUP(H236,[11]Presupuesto!$B$8:$C$585,2,0)</f>
        <v>EQUIPOS PARA COMPUTACION</v>
      </c>
      <c r="J236" s="231" t="s">
        <v>559</v>
      </c>
      <c r="K236" s="108" t="s">
        <v>493</v>
      </c>
      <c r="L236" s="108"/>
    </row>
    <row r="237" spans="3:12" x14ac:dyDescent="0.25">
      <c r="C237" s="119" t="s">
        <v>80</v>
      </c>
      <c r="D237" s="161">
        <v>1</v>
      </c>
      <c r="E237" s="110">
        <v>1500</v>
      </c>
      <c r="F237" s="107">
        <f t="shared" si="12"/>
        <v>1500</v>
      </c>
      <c r="G237" s="175" t="s">
        <v>207</v>
      </c>
      <c r="H237" s="192" t="s">
        <v>417</v>
      </c>
      <c r="I237" s="120" t="str">
        <f>VLOOKUP(H237,[11]Presupuesto!$B$8:$C$585,2,0)</f>
        <v>EQUIPOS PARA COMPUTACION</v>
      </c>
      <c r="J237" s="231" t="s">
        <v>559</v>
      </c>
      <c r="K237" s="108" t="s">
        <v>493</v>
      </c>
      <c r="L237" s="108"/>
    </row>
    <row r="238" spans="3:12" x14ac:dyDescent="0.25">
      <c r="C238" s="119" t="s">
        <v>81</v>
      </c>
      <c r="D238" s="161"/>
      <c r="E238" s="110"/>
      <c r="F238" s="107">
        <f t="shared" si="12"/>
        <v>0</v>
      </c>
      <c r="G238" s="175" t="s">
        <v>207</v>
      </c>
      <c r="H238" s="192"/>
      <c r="I238" s="120" t="e">
        <f>VLOOKUP(H238,[11]Presupuesto!$B$8:$C$585,2,0)</f>
        <v>#N/A</v>
      </c>
      <c r="J238" s="231" t="s">
        <v>559</v>
      </c>
      <c r="K238" s="108" t="s">
        <v>493</v>
      </c>
      <c r="L238" s="108"/>
    </row>
    <row r="239" spans="3:12" x14ac:dyDescent="0.25">
      <c r="C239" s="119" t="s">
        <v>82</v>
      </c>
      <c r="D239" s="161">
        <v>0</v>
      </c>
      <c r="E239" s="110"/>
      <c r="F239" s="107">
        <f t="shared" si="12"/>
        <v>0</v>
      </c>
      <c r="G239" s="175"/>
      <c r="H239" s="120"/>
      <c r="I239" s="120" t="e">
        <f>VLOOKUP(H239,[11]Presupuesto!$B$8:$C$585,2,0)</f>
        <v>#N/A</v>
      </c>
      <c r="J239" s="231" t="s">
        <v>559</v>
      </c>
      <c r="K239" s="108" t="s">
        <v>493</v>
      </c>
      <c r="L239" s="108"/>
    </row>
    <row r="240" spans="3:12" ht="15.75" thickBot="1" x14ac:dyDescent="0.3">
      <c r="C240" s="112" t="s">
        <v>83</v>
      </c>
      <c r="D240" s="169">
        <v>0</v>
      </c>
      <c r="E240" s="114"/>
      <c r="F240" s="115">
        <f t="shared" si="12"/>
        <v>0</v>
      </c>
      <c r="G240" s="172"/>
      <c r="H240" s="116"/>
      <c r="I240" s="116" t="e">
        <f>VLOOKUP(H240,[11]Presupuesto!$B$8:$C$585,2,0)</f>
        <v>#N/A</v>
      </c>
      <c r="J240" s="231" t="s">
        <v>559</v>
      </c>
      <c r="K240" s="108" t="s">
        <v>493</v>
      </c>
      <c r="L240" s="134"/>
    </row>
    <row r="242" spans="3:12" ht="15.75" thickBot="1" x14ac:dyDescent="0.3"/>
    <row r="243" spans="3:12" ht="15.75" thickBot="1" x14ac:dyDescent="0.3">
      <c r="C243" s="29" t="s">
        <v>43</v>
      </c>
      <c r="D243" s="118">
        <f>SUM(F250:F263)</f>
        <v>202500</v>
      </c>
      <c r="F243" s="69"/>
      <c r="G243" s="87"/>
      <c r="H243" s="69"/>
      <c r="I243" s="69"/>
    </row>
    <row r="244" spans="3:12" x14ac:dyDescent="0.25">
      <c r="C244" s="69"/>
      <c r="D244" s="31"/>
      <c r="E244" s="103"/>
      <c r="F244" s="103"/>
      <c r="G244" s="103"/>
      <c r="H244" s="84"/>
      <c r="I244" s="84"/>
      <c r="J244" s="84"/>
      <c r="K244" s="122"/>
    </row>
    <row r="245" spans="3:12" x14ac:dyDescent="0.25">
      <c r="C245" s="69"/>
      <c r="D245" s="31"/>
      <c r="E245" s="103"/>
      <c r="F245" s="103"/>
      <c r="G245" s="103"/>
      <c r="H245" s="84"/>
      <c r="I245" s="84"/>
      <c r="J245" s="84"/>
      <c r="K245" s="122"/>
    </row>
    <row r="246" spans="3:12" ht="15.75" x14ac:dyDescent="0.25">
      <c r="C246" s="217" t="s">
        <v>471</v>
      </c>
      <c r="D246" s="218" t="s">
        <v>2011</v>
      </c>
      <c r="E246" s="103"/>
      <c r="F246" s="103"/>
      <c r="G246" s="103"/>
      <c r="H246" s="84"/>
      <c r="I246" s="84"/>
      <c r="J246" s="84"/>
      <c r="K246" s="122"/>
    </row>
    <row r="247" spans="3:12" ht="18.75" x14ac:dyDescent="0.25">
      <c r="C247" s="220" t="str">
        <f>IFERROR(VLOOKUP(D246,'[5]Desarrollo Curricular'!$E:$F,2,FALSE),IFERROR(VLOOKUP(D246,[5]Investigación!$E:$F,2,FALSE),IFERROR(VLOOKUP(D246,'[5]Vinculación Univ. Sociedad'!$E:$F,2,FALSE),IFERROR(VLOOKUP(D246,'[5]Docencia y Recursos Humanos '!$E:$F,2,FALSE),IFERROR(VLOOKUP(D246,[5]Estudiantes!$E:$F,2,FALSE),IFERROR(VLOOKUP(D246,'[5]Gestion Administrativa'!$E:$F,2,FALSE),IFERROR(VLOOKUP(D246,'[5]Gestion Academica'!$E:$F,2,FALSE),IFERROR(VLOOKUP(D246,[5]Graduados!$E:$F,2,FALSE),IFERROR(VLOOKUP(D246,'[5]Gestión del Conocimiento'!$E:$F,2,FALSE),IFERROR(VLOOKUP(D246,[5]Gobernabilidad!$E:$F,2,FALSE),IFERROR(VLOOKUP(D246,'[5]NIVEL DE ES Y  SISTEMA NACIONAL'!$E:$F,2,FALSE),VLOOKUP(D246,'[5]Lo Esencial'!$E:$F,2,0))))))))))))</f>
        <v>Equipos informaticos para formacion de competencias</v>
      </c>
      <c r="D247" s="31"/>
      <c r="E247" s="103"/>
      <c r="F247" s="103"/>
      <c r="G247" s="103"/>
      <c r="H247" s="84"/>
      <c r="I247" s="84"/>
      <c r="J247" s="84"/>
      <c r="K247" s="122"/>
    </row>
    <row r="248" spans="3:12" x14ac:dyDescent="0.25">
      <c r="F248" s="103"/>
      <c r="G248" s="84"/>
      <c r="H248" s="84"/>
      <c r="I248" s="84"/>
    </row>
    <row r="249" spans="3:12" ht="30.75" thickBot="1" x14ac:dyDescent="0.3">
      <c r="C249" s="596" t="s">
        <v>44</v>
      </c>
      <c r="D249" s="596" t="s">
        <v>55</v>
      </c>
      <c r="E249" s="596" t="s">
        <v>57</v>
      </c>
      <c r="F249" s="597" t="s">
        <v>27</v>
      </c>
      <c r="G249" s="597" t="s">
        <v>208</v>
      </c>
      <c r="H249" s="596" t="s">
        <v>46</v>
      </c>
      <c r="I249" s="596" t="s">
        <v>209</v>
      </c>
      <c r="J249" s="596" t="s">
        <v>491</v>
      </c>
      <c r="K249" s="596" t="s">
        <v>492</v>
      </c>
      <c r="L249" s="596" t="s">
        <v>548</v>
      </c>
    </row>
    <row r="250" spans="3:12" ht="15.75" thickBot="1" x14ac:dyDescent="0.3">
      <c r="C250" s="369" t="s">
        <v>1545</v>
      </c>
      <c r="D250" s="593">
        <v>2</v>
      </c>
      <c r="E250" s="106">
        <f>HLOOKUP($C250,$CB$2:$CE$3,2,0)</f>
        <v>15000</v>
      </c>
      <c r="F250" s="107">
        <f>D250*E250</f>
        <v>30000</v>
      </c>
      <c r="G250" s="598" t="s">
        <v>207</v>
      </c>
      <c r="H250" s="108" t="s">
        <v>417</v>
      </c>
      <c r="I250" s="594" t="str">
        <f>VLOOKUP(H250,[5]Presupuesto!$B$8:$C$583,2,0)</f>
        <v>EQUIPOS PARA COMPUTACION</v>
      </c>
      <c r="J250" s="231" t="s">
        <v>202</v>
      </c>
      <c r="K250" s="108" t="s">
        <v>475</v>
      </c>
      <c r="L250" s="108"/>
    </row>
    <row r="251" spans="3:12" x14ac:dyDescent="0.25">
      <c r="C251" s="369" t="s">
        <v>1543</v>
      </c>
      <c r="D251" s="595">
        <v>2</v>
      </c>
      <c r="E251" s="106">
        <f>HLOOKUP($C251,$CB$2:$CE$3,2,0)</f>
        <v>35000</v>
      </c>
      <c r="F251" s="107">
        <f>D251*E251</f>
        <v>70000</v>
      </c>
      <c r="G251" s="598" t="s">
        <v>207</v>
      </c>
      <c r="H251" s="108" t="s">
        <v>417</v>
      </c>
      <c r="I251" s="594" t="str">
        <f>VLOOKUP(H251,[5]Presupuesto!$B$8:$C$583,2,0)</f>
        <v>EQUIPOS PARA COMPUTACION</v>
      </c>
      <c r="J251" s="108" t="str">
        <f>$J$17</f>
        <v>Investigación</v>
      </c>
      <c r="K251" s="108" t="s">
        <v>493</v>
      </c>
      <c r="L251" s="108"/>
    </row>
    <row r="252" spans="3:12" x14ac:dyDescent="0.25">
      <c r="C252" s="577" t="s">
        <v>73</v>
      </c>
      <c r="D252" s="595">
        <v>1</v>
      </c>
      <c r="E252" s="579">
        <v>4000</v>
      </c>
      <c r="F252" s="107">
        <f t="shared" ref="F252:F263" si="13">D252*E252</f>
        <v>4000</v>
      </c>
      <c r="G252" s="598" t="s">
        <v>207</v>
      </c>
      <c r="H252" s="594" t="s">
        <v>417</v>
      </c>
      <c r="I252" s="594" t="str">
        <f>VLOOKUP(H252,[5]Presupuesto!$B$8:$C$583,2,0)</f>
        <v>EQUIPOS PARA COMPUTACION</v>
      </c>
      <c r="J252" s="108" t="str">
        <f t="shared" ref="J252:J263" si="14">$J$17</f>
        <v>Investigación</v>
      </c>
      <c r="K252" s="108" t="s">
        <v>476</v>
      </c>
      <c r="L252" s="108"/>
    </row>
    <row r="253" spans="3:12" x14ac:dyDescent="0.25">
      <c r="C253" s="577" t="s">
        <v>74</v>
      </c>
      <c r="D253" s="595">
        <v>1</v>
      </c>
      <c r="E253" s="579">
        <v>8000</v>
      </c>
      <c r="F253" s="107">
        <f t="shared" si="13"/>
        <v>8000</v>
      </c>
      <c r="G253" s="598" t="s">
        <v>207</v>
      </c>
      <c r="H253" s="594" t="s">
        <v>417</v>
      </c>
      <c r="I253" s="594" t="str">
        <f>VLOOKUP(H253,[5]Presupuesto!$B$8:$C$583,2,0)</f>
        <v>EQUIPOS PARA COMPUTACION</v>
      </c>
      <c r="J253" s="108" t="str">
        <f t="shared" si="14"/>
        <v>Investigación</v>
      </c>
      <c r="K253" s="108" t="s">
        <v>476</v>
      </c>
      <c r="L253" s="108"/>
    </row>
    <row r="254" spans="3:12" x14ac:dyDescent="0.25">
      <c r="C254" s="577" t="s">
        <v>75</v>
      </c>
      <c r="D254" s="595">
        <v>1</v>
      </c>
      <c r="E254" s="579">
        <v>5000</v>
      </c>
      <c r="F254" s="107">
        <f t="shared" si="13"/>
        <v>5000</v>
      </c>
      <c r="G254" s="598" t="s">
        <v>207</v>
      </c>
      <c r="H254" s="594" t="s">
        <v>417</v>
      </c>
      <c r="I254" s="594" t="str">
        <f>VLOOKUP(H254,[5]Presupuesto!$B$8:$C$583,2,0)</f>
        <v>EQUIPOS PARA COMPUTACION</v>
      </c>
      <c r="J254" s="108" t="str">
        <f t="shared" si="14"/>
        <v>Investigación</v>
      </c>
      <c r="K254" s="108" t="s">
        <v>476</v>
      </c>
      <c r="L254" s="108"/>
    </row>
    <row r="255" spans="3:12" x14ac:dyDescent="0.25">
      <c r="C255" s="577" t="s">
        <v>35</v>
      </c>
      <c r="D255" s="595">
        <v>1</v>
      </c>
      <c r="E255" s="579">
        <v>13000</v>
      </c>
      <c r="F255" s="107">
        <f t="shared" si="13"/>
        <v>13000</v>
      </c>
      <c r="G255" s="598" t="s">
        <v>207</v>
      </c>
      <c r="H255" s="594" t="s">
        <v>417</v>
      </c>
      <c r="I255" s="594" t="str">
        <f>VLOOKUP(H255,[5]Presupuesto!$B$8:$C$583,2,0)</f>
        <v>EQUIPOS PARA COMPUTACION</v>
      </c>
      <c r="J255" s="108" t="str">
        <f t="shared" si="14"/>
        <v>Investigación</v>
      </c>
      <c r="K255" s="108" t="s">
        <v>476</v>
      </c>
      <c r="L255" s="108"/>
    </row>
    <row r="256" spans="3:12" x14ac:dyDescent="0.25">
      <c r="C256" s="577" t="s">
        <v>76</v>
      </c>
      <c r="D256" s="595"/>
      <c r="E256" s="107"/>
      <c r="F256" s="107"/>
      <c r="G256" s="598" t="s">
        <v>207</v>
      </c>
      <c r="H256" s="594"/>
      <c r="I256" s="594"/>
      <c r="J256" s="108"/>
      <c r="K256" s="108"/>
      <c r="L256" s="108"/>
    </row>
    <row r="257" spans="3:12" x14ac:dyDescent="0.25">
      <c r="C257" s="577" t="s">
        <v>77</v>
      </c>
      <c r="D257" s="595">
        <v>1</v>
      </c>
      <c r="E257" s="579">
        <v>10000</v>
      </c>
      <c r="F257" s="107">
        <f t="shared" si="13"/>
        <v>10000</v>
      </c>
      <c r="G257" s="598" t="s">
        <v>207</v>
      </c>
      <c r="H257" s="594" t="s">
        <v>415</v>
      </c>
      <c r="I257" s="594" t="str">
        <f>VLOOKUP(H257,[5]Presupuesto!$B$8:$C$583,2,0)</f>
        <v>EQUIPO DE TRANSPORTE TRACCION Y ELEVACION</v>
      </c>
      <c r="J257" s="108" t="str">
        <f t="shared" si="14"/>
        <v>Investigación</v>
      </c>
      <c r="K257" s="108" t="s">
        <v>484</v>
      </c>
      <c r="L257" s="108"/>
    </row>
    <row r="258" spans="3:12" x14ac:dyDescent="0.25">
      <c r="C258" s="577" t="s">
        <v>78</v>
      </c>
      <c r="D258" s="595">
        <v>5</v>
      </c>
      <c r="E258" s="579">
        <v>10000</v>
      </c>
      <c r="F258" s="107">
        <f t="shared" si="13"/>
        <v>50000</v>
      </c>
      <c r="G258" s="598" t="s">
        <v>207</v>
      </c>
      <c r="H258" s="594" t="s">
        <v>420</v>
      </c>
      <c r="I258" s="594" t="str">
        <f>VLOOKUP(H258,[5]Presupuesto!$B$8:$C$583,2,0)</f>
        <v>APLICACIONES INFORMATICAS (45100-00)</v>
      </c>
      <c r="J258" s="108" t="str">
        <f t="shared" si="14"/>
        <v>Investigación</v>
      </c>
      <c r="K258" s="108" t="s">
        <v>480</v>
      </c>
      <c r="L258" s="108"/>
    </row>
    <row r="259" spans="3:12" x14ac:dyDescent="0.25">
      <c r="C259" s="582" t="s">
        <v>79</v>
      </c>
      <c r="D259" s="595">
        <v>2</v>
      </c>
      <c r="E259" s="579">
        <v>2000</v>
      </c>
      <c r="F259" s="107">
        <f t="shared" si="13"/>
        <v>4000</v>
      </c>
      <c r="G259" s="598" t="s">
        <v>207</v>
      </c>
      <c r="H259" s="594" t="s">
        <v>417</v>
      </c>
      <c r="I259" s="599" t="str">
        <f>VLOOKUP(H259,[5]Presupuesto!$B$8:$C$583,2,0)</f>
        <v>EQUIPOS PARA COMPUTACION</v>
      </c>
      <c r="J259" s="108" t="str">
        <f t="shared" si="14"/>
        <v>Investigación</v>
      </c>
      <c r="K259" s="108" t="s">
        <v>476</v>
      </c>
      <c r="L259" s="108"/>
    </row>
    <row r="260" spans="3:12" x14ac:dyDescent="0.25">
      <c r="C260" s="582" t="s">
        <v>80</v>
      </c>
      <c r="D260" s="595">
        <v>2</v>
      </c>
      <c r="E260" s="579">
        <v>1500</v>
      </c>
      <c r="F260" s="107">
        <f t="shared" si="13"/>
        <v>3000</v>
      </c>
      <c r="G260" s="598" t="s">
        <v>207</v>
      </c>
      <c r="H260" s="594" t="s">
        <v>417</v>
      </c>
      <c r="I260" s="599" t="str">
        <f>VLOOKUP(H260,[5]Presupuesto!$B$8:$C$583,2,0)</f>
        <v>EQUIPOS PARA COMPUTACION</v>
      </c>
      <c r="J260" s="108" t="str">
        <f t="shared" si="14"/>
        <v>Investigación</v>
      </c>
      <c r="K260" s="108" t="s">
        <v>476</v>
      </c>
      <c r="L260" s="108"/>
    </row>
    <row r="261" spans="3:12" x14ac:dyDescent="0.25">
      <c r="C261" s="582" t="s">
        <v>81</v>
      </c>
      <c r="D261" s="595">
        <v>1</v>
      </c>
      <c r="E261" s="579">
        <v>1500</v>
      </c>
      <c r="F261" s="107">
        <f t="shared" si="13"/>
        <v>1500</v>
      </c>
      <c r="G261" s="598" t="s">
        <v>207</v>
      </c>
      <c r="H261" s="594" t="s">
        <v>417</v>
      </c>
      <c r="I261" s="599" t="str">
        <f>VLOOKUP(H261,[5]Presupuesto!$B$8:$C$583,2,0)</f>
        <v>EQUIPOS PARA COMPUTACION</v>
      </c>
      <c r="J261" s="108" t="str">
        <f t="shared" si="14"/>
        <v>Investigación</v>
      </c>
      <c r="K261" s="108" t="s">
        <v>476</v>
      </c>
      <c r="L261" s="108"/>
    </row>
    <row r="262" spans="3:12" x14ac:dyDescent="0.25">
      <c r="C262" s="582" t="s">
        <v>82</v>
      </c>
      <c r="D262" s="595">
        <v>4</v>
      </c>
      <c r="E262" s="579">
        <v>500</v>
      </c>
      <c r="F262" s="107">
        <f t="shared" si="13"/>
        <v>2000</v>
      </c>
      <c r="G262" s="598" t="s">
        <v>207</v>
      </c>
      <c r="H262" s="594" t="s">
        <v>417</v>
      </c>
      <c r="I262" s="599" t="str">
        <f>VLOOKUP(H262,[5]Presupuesto!$B$8:$C$583,2,0)</f>
        <v>EQUIPOS PARA COMPUTACION</v>
      </c>
      <c r="J262" s="108" t="str">
        <f t="shared" si="14"/>
        <v>Investigación</v>
      </c>
      <c r="K262" s="108" t="s">
        <v>476</v>
      </c>
      <c r="L262" s="108"/>
    </row>
    <row r="263" spans="3:12" ht="15.75" thickBot="1" x14ac:dyDescent="0.3">
      <c r="C263" s="600" t="s">
        <v>83</v>
      </c>
      <c r="D263" s="601">
        <v>100</v>
      </c>
      <c r="E263" s="587">
        <v>20</v>
      </c>
      <c r="F263" s="588">
        <f t="shared" si="13"/>
        <v>2000</v>
      </c>
      <c r="G263" s="598" t="s">
        <v>207</v>
      </c>
      <c r="H263" s="594" t="s">
        <v>417</v>
      </c>
      <c r="I263" s="589" t="str">
        <f>VLOOKUP(H263,[5]Presupuesto!$B$8:$C$583,2,0)</f>
        <v>EQUIPOS PARA COMPUTACION</v>
      </c>
      <c r="J263" s="589" t="str">
        <f t="shared" si="14"/>
        <v>Investigación</v>
      </c>
      <c r="K263" s="602" t="s">
        <v>475</v>
      </c>
      <c r="L263" s="602"/>
    </row>
    <row r="265" spans="3:12" ht="15.75" thickBot="1" x14ac:dyDescent="0.3"/>
    <row r="266" spans="3:12" ht="15.75" thickBot="1" x14ac:dyDescent="0.3">
      <c r="C266" s="29" t="s">
        <v>43</v>
      </c>
      <c r="D266" s="118">
        <f>SUM(F273:F286)</f>
        <v>336800</v>
      </c>
      <c r="F266" s="69"/>
      <c r="G266" s="87"/>
      <c r="H266" s="69"/>
      <c r="I266" s="69"/>
    </row>
    <row r="267" spans="3:12" x14ac:dyDescent="0.25">
      <c r="C267" s="69"/>
      <c r="D267" s="31"/>
      <c r="E267" s="103"/>
      <c r="F267" s="103"/>
      <c r="G267" s="103"/>
      <c r="H267" s="645"/>
      <c r="I267" s="84"/>
      <c r="J267" s="84"/>
      <c r="K267" s="122"/>
    </row>
    <row r="268" spans="3:12" x14ac:dyDescent="0.25">
      <c r="C268" s="69" t="s">
        <v>2023</v>
      </c>
      <c r="D268" s="31"/>
      <c r="E268" s="103"/>
      <c r="F268" s="103"/>
      <c r="G268" s="103"/>
      <c r="H268" s="84"/>
      <c r="I268" s="84"/>
      <c r="J268" s="84"/>
      <c r="K268" s="122"/>
    </row>
    <row r="269" spans="3:12" ht="15.75" x14ac:dyDescent="0.25">
      <c r="C269" s="217" t="s">
        <v>471</v>
      </c>
      <c r="D269" s="218">
        <f>+'[12]Gestion Administrativa'!E266</f>
        <v>0</v>
      </c>
      <c r="E269" s="103"/>
      <c r="F269" s="103"/>
      <c r="G269" s="103"/>
      <c r="H269" s="84"/>
      <c r="I269" s="84"/>
      <c r="J269" s="84"/>
      <c r="K269" s="122"/>
    </row>
    <row r="270" spans="3:12" ht="18.75" x14ac:dyDescent="0.25">
      <c r="C270" s="220" t="s">
        <v>2040</v>
      </c>
      <c r="D270" s="31"/>
      <c r="E270" s="103"/>
      <c r="F270" s="103"/>
      <c r="G270" s="103"/>
      <c r="H270" s="84"/>
      <c r="I270" s="84"/>
      <c r="J270" s="84"/>
      <c r="K270" s="122"/>
    </row>
    <row r="271" spans="3:12" x14ac:dyDescent="0.25">
      <c r="F271" s="103"/>
      <c r="G271" s="84"/>
      <c r="H271" s="84"/>
      <c r="I271" s="84"/>
    </row>
    <row r="272" spans="3:12" ht="30.75" thickBot="1" x14ac:dyDescent="0.3">
      <c r="C272" s="596" t="s">
        <v>44</v>
      </c>
      <c r="D272" s="596" t="s">
        <v>55</v>
      </c>
      <c r="E272" s="596" t="s">
        <v>57</v>
      </c>
      <c r="F272" s="597" t="s">
        <v>27</v>
      </c>
      <c r="G272" s="597" t="s">
        <v>208</v>
      </c>
      <c r="H272" s="596" t="s">
        <v>46</v>
      </c>
      <c r="I272" s="596" t="s">
        <v>209</v>
      </c>
      <c r="J272" s="596" t="s">
        <v>491</v>
      </c>
      <c r="K272" s="596" t="s">
        <v>492</v>
      </c>
      <c r="L272" s="596" t="s">
        <v>548</v>
      </c>
    </row>
    <row r="273" spans="3:12" x14ac:dyDescent="0.25">
      <c r="C273" s="646" t="s">
        <v>2041</v>
      </c>
      <c r="D273" s="593">
        <v>25</v>
      </c>
      <c r="E273" s="472">
        <v>10000</v>
      </c>
      <c r="F273" s="605">
        <f>D273*E273</f>
        <v>250000</v>
      </c>
      <c r="G273" s="598" t="s">
        <v>207</v>
      </c>
      <c r="H273" s="108" t="s">
        <v>1219</v>
      </c>
      <c r="I273" s="108" t="str">
        <f>VLOOKUP(H273,[12]Presupuesto!$B$8:$C$583,2,0)</f>
        <v>EQUIPO DE COMPUTACION</v>
      </c>
      <c r="J273" s="231" t="s">
        <v>559</v>
      </c>
      <c r="K273" s="108" t="s">
        <v>493</v>
      </c>
      <c r="L273" s="108"/>
    </row>
    <row r="274" spans="3:12" x14ac:dyDescent="0.25">
      <c r="C274" s="647" t="s">
        <v>2042</v>
      </c>
      <c r="D274" s="595">
        <v>1</v>
      </c>
      <c r="E274" s="648">
        <v>15000</v>
      </c>
      <c r="F274" s="605">
        <f>D274*E274</f>
        <v>15000</v>
      </c>
      <c r="G274" s="598" t="s">
        <v>207</v>
      </c>
      <c r="H274" s="108" t="s">
        <v>1219</v>
      </c>
      <c r="I274" s="108" t="str">
        <f>VLOOKUP(H274,[12]Presupuesto!$B$8:$C$583,2,0)</f>
        <v>EQUIPO DE COMPUTACION</v>
      </c>
      <c r="J274" s="108" t="str">
        <f>$J$17</f>
        <v>Investigación</v>
      </c>
      <c r="K274" s="108" t="s">
        <v>493</v>
      </c>
      <c r="L274" s="108"/>
    </row>
    <row r="275" spans="3:12" x14ac:dyDescent="0.25">
      <c r="C275" s="647" t="s">
        <v>73</v>
      </c>
      <c r="D275" s="595">
        <v>1</v>
      </c>
      <c r="E275" s="648">
        <v>4000</v>
      </c>
      <c r="F275" s="605">
        <f t="shared" ref="F275:F286" si="15">D275*E275</f>
        <v>4000</v>
      </c>
      <c r="G275" s="598" t="s">
        <v>207</v>
      </c>
      <c r="H275" s="108" t="s">
        <v>1219</v>
      </c>
      <c r="I275" s="108" t="str">
        <f>VLOOKUP(H275,[12]Presupuesto!$B$8:$C$583,2,0)</f>
        <v>EQUIPO DE COMPUTACION</v>
      </c>
      <c r="J275" s="108" t="str">
        <f t="shared" ref="J275:J286" si="16">$J$17</f>
        <v>Investigación</v>
      </c>
      <c r="K275" s="108" t="s">
        <v>493</v>
      </c>
      <c r="L275" s="108" t="s">
        <v>2043</v>
      </c>
    </row>
    <row r="276" spans="3:12" x14ac:dyDescent="0.25">
      <c r="C276" s="647" t="s">
        <v>74</v>
      </c>
      <c r="D276" s="595">
        <v>1</v>
      </c>
      <c r="E276" s="648">
        <v>8000</v>
      </c>
      <c r="F276" s="605">
        <f t="shared" si="15"/>
        <v>8000</v>
      </c>
      <c r="G276" s="598" t="s">
        <v>207</v>
      </c>
      <c r="H276" s="108" t="s">
        <v>1219</v>
      </c>
      <c r="I276" s="108" t="str">
        <f>VLOOKUP(H276,[12]Presupuesto!$B$8:$C$583,2,0)</f>
        <v>EQUIPO DE COMPUTACION</v>
      </c>
      <c r="J276" s="108" t="str">
        <f t="shared" si="16"/>
        <v>Investigación</v>
      </c>
      <c r="K276" s="108" t="s">
        <v>493</v>
      </c>
      <c r="L276" s="108"/>
    </row>
    <row r="277" spans="3:12" x14ac:dyDescent="0.25">
      <c r="C277" s="647" t="s">
        <v>75</v>
      </c>
      <c r="D277" s="595">
        <v>1</v>
      </c>
      <c r="E277" s="648">
        <v>5000</v>
      </c>
      <c r="F277" s="605">
        <f t="shared" si="15"/>
        <v>5000</v>
      </c>
      <c r="G277" s="598" t="s">
        <v>207</v>
      </c>
      <c r="H277" s="108" t="s">
        <v>1219</v>
      </c>
      <c r="I277" s="108" t="str">
        <f>VLOOKUP(H277,[12]Presupuesto!$B$8:$C$583,2,0)</f>
        <v>EQUIPO DE COMPUTACION</v>
      </c>
      <c r="J277" s="108" t="str">
        <f t="shared" si="16"/>
        <v>Investigación</v>
      </c>
      <c r="K277" s="108" t="s">
        <v>493</v>
      </c>
      <c r="L277" s="108"/>
    </row>
    <row r="278" spans="3:12" x14ac:dyDescent="0.25">
      <c r="C278" s="647" t="s">
        <v>35</v>
      </c>
      <c r="D278" s="595">
        <v>1</v>
      </c>
      <c r="E278" s="648">
        <v>16500</v>
      </c>
      <c r="F278" s="605">
        <f t="shared" si="15"/>
        <v>16500</v>
      </c>
      <c r="G278" s="598" t="s">
        <v>207</v>
      </c>
      <c r="H278" s="108" t="s">
        <v>1219</v>
      </c>
      <c r="I278" s="108" t="str">
        <f>VLOOKUP(H278,[12]Presupuesto!$B$8:$C$583,2,0)</f>
        <v>EQUIPO DE COMPUTACION</v>
      </c>
      <c r="J278" s="108" t="str">
        <f t="shared" si="16"/>
        <v>Investigación</v>
      </c>
      <c r="K278" s="108" t="s">
        <v>493</v>
      </c>
      <c r="L278" s="108"/>
    </row>
    <row r="279" spans="3:12" x14ac:dyDescent="0.25">
      <c r="C279" s="647" t="s">
        <v>76</v>
      </c>
      <c r="D279" s="595">
        <v>1</v>
      </c>
      <c r="E279" s="648">
        <v>15000</v>
      </c>
      <c r="F279" s="605">
        <f t="shared" si="15"/>
        <v>15000</v>
      </c>
      <c r="G279" s="598" t="s">
        <v>207</v>
      </c>
      <c r="H279" s="108" t="s">
        <v>1219</v>
      </c>
      <c r="I279" s="108" t="str">
        <f>VLOOKUP(H279,[12]Presupuesto!$B$8:$C$583,2,0)</f>
        <v>EQUIPO DE COMPUTACION</v>
      </c>
      <c r="J279" s="108" t="str">
        <f t="shared" si="16"/>
        <v>Investigación</v>
      </c>
      <c r="K279" s="108" t="s">
        <v>493</v>
      </c>
      <c r="L279" s="108"/>
    </row>
    <row r="280" spans="3:12" x14ac:dyDescent="0.25">
      <c r="C280" s="647" t="s">
        <v>77</v>
      </c>
      <c r="D280" s="595"/>
      <c r="E280" s="648">
        <v>10000</v>
      </c>
      <c r="F280" s="605">
        <f t="shared" si="15"/>
        <v>0</v>
      </c>
      <c r="G280" s="598" t="s">
        <v>207</v>
      </c>
      <c r="H280" s="108" t="s">
        <v>1219</v>
      </c>
      <c r="I280" s="108" t="str">
        <f>VLOOKUP(H280,[12]Presupuesto!$B$8:$C$583,2,0)</f>
        <v>EQUIPO DE COMPUTACION</v>
      </c>
      <c r="J280" s="108" t="str">
        <f t="shared" si="16"/>
        <v>Investigación</v>
      </c>
      <c r="K280" s="108" t="s">
        <v>493</v>
      </c>
      <c r="L280" s="108"/>
    </row>
    <row r="281" spans="3:12" x14ac:dyDescent="0.25">
      <c r="C281" s="647" t="s">
        <v>78</v>
      </c>
      <c r="D281" s="595"/>
      <c r="E281" s="648">
        <v>10000</v>
      </c>
      <c r="F281" s="605">
        <f t="shared" si="15"/>
        <v>0</v>
      </c>
      <c r="G281" s="598" t="s">
        <v>207</v>
      </c>
      <c r="H281" s="108" t="s">
        <v>1219</v>
      </c>
      <c r="I281" s="108" t="str">
        <f>VLOOKUP(H281,[12]Presupuesto!$B$8:$C$583,2,0)</f>
        <v>EQUIPO DE COMPUTACION</v>
      </c>
      <c r="J281" s="108" t="str">
        <f t="shared" si="16"/>
        <v>Investigación</v>
      </c>
      <c r="K281" s="108" t="s">
        <v>493</v>
      </c>
      <c r="L281" s="108"/>
    </row>
    <row r="282" spans="3:12" x14ac:dyDescent="0.25">
      <c r="C282" s="649" t="s">
        <v>79</v>
      </c>
      <c r="D282" s="595">
        <v>2</v>
      </c>
      <c r="E282" s="648">
        <v>2000</v>
      </c>
      <c r="F282" s="605">
        <f t="shared" si="15"/>
        <v>4000</v>
      </c>
      <c r="G282" s="598" t="s">
        <v>207</v>
      </c>
      <c r="H282" s="108" t="s">
        <v>1219</v>
      </c>
      <c r="I282" s="108" t="str">
        <f>VLOOKUP(H282,[12]Presupuesto!$B$8:$C$583,2,0)</f>
        <v>EQUIPO DE COMPUTACION</v>
      </c>
      <c r="J282" s="108" t="str">
        <f t="shared" si="16"/>
        <v>Investigación</v>
      </c>
      <c r="K282" s="108" t="s">
        <v>493</v>
      </c>
      <c r="L282" s="108"/>
    </row>
    <row r="283" spans="3:12" x14ac:dyDescent="0.25">
      <c r="C283" s="649" t="s">
        <v>80</v>
      </c>
      <c r="D283" s="595">
        <v>14</v>
      </c>
      <c r="E283" s="648">
        <v>1200</v>
      </c>
      <c r="F283" s="605">
        <f t="shared" si="15"/>
        <v>16800</v>
      </c>
      <c r="G283" s="598" t="s">
        <v>207</v>
      </c>
      <c r="H283" s="108" t="s">
        <v>1219</v>
      </c>
      <c r="I283" s="108" t="str">
        <f>VLOOKUP(H283,[12]Presupuesto!$B$8:$C$583,2,0)</f>
        <v>EQUIPO DE COMPUTACION</v>
      </c>
      <c r="J283" s="108" t="str">
        <f t="shared" si="16"/>
        <v>Investigación</v>
      </c>
      <c r="K283" s="108" t="s">
        <v>493</v>
      </c>
      <c r="L283" s="108"/>
    </row>
    <row r="284" spans="3:12" x14ac:dyDescent="0.25">
      <c r="C284" s="649" t="s">
        <v>81</v>
      </c>
      <c r="D284" s="595">
        <v>1</v>
      </c>
      <c r="E284" s="648">
        <v>2000</v>
      </c>
      <c r="F284" s="605">
        <f t="shared" si="15"/>
        <v>2000</v>
      </c>
      <c r="G284" s="598" t="s">
        <v>207</v>
      </c>
      <c r="H284" s="108" t="s">
        <v>1219</v>
      </c>
      <c r="I284" s="108" t="str">
        <f>VLOOKUP(H284,[12]Presupuesto!$B$8:$C$583,2,0)</f>
        <v>EQUIPO DE COMPUTACION</v>
      </c>
      <c r="J284" s="108" t="str">
        <f t="shared" si="16"/>
        <v>Investigación</v>
      </c>
      <c r="K284" s="108" t="s">
        <v>493</v>
      </c>
      <c r="L284" s="108"/>
    </row>
    <row r="285" spans="3:12" x14ac:dyDescent="0.25">
      <c r="C285" s="649" t="s">
        <v>82</v>
      </c>
      <c r="D285" s="595">
        <v>2</v>
      </c>
      <c r="E285" s="648">
        <v>250</v>
      </c>
      <c r="F285" s="605">
        <f t="shared" si="15"/>
        <v>500</v>
      </c>
      <c r="G285" s="598" t="s">
        <v>207</v>
      </c>
      <c r="H285" s="108" t="s">
        <v>1219</v>
      </c>
      <c r="I285" s="108" t="str">
        <f>VLOOKUP(H285,[12]Presupuesto!$B$8:$C$583,2,0)</f>
        <v>EQUIPO DE COMPUTACION</v>
      </c>
      <c r="J285" s="108" t="str">
        <f t="shared" si="16"/>
        <v>Investigación</v>
      </c>
      <c r="K285" s="108" t="s">
        <v>493</v>
      </c>
      <c r="L285" s="108"/>
    </row>
    <row r="286" spans="3:12" ht="15.75" thickBot="1" x14ac:dyDescent="0.3">
      <c r="C286" s="650" t="s">
        <v>83</v>
      </c>
      <c r="D286" s="601"/>
      <c r="E286" s="651">
        <v>20</v>
      </c>
      <c r="F286" s="652">
        <f t="shared" si="15"/>
        <v>0</v>
      </c>
      <c r="G286" s="598" t="s">
        <v>207</v>
      </c>
      <c r="H286" s="108" t="s">
        <v>1219</v>
      </c>
      <c r="I286" s="108" t="str">
        <f>VLOOKUP(H286,[12]Presupuesto!$B$8:$C$583,2,0)</f>
        <v>EQUIPO DE COMPUTACION</v>
      </c>
      <c r="J286" s="589" t="str">
        <f t="shared" si="16"/>
        <v>Investigación</v>
      </c>
      <c r="K286" s="108" t="s">
        <v>493</v>
      </c>
      <c r="L286" s="602"/>
    </row>
    <row r="287" spans="3:12" ht="15.75" thickBot="1" x14ac:dyDescent="0.3">
      <c r="F287" s="103"/>
      <c r="G287" s="84"/>
      <c r="H287" s="84"/>
      <c r="I287" s="84"/>
    </row>
    <row r="288" spans="3:12" ht="15.75" thickBot="1" x14ac:dyDescent="0.3">
      <c r="C288" s="29" t="s">
        <v>43</v>
      </c>
      <c r="D288" s="118">
        <f>SUM(F294:F296)</f>
        <v>64000</v>
      </c>
    </row>
    <row r="290" spans="3:12" ht="15.75" x14ac:dyDescent="0.25">
      <c r="C290" s="217" t="s">
        <v>471</v>
      </c>
      <c r="D290" s="218">
        <f>+'[12]Gestion Administrativa'!E267</f>
        <v>0</v>
      </c>
      <c r="E290" s="103"/>
      <c r="F290" s="103"/>
      <c r="G290" s="103"/>
      <c r="H290" s="84"/>
      <c r="I290" s="84"/>
      <c r="J290" s="84"/>
      <c r="K290" s="122"/>
    </row>
    <row r="291" spans="3:12" ht="18.75" x14ac:dyDescent="0.25">
      <c r="C291" s="220" t="s">
        <v>2044</v>
      </c>
      <c r="D291" s="31"/>
      <c r="E291" s="103"/>
      <c r="F291" s="103"/>
      <c r="G291" s="103"/>
      <c r="H291" s="84"/>
      <c r="I291" s="84"/>
      <c r="J291" s="84"/>
      <c r="K291" s="122"/>
    </row>
    <row r="292" spans="3:12" x14ac:dyDescent="0.25">
      <c r="F292" s="103"/>
      <c r="G292" s="84"/>
      <c r="H292" s="84"/>
      <c r="I292" s="84"/>
    </row>
    <row r="293" spans="3:12" ht="30" x14ac:dyDescent="0.25">
      <c r="C293" s="596" t="s">
        <v>44</v>
      </c>
      <c r="D293" s="596" t="s">
        <v>55</v>
      </c>
      <c r="E293" s="596" t="s">
        <v>57</v>
      </c>
      <c r="F293" s="597" t="s">
        <v>27</v>
      </c>
      <c r="G293" s="597" t="s">
        <v>208</v>
      </c>
      <c r="H293" s="596" t="s">
        <v>46</v>
      </c>
      <c r="I293" s="596" t="s">
        <v>209</v>
      </c>
      <c r="J293" s="596" t="s">
        <v>491</v>
      </c>
      <c r="K293" s="653" t="s">
        <v>492</v>
      </c>
      <c r="L293" s="596" t="s">
        <v>548</v>
      </c>
    </row>
    <row r="294" spans="3:12" x14ac:dyDescent="0.25">
      <c r="C294" s="654" t="s">
        <v>35</v>
      </c>
      <c r="D294" s="595">
        <v>4</v>
      </c>
      <c r="E294" s="648">
        <v>13000</v>
      </c>
      <c r="F294" s="605">
        <f>D294*E294</f>
        <v>52000</v>
      </c>
      <c r="G294" s="598" t="s">
        <v>207</v>
      </c>
      <c r="H294" s="594" t="s">
        <v>1219</v>
      </c>
      <c r="I294" s="594" t="str">
        <f>VLOOKUP(H294,[12]Presupuesto!$B$8:$C$583,2,0)</f>
        <v>EQUIPO DE COMPUTACION</v>
      </c>
      <c r="J294" s="624" t="str">
        <f>$J$17</f>
        <v>Investigación</v>
      </c>
      <c r="K294" s="108" t="s">
        <v>477</v>
      </c>
      <c r="L294" s="108"/>
    </row>
    <row r="295" spans="3:12" x14ac:dyDescent="0.25">
      <c r="C295" s="655" t="s">
        <v>80</v>
      </c>
      <c r="D295" s="595">
        <v>4</v>
      </c>
      <c r="E295" s="648">
        <v>1500</v>
      </c>
      <c r="F295" s="605">
        <f>D295*E295</f>
        <v>6000</v>
      </c>
      <c r="G295" s="598" t="s">
        <v>207</v>
      </c>
      <c r="H295" s="594" t="s">
        <v>1219</v>
      </c>
      <c r="I295" s="599" t="str">
        <f>VLOOKUP(H295,[12]Presupuesto!$B$8:$C$583,2,0)</f>
        <v>EQUIPO DE COMPUTACION</v>
      </c>
      <c r="J295" s="624" t="str">
        <f>$J$17</f>
        <v>Investigación</v>
      </c>
      <c r="K295" s="108" t="s">
        <v>477</v>
      </c>
      <c r="L295" s="108"/>
    </row>
    <row r="296" spans="3:12" x14ac:dyDescent="0.25">
      <c r="C296" s="654" t="s">
        <v>81</v>
      </c>
      <c r="D296" s="595">
        <v>4</v>
      </c>
      <c r="E296" s="648">
        <v>1500</v>
      </c>
      <c r="F296" s="605">
        <f>D296*E296</f>
        <v>6000</v>
      </c>
      <c r="G296" s="598" t="s">
        <v>207</v>
      </c>
      <c r="H296" s="594" t="s">
        <v>1219</v>
      </c>
      <c r="I296" s="594" t="str">
        <f>VLOOKUP(H296,[12]Presupuesto!$B$8:$C$583,2,0)</f>
        <v>EQUIPO DE COMPUTACION</v>
      </c>
      <c r="J296" s="624" t="str">
        <f>$J$17</f>
        <v>Investigación</v>
      </c>
      <c r="K296" s="108" t="s">
        <v>477</v>
      </c>
      <c r="L296" s="108"/>
    </row>
    <row r="297" spans="3:12" x14ac:dyDescent="0.25">
      <c r="F297" s="103"/>
      <c r="G297" s="84"/>
      <c r="H297" s="84"/>
      <c r="I297" s="84"/>
    </row>
    <row r="298" spans="3:12" ht="15.75" thickBot="1" x14ac:dyDescent="0.3">
      <c r="F298" s="103"/>
      <c r="G298" s="84"/>
      <c r="H298" s="84"/>
      <c r="I298" s="84"/>
    </row>
    <row r="299" spans="3:12" ht="15.75" thickBot="1" x14ac:dyDescent="0.3">
      <c r="C299" s="29" t="s">
        <v>43</v>
      </c>
      <c r="D299" s="118">
        <f>SUM(F305:F310)</f>
        <v>38525</v>
      </c>
      <c r="F299" s="103"/>
      <c r="G299" s="84"/>
      <c r="H299" s="84"/>
      <c r="I299" s="84"/>
    </row>
    <row r="300" spans="3:12" x14ac:dyDescent="0.25">
      <c r="F300" s="103"/>
      <c r="G300" s="84"/>
      <c r="H300" s="84"/>
      <c r="I300" s="84"/>
    </row>
    <row r="301" spans="3:12" ht="15.75" x14ac:dyDescent="0.25">
      <c r="C301" s="217" t="s">
        <v>471</v>
      </c>
      <c r="D301" s="218">
        <f>+'[12]Gestión del Conocimiento'!E265</f>
        <v>0</v>
      </c>
      <c r="F301" s="103"/>
      <c r="G301" s="84"/>
      <c r="H301" s="84"/>
      <c r="I301" s="84"/>
    </row>
    <row r="302" spans="3:12" ht="15.75" thickBot="1" x14ac:dyDescent="0.3">
      <c r="C302" s="95" t="s">
        <v>2045</v>
      </c>
    </row>
    <row r="303" spans="3:12" x14ac:dyDescent="0.25">
      <c r="C303" s="656"/>
      <c r="D303" s="657"/>
      <c r="E303" s="657"/>
      <c r="F303" s="657"/>
      <c r="G303" s="658"/>
      <c r="H303" s="657"/>
      <c r="I303" s="657"/>
      <c r="J303" s="657"/>
      <c r="K303" s="657"/>
      <c r="L303" s="659"/>
    </row>
    <row r="304" spans="3:12" ht="30" x14ac:dyDescent="0.25">
      <c r="C304" s="660" t="s">
        <v>44</v>
      </c>
      <c r="D304" s="596" t="s">
        <v>55</v>
      </c>
      <c r="E304" s="596" t="s">
        <v>57</v>
      </c>
      <c r="F304" s="597" t="s">
        <v>27</v>
      </c>
      <c r="G304" s="597" t="s">
        <v>208</v>
      </c>
      <c r="H304" s="596" t="s">
        <v>46</v>
      </c>
      <c r="I304" s="596" t="s">
        <v>209</v>
      </c>
      <c r="J304" s="596" t="s">
        <v>491</v>
      </c>
      <c r="K304" s="596" t="s">
        <v>492</v>
      </c>
      <c r="L304" s="661" t="s">
        <v>548</v>
      </c>
    </row>
    <row r="305" spans="3:12" x14ac:dyDescent="0.25">
      <c r="C305" s="662" t="s">
        <v>35</v>
      </c>
      <c r="D305" s="663">
        <v>1</v>
      </c>
      <c r="E305" s="664">
        <v>13000</v>
      </c>
      <c r="F305" s="664">
        <f t="shared" ref="F305:F310" si="17">D305*E305</f>
        <v>13000</v>
      </c>
      <c r="G305" s="598" t="s">
        <v>207</v>
      </c>
      <c r="H305" s="665" t="s">
        <v>1219</v>
      </c>
      <c r="I305" s="665" t="str">
        <f>VLOOKUP(H305,[12]Presupuesto!$B$8:$C$583,2,0)</f>
        <v>EQUIPO DE COMPUTACION</v>
      </c>
      <c r="J305" s="665" t="s">
        <v>561</v>
      </c>
      <c r="K305" s="665" t="s">
        <v>478</v>
      </c>
      <c r="L305" s="666"/>
    </row>
    <row r="306" spans="3:12" x14ac:dyDescent="0.25">
      <c r="C306" s="662" t="s">
        <v>80</v>
      </c>
      <c r="D306" s="663">
        <v>1</v>
      </c>
      <c r="E306" s="664">
        <v>1500</v>
      </c>
      <c r="F306" s="664">
        <f t="shared" si="17"/>
        <v>1500</v>
      </c>
      <c r="G306" s="598" t="s">
        <v>207</v>
      </c>
      <c r="H306" s="665" t="s">
        <v>1219</v>
      </c>
      <c r="I306" s="665" t="str">
        <f>VLOOKUP(H306,[12]Presupuesto!$B$8:$C$583,2,0)</f>
        <v>EQUIPO DE COMPUTACION</v>
      </c>
      <c r="J306" s="665" t="s">
        <v>561</v>
      </c>
      <c r="K306" s="665" t="s">
        <v>478</v>
      </c>
      <c r="L306" s="666"/>
    </row>
    <row r="307" spans="3:12" x14ac:dyDescent="0.25">
      <c r="C307" s="662" t="s">
        <v>2046</v>
      </c>
      <c r="D307" s="663">
        <v>1</v>
      </c>
      <c r="E307" s="664">
        <v>19500</v>
      </c>
      <c r="F307" s="664">
        <f t="shared" si="17"/>
        <v>19500</v>
      </c>
      <c r="G307" s="598" t="s">
        <v>207</v>
      </c>
      <c r="H307" s="665" t="s">
        <v>1219</v>
      </c>
      <c r="I307" s="665" t="str">
        <f>VLOOKUP(H307,[12]Presupuesto!$B$8:$C$583,2,0)</f>
        <v>EQUIPO DE COMPUTACION</v>
      </c>
      <c r="J307" s="665" t="s">
        <v>561</v>
      </c>
      <c r="K307" s="665" t="s">
        <v>478</v>
      </c>
      <c r="L307" s="666"/>
    </row>
    <row r="308" spans="3:12" x14ac:dyDescent="0.25">
      <c r="C308" s="662" t="s">
        <v>82</v>
      </c>
      <c r="D308" s="663">
        <v>2</v>
      </c>
      <c r="E308" s="664">
        <v>250</v>
      </c>
      <c r="F308" s="664">
        <f t="shared" si="17"/>
        <v>500</v>
      </c>
      <c r="G308" s="598" t="s">
        <v>207</v>
      </c>
      <c r="H308" s="665" t="s">
        <v>1219</v>
      </c>
      <c r="I308" s="665" t="str">
        <f>VLOOKUP(H308,[12]Presupuesto!$B$8:$C$583,2,0)</f>
        <v>EQUIPO DE COMPUTACION</v>
      </c>
      <c r="J308" s="665" t="s">
        <v>561</v>
      </c>
      <c r="K308" s="665" t="s">
        <v>478</v>
      </c>
      <c r="L308" s="666"/>
    </row>
    <row r="309" spans="3:12" x14ac:dyDescent="0.25">
      <c r="C309" s="667" t="s">
        <v>47</v>
      </c>
      <c r="D309" s="668">
        <v>1</v>
      </c>
      <c r="E309" s="668">
        <v>3500</v>
      </c>
      <c r="F309" s="668">
        <f t="shared" si="17"/>
        <v>3500</v>
      </c>
      <c r="G309" s="598" t="s">
        <v>207</v>
      </c>
      <c r="H309" s="665" t="s">
        <v>703</v>
      </c>
      <c r="I309" s="665" t="str">
        <f>VLOOKUP(H309,[12]Presupuesto!$B$8:$C$583,2,0)</f>
        <v>PAGOS A PERSONAL NO CLASIFICADO</v>
      </c>
      <c r="J309" s="665" t="s">
        <v>561</v>
      </c>
      <c r="K309" s="665" t="s">
        <v>478</v>
      </c>
      <c r="L309" s="669"/>
    </row>
    <row r="310" spans="3:12" ht="15.75" thickBot="1" x14ac:dyDescent="0.3">
      <c r="C310" s="670" t="s">
        <v>2047</v>
      </c>
      <c r="D310" s="671">
        <v>3</v>
      </c>
      <c r="E310" s="671">
        <v>175</v>
      </c>
      <c r="F310" s="671">
        <f t="shared" si="17"/>
        <v>525</v>
      </c>
      <c r="G310" s="672" t="s">
        <v>207</v>
      </c>
      <c r="H310" s="673" t="s">
        <v>1020</v>
      </c>
      <c r="I310" s="673" t="str">
        <f>VLOOKUP(H310,[12]Presupuesto!$B$8:$C$583,2,0)</f>
        <v>PAPEL DE ESCRITORIO</v>
      </c>
      <c r="J310" s="673" t="s">
        <v>561</v>
      </c>
      <c r="K310" s="673" t="s">
        <v>478</v>
      </c>
      <c r="L310" s="674"/>
    </row>
    <row r="311" spans="3:12" ht="15.75" thickBot="1" x14ac:dyDescent="0.3"/>
    <row r="312" spans="3:12" ht="15.75" thickBot="1" x14ac:dyDescent="0.3">
      <c r="C312" s="29" t="s">
        <v>43</v>
      </c>
      <c r="D312" s="118">
        <f>SUM(F319:F332)</f>
        <v>87250</v>
      </c>
      <c r="F312" s="69"/>
      <c r="G312" s="87"/>
      <c r="H312" s="69"/>
      <c r="I312" s="69"/>
    </row>
    <row r="313" spans="3:12" x14ac:dyDescent="0.25">
      <c r="C313" s="69"/>
      <c r="D313" s="31"/>
      <c r="E313" s="103"/>
      <c r="F313" s="103"/>
      <c r="G313" s="103"/>
      <c r="H313" s="84"/>
      <c r="I313" s="84"/>
      <c r="J313" s="84"/>
      <c r="K313" s="122"/>
    </row>
    <row r="314" spans="3:12" x14ac:dyDescent="0.25">
      <c r="C314" s="69" t="s">
        <v>2055</v>
      </c>
      <c r="D314" s="31"/>
      <c r="E314" s="103"/>
      <c r="F314" s="103"/>
      <c r="G314" s="103"/>
      <c r="H314" s="84"/>
      <c r="I314" s="84"/>
      <c r="J314" s="84"/>
      <c r="K314" s="122"/>
    </row>
    <row r="315" spans="3:12" ht="15.75" x14ac:dyDescent="0.25">
      <c r="C315" s="217" t="s">
        <v>471</v>
      </c>
      <c r="D315" s="218" t="s">
        <v>2061</v>
      </c>
      <c r="E315" s="103"/>
      <c r="F315" s="103"/>
      <c r="G315" s="103"/>
      <c r="H315" s="84"/>
      <c r="I315" s="84"/>
      <c r="J315" s="84"/>
      <c r="K315" s="122"/>
    </row>
    <row r="316" spans="3:12" ht="18.75" x14ac:dyDescent="0.25">
      <c r="C316" s="220" t="str">
        <f>IFERROR(VLOOKUP(D315,'[7]Desarrollo Curricular'!$E:$F,2,FALSE),IFERROR(VLOOKUP(D315,[7]Investigación!$E:$F,2,FALSE),IFERROR(VLOOKUP(D315,'[7]Vinculación Univ. Sociedad'!$E:$F,2,FALSE),IFERROR(VLOOKUP(D315,'[7]Docencia y Recursos Humanos '!$E:$F,2,FALSE),IFERROR(VLOOKUP(D315,[7]Estudiantes!$E:$F,2,FALSE),IFERROR(VLOOKUP(D315,'[7]Gestion Administrativa'!$E:$F,2,FALSE),IFERROR(VLOOKUP(D315,'[7]Gestion Academica'!$E:$F,2,FALSE),IFERROR(VLOOKUP(D315,[7]Graduados!$E:$F,2,FALSE),IFERROR(VLOOKUP(D315,'[7]Gestión del Conocimiento'!$E:$F,2,FALSE),IFERROR(VLOOKUP(D315,[7]Gobernabilidad!$E:$F,2,FALSE),IFERROR(VLOOKUP(D315,'[7]NIVEL DE ES Y  SISTEMA NACIONAL'!$E:$F,2,FALSE),VLOOKUP(D315,'[7]Lo Esencial'!$E:$F,2,0))))))))))))</f>
        <v>a.1 Fortalecer el sistema de bibliotecas y  crear un sistema virtual para la obtención de documentos, materiales de trabajo para laboratorios y clases virtuales para  la carrera de Química Industrial.</v>
      </c>
      <c r="D316" s="31"/>
      <c r="E316" s="103"/>
      <c r="F316" s="103"/>
      <c r="G316" s="103"/>
      <c r="H316" s="84"/>
      <c r="I316" s="84"/>
      <c r="J316" s="84"/>
      <c r="K316" s="122"/>
    </row>
    <row r="317" spans="3:12" x14ac:dyDescent="0.25">
      <c r="F317" s="103"/>
      <c r="G317" s="84"/>
      <c r="H317" s="84"/>
      <c r="I317" s="84"/>
    </row>
    <row r="318" spans="3:12" ht="30.75" thickBot="1" x14ac:dyDescent="0.3">
      <c r="C318" s="596" t="s">
        <v>44</v>
      </c>
      <c r="D318" s="596" t="s">
        <v>55</v>
      </c>
      <c r="E318" s="596" t="s">
        <v>57</v>
      </c>
      <c r="F318" s="597" t="s">
        <v>27</v>
      </c>
      <c r="G318" s="597" t="s">
        <v>208</v>
      </c>
      <c r="H318" s="596" t="s">
        <v>46</v>
      </c>
      <c r="I318" s="596" t="s">
        <v>209</v>
      </c>
      <c r="J318" s="596" t="s">
        <v>491</v>
      </c>
      <c r="K318" s="596" t="s">
        <v>492</v>
      </c>
      <c r="L318" s="596" t="s">
        <v>548</v>
      </c>
    </row>
    <row r="319" spans="3:12" ht="15.75" thickBot="1" x14ac:dyDescent="0.3">
      <c r="C319" s="369" t="s">
        <v>1545</v>
      </c>
      <c r="D319" s="168">
        <v>0</v>
      </c>
      <c r="E319" s="106"/>
      <c r="F319" s="107">
        <f>D319*E319</f>
        <v>0</v>
      </c>
      <c r="G319" s="598" t="s">
        <v>206</v>
      </c>
      <c r="H319" s="108"/>
      <c r="I319" s="108" t="e">
        <f>VLOOKUP(H319,[7]Presupuesto!$B$8:$C$583,2,0)</f>
        <v>#N/A</v>
      </c>
      <c r="J319" s="231"/>
      <c r="K319" s="108"/>
      <c r="L319" s="108"/>
    </row>
    <row r="320" spans="3:12" x14ac:dyDescent="0.25">
      <c r="C320" s="369" t="s">
        <v>1543</v>
      </c>
      <c r="D320" s="580">
        <v>0</v>
      </c>
      <c r="E320" s="106"/>
      <c r="F320" s="107">
        <f>D320*E320</f>
        <v>0</v>
      </c>
      <c r="G320" s="598"/>
      <c r="H320" s="594"/>
      <c r="I320" s="594" t="e">
        <f>VLOOKUP(H320,[7]Presupuesto!$B$8:$C$583,2,0)</f>
        <v>#N/A</v>
      </c>
      <c r="J320" s="108"/>
      <c r="K320" s="108"/>
      <c r="L320" s="108"/>
    </row>
    <row r="321" spans="3:12" x14ac:dyDescent="0.25">
      <c r="C321" s="577" t="s">
        <v>73</v>
      </c>
      <c r="D321" s="580">
        <v>0</v>
      </c>
      <c r="E321" s="579"/>
      <c r="F321" s="107">
        <f t="shared" ref="F321:F332" si="18">D321*E321</f>
        <v>0</v>
      </c>
      <c r="G321" s="598"/>
      <c r="H321" s="594"/>
      <c r="I321" s="594" t="e">
        <f>VLOOKUP(H321,[7]Presupuesto!$B$8:$C$583,2,0)</f>
        <v>#N/A</v>
      </c>
      <c r="J321" s="108"/>
      <c r="K321" s="108"/>
      <c r="L321" s="108"/>
    </row>
    <row r="322" spans="3:12" x14ac:dyDescent="0.25">
      <c r="C322" s="577" t="s">
        <v>74</v>
      </c>
      <c r="D322" s="580">
        <v>0</v>
      </c>
      <c r="E322" s="579"/>
      <c r="F322" s="107">
        <f t="shared" si="18"/>
        <v>0</v>
      </c>
      <c r="G322" s="598" t="s">
        <v>206</v>
      </c>
      <c r="H322" s="594"/>
      <c r="I322" s="594" t="e">
        <f>VLOOKUP(H322,[7]Presupuesto!$B$8:$C$583,2,0)</f>
        <v>#N/A</v>
      </c>
      <c r="J322" s="108"/>
      <c r="K322" s="108"/>
      <c r="L322" s="108"/>
    </row>
    <row r="323" spans="3:12" x14ac:dyDescent="0.25">
      <c r="C323" s="577" t="s">
        <v>75</v>
      </c>
      <c r="D323" s="580">
        <v>0</v>
      </c>
      <c r="E323" s="579"/>
      <c r="F323" s="107">
        <f t="shared" si="18"/>
        <v>0</v>
      </c>
      <c r="G323" s="598"/>
      <c r="H323" s="594"/>
      <c r="I323" s="594" t="e">
        <f>VLOOKUP(H323,[7]Presupuesto!$B$8:$C$583,2,0)</f>
        <v>#N/A</v>
      </c>
      <c r="J323" s="108"/>
      <c r="K323" s="108"/>
      <c r="L323" s="108"/>
    </row>
    <row r="324" spans="3:12" x14ac:dyDescent="0.25">
      <c r="C324" s="577" t="s">
        <v>35</v>
      </c>
      <c r="D324" s="580">
        <v>5</v>
      </c>
      <c r="E324" s="133">
        <v>15000</v>
      </c>
      <c r="F324" s="107">
        <f t="shared" si="18"/>
        <v>75000</v>
      </c>
      <c r="G324" s="171" t="s">
        <v>207</v>
      </c>
      <c r="H324" s="623" t="s">
        <v>1230</v>
      </c>
      <c r="I324" s="699" t="str">
        <f>VLOOKUP(H324,[7]Presupuesto!$B$8:$C$583,2,0)</f>
        <v>EQUIPO EDUCACIONAL Y RECREATIVO</v>
      </c>
      <c r="J324" s="108" t="s">
        <v>560</v>
      </c>
      <c r="K324" s="108" t="s">
        <v>477</v>
      </c>
      <c r="L324" s="108"/>
    </row>
    <row r="325" spans="3:12" x14ac:dyDescent="0.25">
      <c r="C325" s="577" t="s">
        <v>76</v>
      </c>
      <c r="D325" s="580">
        <v>0</v>
      </c>
      <c r="E325" s="579"/>
      <c r="F325" s="107">
        <f t="shared" si="18"/>
        <v>0</v>
      </c>
      <c r="G325" s="598"/>
      <c r="H325" s="594"/>
      <c r="I325" s="594" t="e">
        <f>VLOOKUP(H325,[7]Presupuesto!$B$8:$C$583,2,0)</f>
        <v>#N/A</v>
      </c>
      <c r="J325" s="108"/>
      <c r="K325" s="108"/>
      <c r="L325" s="108"/>
    </row>
    <row r="326" spans="3:12" x14ac:dyDescent="0.25">
      <c r="C326" s="577" t="s">
        <v>77</v>
      </c>
      <c r="D326" s="580">
        <v>0</v>
      </c>
      <c r="E326" s="579"/>
      <c r="F326" s="107">
        <f t="shared" si="18"/>
        <v>0</v>
      </c>
      <c r="G326" s="598"/>
      <c r="H326" s="594"/>
      <c r="I326" s="594" t="e">
        <f>VLOOKUP(H326,[7]Presupuesto!$B$8:$C$583,2,0)</f>
        <v>#N/A</v>
      </c>
      <c r="J326" s="108"/>
      <c r="K326" s="108"/>
      <c r="L326" s="108"/>
    </row>
    <row r="327" spans="3:12" x14ac:dyDescent="0.25">
      <c r="C327" s="577" t="s">
        <v>78</v>
      </c>
      <c r="D327" s="580">
        <v>1</v>
      </c>
      <c r="E327" s="579">
        <v>5250</v>
      </c>
      <c r="F327" s="107">
        <f t="shared" si="18"/>
        <v>5250</v>
      </c>
      <c r="G327" s="598" t="s">
        <v>207</v>
      </c>
      <c r="H327" s="623" t="s">
        <v>417</v>
      </c>
      <c r="I327" s="594" t="str">
        <f>VLOOKUP(H327,[7]Presupuesto!$B$8:$C$583,2,0)</f>
        <v>EQUIPOS PARA COMPUTACION</v>
      </c>
      <c r="J327" s="108" t="s">
        <v>166</v>
      </c>
      <c r="K327" s="108" t="s">
        <v>477</v>
      </c>
      <c r="L327" s="108"/>
    </row>
    <row r="328" spans="3:12" x14ac:dyDescent="0.25">
      <c r="C328" s="582" t="s">
        <v>79</v>
      </c>
      <c r="D328" s="580">
        <v>0</v>
      </c>
      <c r="E328" s="579"/>
      <c r="F328" s="107">
        <f t="shared" si="18"/>
        <v>0</v>
      </c>
      <c r="G328" s="598"/>
      <c r="H328" s="599"/>
      <c r="I328" s="599" t="e">
        <f>VLOOKUP(H328,[7]Presupuesto!$B$8:$C$583,2,0)</f>
        <v>#N/A</v>
      </c>
      <c r="J328" s="108" t="str">
        <f t="shared" ref="J328:J332" si="19">$J$17</f>
        <v>Investigación</v>
      </c>
      <c r="K328" s="108"/>
      <c r="L328" s="108"/>
    </row>
    <row r="329" spans="3:12" x14ac:dyDescent="0.25">
      <c r="C329" s="582" t="s">
        <v>80</v>
      </c>
      <c r="D329" s="580">
        <v>10</v>
      </c>
      <c r="E329" s="579">
        <v>700</v>
      </c>
      <c r="F329" s="107">
        <f t="shared" si="18"/>
        <v>7000</v>
      </c>
      <c r="G329" s="598" t="s">
        <v>207</v>
      </c>
      <c r="H329" s="623" t="s">
        <v>417</v>
      </c>
      <c r="I329" s="599" t="str">
        <f>VLOOKUP(H329,[7]Presupuesto!$B$8:$C$583,2,0)</f>
        <v>EQUIPOS PARA COMPUTACION</v>
      </c>
      <c r="J329" s="108" t="s">
        <v>166</v>
      </c>
      <c r="K329" s="108" t="s">
        <v>477</v>
      </c>
      <c r="L329" s="108"/>
    </row>
    <row r="330" spans="3:12" x14ac:dyDescent="0.25">
      <c r="C330" s="582" t="s">
        <v>81</v>
      </c>
      <c r="D330" s="580">
        <v>0</v>
      </c>
      <c r="E330" s="579"/>
      <c r="F330" s="107">
        <f t="shared" si="18"/>
        <v>0</v>
      </c>
      <c r="G330" s="598"/>
      <c r="H330" s="599"/>
      <c r="I330" s="599" t="e">
        <f>VLOOKUP(H330,[7]Presupuesto!$B$8:$C$583,2,0)</f>
        <v>#N/A</v>
      </c>
      <c r="J330" s="108" t="str">
        <f t="shared" si="19"/>
        <v>Investigación</v>
      </c>
      <c r="K330" s="108"/>
      <c r="L330" s="108"/>
    </row>
    <row r="331" spans="3:12" x14ac:dyDescent="0.25">
      <c r="C331" s="582" t="s">
        <v>82</v>
      </c>
      <c r="D331" s="580">
        <v>0</v>
      </c>
      <c r="E331" s="579"/>
      <c r="F331" s="107">
        <f t="shared" si="18"/>
        <v>0</v>
      </c>
      <c r="G331" s="598"/>
      <c r="H331" s="599"/>
      <c r="I331" s="599" t="e">
        <f>VLOOKUP(H331,[7]Presupuesto!$B$8:$C$583,2,0)</f>
        <v>#N/A</v>
      </c>
      <c r="J331" s="108" t="str">
        <f t="shared" si="19"/>
        <v>Investigación</v>
      </c>
      <c r="K331" s="108"/>
      <c r="L331" s="108"/>
    </row>
    <row r="332" spans="3:12" ht="15.75" thickBot="1" x14ac:dyDescent="0.3">
      <c r="C332" s="600" t="s">
        <v>83</v>
      </c>
      <c r="D332" s="580">
        <v>0</v>
      </c>
      <c r="E332" s="587"/>
      <c r="F332" s="588">
        <f t="shared" si="18"/>
        <v>0</v>
      </c>
      <c r="G332" s="695"/>
      <c r="H332" s="589"/>
      <c r="I332" s="589" t="e">
        <f>VLOOKUP(H332,[7]Presupuesto!$B$8:$C$583,2,0)</f>
        <v>#N/A</v>
      </c>
      <c r="J332" s="589" t="str">
        <f t="shared" si="19"/>
        <v>Investigación</v>
      </c>
      <c r="K332" s="602"/>
      <c r="L332" s="602"/>
    </row>
  </sheetData>
  <dataValidations xWindow="801" yWindow="652" count="7">
    <dataValidation type="list" allowBlank="1" showInputMessage="1" showErrorMessage="1" errorTitle="¡Ingreso Inválido!" error="Seleccione una opción de la lista._x000a_" promptTitle="Tipo de Presupuesto" prompt="Seleccione una opción de la lista." sqref="G17:G30 G227:G240 G205:G218 G182:G195 G158:G171 G135:G148 G112:G125 G89:G102 G64:G77 G40:G53 G250:G263 G273:G286 G294:G296 G305:G310 G319:G323 G325:G332">
      <formula1>$R$2:$S$2</formula1>
    </dataValidation>
    <dataValidation type="list" allowBlank="1" showInputMessage="1" showErrorMessage="1" errorTitle="¡Ingreso Inválido!" error="Seleccione una opción de la lista." promptTitle="Dimensión Estratégica" prompt="Seleccione una opción de la lista." sqref="J17:J30 J227:J240 J205:J218 J182:J195 J158:J171 J135:J148 J112:J125 J89:J102 J64:J77 J40:J53 J250:J263 J273:J286 J294:J296 J305:J310 J319:J332">
      <formula1>$A$2:$K$2</formula1>
    </dataValidation>
    <dataValidation type="list" allowBlank="1" showInputMessage="1" showErrorMessage="1" errorTitle="¡Ingreso Inválido!" error="Seleccione una opción de la lista" promptTitle="Mes Requerido" prompt="Seleccione el mes en el que requiere el recurso." sqref="K17:K30 K227:K240 K205:K218 K182:K195 K158:K172 K135:K148 K112:K125 K89:K102 K64:K77 K40:K53 K250:K263 K273:K286 K294:K296 K305:K310 K319:K332">
      <formula1>$U$2:$AF$2</formula1>
    </dataValidation>
    <dataValidation type="list" allowBlank="1" showInputMessage="1" showErrorMessage="1" errorTitle="¡Ingreso Inválido!" error="Verifique el valor ingresado" promptTitle="Objeto de Gasto" prompt="Ingrese el Objeto de Gasto" sqref="H17:H30 H227:H240 H205:H218 H182:H195 H158:H171 H135:H148 H112:H125 H89:H102 H64:H77 H40:H53 H250:H263 H273:H286 H294:H296 H305:H310 H319:H323 H325:H332">
      <formula1>$A$1:$VD$1</formula1>
    </dataValidation>
    <dataValidation type="list" allowBlank="1" showInputMessage="1" showErrorMessage="1" sqref="C17:C18 C227:C228 C205:C206 C182:C183 C158:C159 C135:C136 C112:C113 C89:C90 C64:C65 C40:C41 C250:C251 C319:C320">
      <formula1>$CB$2:$CE$2</formula1>
    </dataValidation>
    <dataValidation type="list" allowBlank="1" showInputMessage="1" showErrorMessage="1" errorTitle="¡Ingreso Inválido!" error="Verifique el valor ingresado." promptTitle="Ingrese el Objeto de Gasto" prompt="Ingrese el Objeto de Gasto" sqref="H324">
      <formula1>$A$1:$VD$1</formula1>
    </dataValidation>
    <dataValidation type="list" allowBlank="1" showInputMessage="1" showErrorMessage="1" errorTitle="¡Ingreso Inválido!" error="Seleccione una opción de la lista." promptTitle="Tipo de Presupuesto" prompt="Seleccione una opción de la lista." sqref="G324">
      <formula1>$R$2:$S$2</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34"/>
  <sheetViews>
    <sheetView showGridLines="0" topLeftCell="A13" zoomScale="84" zoomScaleNormal="84" workbookViewId="0">
      <selection activeCell="B128" sqref="B128"/>
    </sheetView>
  </sheetViews>
  <sheetFormatPr baseColWidth="10" defaultColWidth="11.5703125" defaultRowHeight="15" x14ac:dyDescent="0.25"/>
  <cols>
    <col min="1" max="1" width="1.85546875" style="95" customWidth="1"/>
    <col min="2" max="2" width="33.5703125" style="95" bestFit="1" customWidth="1"/>
    <col min="3" max="3" width="41.7109375" style="95" customWidth="1"/>
    <col min="4" max="4" width="26.42578125" style="95" bestFit="1" customWidth="1"/>
    <col min="5" max="6" width="13.85546875" style="95" customWidth="1"/>
    <col min="7" max="7" width="13.85546875" style="85" customWidth="1"/>
    <col min="8" max="8" width="12.7109375" style="95" bestFit="1" customWidth="1"/>
    <col min="9" max="9" width="35.42578125" style="95" bestFit="1" customWidth="1"/>
    <col min="10" max="10" width="22.28515625" style="95" bestFit="1" customWidth="1"/>
    <col min="11" max="11" width="13.42578125" style="95" bestFit="1" customWidth="1"/>
    <col min="12" max="16384" width="11.5703125" style="95"/>
  </cols>
  <sheetData>
    <row r="1" spans="1:576" ht="26.25" hidden="1" x14ac:dyDescent="0.25">
      <c r="A1" s="198"/>
      <c r="B1" s="201"/>
      <c r="C1" s="192" t="s">
        <v>332</v>
      </c>
      <c r="D1" s="192" t="s">
        <v>701</v>
      </c>
      <c r="E1" s="192" t="s">
        <v>703</v>
      </c>
      <c r="F1" s="192" t="s">
        <v>705</v>
      </c>
      <c r="G1" s="192" t="s">
        <v>707</v>
      </c>
      <c r="H1" s="192" t="s">
        <v>709</v>
      </c>
      <c r="I1" s="192" t="s">
        <v>711</v>
      </c>
      <c r="J1" s="192" t="s">
        <v>333</v>
      </c>
      <c r="K1" s="192" t="s">
        <v>714</v>
      </c>
      <c r="L1" s="192" t="s">
        <v>334</v>
      </c>
      <c r="M1" s="192" t="s">
        <v>716</v>
      </c>
      <c r="N1" s="192" t="s">
        <v>718</v>
      </c>
      <c r="O1" s="192" t="s">
        <v>720</v>
      </c>
      <c r="P1" s="192" t="s">
        <v>335</v>
      </c>
      <c r="Q1" s="192" t="s">
        <v>721</v>
      </c>
      <c r="R1" s="192" t="s">
        <v>724</v>
      </c>
      <c r="S1" s="192" t="s">
        <v>336</v>
      </c>
      <c r="T1" s="192" t="s">
        <v>726</v>
      </c>
      <c r="U1" s="192" t="s">
        <v>337</v>
      </c>
      <c r="V1" s="192" t="s">
        <v>727</v>
      </c>
      <c r="W1" s="192" t="s">
        <v>728</v>
      </c>
      <c r="X1" s="192" t="s">
        <v>732</v>
      </c>
      <c r="Y1" s="192" t="s">
        <v>329</v>
      </c>
      <c r="Z1" s="192" t="s">
        <v>747</v>
      </c>
      <c r="AA1" s="201"/>
      <c r="AB1" s="192" t="s">
        <v>749</v>
      </c>
      <c r="AC1" s="192" t="s">
        <v>339</v>
      </c>
      <c r="AD1" s="192" t="s">
        <v>751</v>
      </c>
      <c r="AE1" s="192" t="s">
        <v>753</v>
      </c>
      <c r="AF1" s="192" t="s">
        <v>340</v>
      </c>
      <c r="AG1" s="192" t="s">
        <v>755</v>
      </c>
      <c r="AH1" s="192" t="s">
        <v>757</v>
      </c>
      <c r="AI1" s="192" t="s">
        <v>341</v>
      </c>
      <c r="AJ1" s="192" t="s">
        <v>758</v>
      </c>
      <c r="AK1" s="192" t="s">
        <v>760</v>
      </c>
      <c r="AL1" s="192" t="s">
        <v>761</v>
      </c>
      <c r="AM1" s="192" t="s">
        <v>762</v>
      </c>
      <c r="AN1" s="192" t="s">
        <v>764</v>
      </c>
      <c r="AO1" s="192" t="s">
        <v>766</v>
      </c>
      <c r="AP1" s="192" t="s">
        <v>767</v>
      </c>
      <c r="AQ1" s="192" t="s">
        <v>342</v>
      </c>
      <c r="AR1" s="192" t="s">
        <v>769</v>
      </c>
      <c r="AS1" s="192" t="s">
        <v>771</v>
      </c>
      <c r="AT1" s="192" t="s">
        <v>773</v>
      </c>
      <c r="AU1" s="192" t="s">
        <v>775</v>
      </c>
      <c r="AV1" s="192" t="s">
        <v>777</v>
      </c>
      <c r="AW1" s="192" t="s">
        <v>779</v>
      </c>
      <c r="AX1" s="192" t="s">
        <v>781</v>
      </c>
      <c r="AY1" s="192" t="s">
        <v>783</v>
      </c>
      <c r="AZ1" s="201"/>
      <c r="BA1" s="192" t="s">
        <v>344</v>
      </c>
      <c r="BB1" s="192" t="s">
        <v>805</v>
      </c>
      <c r="BC1" s="192" t="s">
        <v>345</v>
      </c>
      <c r="BD1" s="192" t="s">
        <v>807</v>
      </c>
      <c r="BE1" s="192" t="s">
        <v>809</v>
      </c>
      <c r="BF1" s="201"/>
      <c r="BG1" s="192" t="s">
        <v>347</v>
      </c>
      <c r="BH1" s="192" t="s">
        <v>811</v>
      </c>
      <c r="BI1" s="192" t="s">
        <v>348</v>
      </c>
      <c r="BJ1" s="192" t="s">
        <v>813</v>
      </c>
      <c r="BK1" s="192" t="s">
        <v>815</v>
      </c>
      <c r="BL1" s="192" t="s">
        <v>817</v>
      </c>
      <c r="BM1" s="201"/>
      <c r="BN1" s="192" t="s">
        <v>823</v>
      </c>
      <c r="BO1" s="192" t="s">
        <v>825</v>
      </c>
      <c r="BP1" s="192" t="s">
        <v>350</v>
      </c>
      <c r="BQ1" s="192" t="s">
        <v>819</v>
      </c>
      <c r="BR1" s="192" t="s">
        <v>821</v>
      </c>
      <c r="BS1" s="192" t="s">
        <v>351</v>
      </c>
      <c r="BT1" s="192" t="s">
        <v>827</v>
      </c>
      <c r="BU1" s="192" t="s">
        <v>352</v>
      </c>
      <c r="BV1" s="192" t="s">
        <v>828</v>
      </c>
      <c r="BW1" s="189"/>
      <c r="BX1" s="201"/>
      <c r="BY1" s="192" t="s">
        <v>353</v>
      </c>
      <c r="BZ1" s="192" t="s">
        <v>733</v>
      </c>
      <c r="CA1" s="192" t="s">
        <v>735</v>
      </c>
      <c r="CB1" s="192" t="s">
        <v>737</v>
      </c>
      <c r="CC1" s="192" t="s">
        <v>354</v>
      </c>
      <c r="CD1" s="192" t="s">
        <v>739</v>
      </c>
      <c r="CE1" s="192" t="s">
        <v>741</v>
      </c>
      <c r="CF1" s="192" t="s">
        <v>743</v>
      </c>
      <c r="CG1" s="192" t="s">
        <v>745</v>
      </c>
      <c r="CH1" s="189"/>
      <c r="CI1" s="201"/>
      <c r="CJ1" s="192" t="s">
        <v>355</v>
      </c>
      <c r="CK1" s="192" t="s">
        <v>785</v>
      </c>
      <c r="CL1" s="192" t="s">
        <v>787</v>
      </c>
      <c r="CM1" s="192" t="s">
        <v>789</v>
      </c>
      <c r="CN1" s="192" t="s">
        <v>791</v>
      </c>
      <c r="CO1" s="192" t="s">
        <v>793</v>
      </c>
      <c r="CP1" s="192" t="s">
        <v>795</v>
      </c>
      <c r="CQ1" s="192" t="s">
        <v>797</v>
      </c>
      <c r="CR1" s="192" t="s">
        <v>799</v>
      </c>
      <c r="CS1" s="192" t="s">
        <v>801</v>
      </c>
      <c r="CT1" s="192" t="s">
        <v>803</v>
      </c>
      <c r="CU1" s="189"/>
      <c r="CV1" s="201"/>
      <c r="CW1" s="192" t="s">
        <v>829</v>
      </c>
      <c r="CX1" s="192" t="s">
        <v>830</v>
      </c>
      <c r="CY1" s="192" t="s">
        <v>832</v>
      </c>
      <c r="CZ1" s="192" t="s">
        <v>358</v>
      </c>
      <c r="DA1" s="192" t="s">
        <v>834</v>
      </c>
      <c r="DB1" s="192" t="s">
        <v>836</v>
      </c>
      <c r="DC1" s="192" t="s">
        <v>838</v>
      </c>
      <c r="DD1" s="192" t="s">
        <v>840</v>
      </c>
      <c r="DE1" s="192" t="s">
        <v>842</v>
      </c>
      <c r="DF1" s="192" t="s">
        <v>844</v>
      </c>
      <c r="DG1" s="201"/>
      <c r="DH1" s="192" t="s">
        <v>360</v>
      </c>
      <c r="DI1" s="192" t="s">
        <v>846</v>
      </c>
      <c r="DJ1" s="192" t="s">
        <v>361</v>
      </c>
      <c r="DK1" s="192" t="s">
        <v>848</v>
      </c>
      <c r="DL1" s="192" t="s">
        <v>850</v>
      </c>
      <c r="DM1" s="192" t="s">
        <v>852</v>
      </c>
      <c r="DN1" s="192" t="s">
        <v>854</v>
      </c>
      <c r="DO1" s="192" t="s">
        <v>856</v>
      </c>
      <c r="DP1" s="192" t="s">
        <v>858</v>
      </c>
      <c r="DQ1" s="192" t="s">
        <v>860</v>
      </c>
      <c r="DR1" s="192" t="s">
        <v>362</v>
      </c>
      <c r="DS1" s="192" t="s">
        <v>862</v>
      </c>
      <c r="DT1" s="192" t="s">
        <v>864</v>
      </c>
      <c r="DU1" s="192" t="s">
        <v>866</v>
      </c>
      <c r="DV1" s="201"/>
      <c r="DW1" s="192" t="s">
        <v>868</v>
      </c>
      <c r="DX1" s="192" t="s">
        <v>364</v>
      </c>
      <c r="DY1" s="192" t="s">
        <v>870</v>
      </c>
      <c r="DZ1" s="192" t="s">
        <v>365</v>
      </c>
      <c r="EA1" s="192" t="s">
        <v>872</v>
      </c>
      <c r="EB1" s="192" t="s">
        <v>874</v>
      </c>
      <c r="EC1" s="192" t="s">
        <v>876</v>
      </c>
      <c r="ED1" s="192" t="s">
        <v>878</v>
      </c>
      <c r="EE1" s="192" t="s">
        <v>880</v>
      </c>
      <c r="EF1" s="192" t="s">
        <v>882</v>
      </c>
      <c r="EG1" s="192" t="s">
        <v>884</v>
      </c>
      <c r="EH1" s="192" t="s">
        <v>886</v>
      </c>
      <c r="EI1" s="192" t="s">
        <v>888</v>
      </c>
      <c r="EJ1" s="192" t="s">
        <v>890</v>
      </c>
      <c r="EK1" s="192" t="s">
        <v>892</v>
      </c>
      <c r="EL1" s="201"/>
      <c r="EM1" s="192" t="s">
        <v>894</v>
      </c>
      <c r="EN1" s="192" t="s">
        <v>367</v>
      </c>
      <c r="EO1" s="192" t="s">
        <v>896</v>
      </c>
      <c r="EP1" s="192" t="s">
        <v>898</v>
      </c>
      <c r="EQ1" s="192" t="s">
        <v>368</v>
      </c>
      <c r="ER1" s="192" t="s">
        <v>900</v>
      </c>
      <c r="ES1" s="192" t="s">
        <v>902</v>
      </c>
      <c r="ET1" s="192" t="s">
        <v>369</v>
      </c>
      <c r="EU1" s="192" t="s">
        <v>904</v>
      </c>
      <c r="EV1" s="192" t="s">
        <v>906</v>
      </c>
      <c r="EW1" s="192" t="s">
        <v>908</v>
      </c>
      <c r="EX1" s="192" t="s">
        <v>370</v>
      </c>
      <c r="EY1" s="192" t="s">
        <v>910</v>
      </c>
      <c r="EZ1" s="192" t="s">
        <v>912</v>
      </c>
      <c r="FA1" s="201"/>
      <c r="FB1" s="192" t="s">
        <v>372</v>
      </c>
      <c r="FC1" s="192" t="s">
        <v>914</v>
      </c>
      <c r="FD1" s="192" t="s">
        <v>916</v>
      </c>
      <c r="FE1" s="192" t="s">
        <v>918</v>
      </c>
      <c r="FF1" s="192" t="s">
        <v>920</v>
      </c>
      <c r="FG1" s="192" t="s">
        <v>373</v>
      </c>
      <c r="FH1" s="192" t="s">
        <v>922</v>
      </c>
      <c r="FI1" s="192" t="s">
        <v>924</v>
      </c>
      <c r="FJ1" s="192" t="s">
        <v>926</v>
      </c>
      <c r="FK1" s="192" t="s">
        <v>928</v>
      </c>
      <c r="FL1" s="192" t="s">
        <v>930</v>
      </c>
      <c r="FM1" s="192" t="s">
        <v>374</v>
      </c>
      <c r="FN1" s="192" t="s">
        <v>933</v>
      </c>
      <c r="FO1" s="192" t="s">
        <v>375</v>
      </c>
      <c r="FP1" s="192" t="s">
        <v>936</v>
      </c>
      <c r="FQ1" s="192" t="s">
        <v>937</v>
      </c>
      <c r="FR1" s="192" t="s">
        <v>939</v>
      </c>
      <c r="FS1" s="192" t="s">
        <v>376</v>
      </c>
      <c r="FT1" s="192" t="s">
        <v>942</v>
      </c>
      <c r="FU1" s="192" t="s">
        <v>943</v>
      </c>
      <c r="FV1" s="192" t="s">
        <v>945</v>
      </c>
      <c r="FW1" s="192" t="s">
        <v>377</v>
      </c>
      <c r="FX1" s="192" t="s">
        <v>948</v>
      </c>
      <c r="FY1" s="192" t="s">
        <v>950</v>
      </c>
      <c r="FZ1" s="192" t="s">
        <v>952</v>
      </c>
      <c r="GA1" s="201"/>
      <c r="GB1" s="192" t="s">
        <v>379</v>
      </c>
      <c r="GC1" s="192" t="s">
        <v>380</v>
      </c>
      <c r="GD1" s="201"/>
      <c r="GE1" s="192" t="s">
        <v>382</v>
      </c>
      <c r="GF1" s="192" t="s">
        <v>975</v>
      </c>
      <c r="GG1" s="192" t="s">
        <v>977</v>
      </c>
      <c r="GH1" s="192" t="s">
        <v>979</v>
      </c>
      <c r="GI1" s="192" t="s">
        <v>981</v>
      </c>
      <c r="GJ1" s="192" t="s">
        <v>983</v>
      </c>
      <c r="GK1" s="201"/>
      <c r="GL1" s="192" t="s">
        <v>384</v>
      </c>
      <c r="GM1" s="192" t="s">
        <v>985</v>
      </c>
      <c r="GN1" s="192" t="s">
        <v>987</v>
      </c>
      <c r="GO1" s="192" t="s">
        <v>989</v>
      </c>
      <c r="GP1" s="192" t="s">
        <v>991</v>
      </c>
      <c r="GQ1" s="192" t="s">
        <v>993</v>
      </c>
      <c r="GR1" s="192" t="s">
        <v>995</v>
      </c>
      <c r="GS1" s="189"/>
      <c r="GT1" s="201"/>
      <c r="GU1" s="192" t="s">
        <v>385</v>
      </c>
      <c r="GV1" s="192" t="s">
        <v>954</v>
      </c>
      <c r="GW1" s="192" t="s">
        <v>956</v>
      </c>
      <c r="GX1" s="192" t="s">
        <v>958</v>
      </c>
      <c r="GY1" s="192" t="s">
        <v>960</v>
      </c>
      <c r="GZ1" s="192" t="s">
        <v>962</v>
      </c>
      <c r="HA1" s="192" t="s">
        <v>964</v>
      </c>
      <c r="HB1" s="201"/>
      <c r="HC1" s="192" t="s">
        <v>386</v>
      </c>
      <c r="HD1" s="192" t="s">
        <v>966</v>
      </c>
      <c r="HE1" s="192" t="s">
        <v>968</v>
      </c>
      <c r="HF1" s="192" t="s">
        <v>969</v>
      </c>
      <c r="HG1" s="192" t="s">
        <v>387</v>
      </c>
      <c r="HH1" s="192" t="s">
        <v>972</v>
      </c>
      <c r="HI1" s="192" t="s">
        <v>973</v>
      </c>
      <c r="HJ1" s="189"/>
      <c r="HK1" s="201"/>
      <c r="HL1" s="192" t="s">
        <v>390</v>
      </c>
      <c r="HM1" s="192" t="s">
        <v>997</v>
      </c>
      <c r="HN1" s="192" t="s">
        <v>999</v>
      </c>
      <c r="HO1" s="192" t="s">
        <v>1001</v>
      </c>
      <c r="HP1" s="192" t="s">
        <v>1003</v>
      </c>
      <c r="HQ1" s="192" t="s">
        <v>391</v>
      </c>
      <c r="HR1" s="192" t="s">
        <v>1006</v>
      </c>
      <c r="HS1" s="201"/>
      <c r="HT1" s="192" t="s">
        <v>1008</v>
      </c>
      <c r="HU1" s="192" t="s">
        <v>1010</v>
      </c>
      <c r="HV1" s="192" t="s">
        <v>393</v>
      </c>
      <c r="HW1" s="192" t="s">
        <v>1013</v>
      </c>
      <c r="HX1" s="192" t="s">
        <v>1015</v>
      </c>
      <c r="HY1" s="192" t="s">
        <v>1016</v>
      </c>
      <c r="HZ1" s="192" t="s">
        <v>1018</v>
      </c>
      <c r="IA1" s="201"/>
      <c r="IB1" s="192" t="s">
        <v>1020</v>
      </c>
      <c r="IC1" s="192" t="s">
        <v>1022</v>
      </c>
      <c r="ID1" s="192" t="s">
        <v>1024</v>
      </c>
      <c r="IE1" s="192" t="s">
        <v>395</v>
      </c>
      <c r="IF1" s="192" t="s">
        <v>1026</v>
      </c>
      <c r="IG1" s="192" t="s">
        <v>1028</v>
      </c>
      <c r="IH1" s="192" t="s">
        <v>396</v>
      </c>
      <c r="II1" s="192" t="s">
        <v>1030</v>
      </c>
      <c r="IJ1" s="192" t="s">
        <v>1032</v>
      </c>
      <c r="IK1" s="192" t="s">
        <v>397</v>
      </c>
      <c r="IL1" s="192" t="s">
        <v>1034</v>
      </c>
      <c r="IM1" s="192" t="s">
        <v>1036</v>
      </c>
      <c r="IN1" s="192" t="s">
        <v>1038</v>
      </c>
      <c r="IO1" s="192" t="s">
        <v>1040</v>
      </c>
      <c r="IP1" s="192" t="s">
        <v>398</v>
      </c>
      <c r="IQ1" s="192" t="s">
        <v>1042</v>
      </c>
      <c r="IR1" s="201"/>
      <c r="IS1" s="192" t="s">
        <v>1050</v>
      </c>
      <c r="IT1" s="192" t="s">
        <v>1052</v>
      </c>
      <c r="IU1" s="192" t="s">
        <v>400</v>
      </c>
      <c r="IV1" s="192" t="s">
        <v>1054</v>
      </c>
      <c r="IW1" s="192" t="s">
        <v>1056</v>
      </c>
      <c r="IX1" s="192" t="s">
        <v>1058</v>
      </c>
      <c r="IY1" s="201"/>
      <c r="IZ1" s="192" t="s">
        <v>1060</v>
      </c>
      <c r="JA1" s="192" t="s">
        <v>402</v>
      </c>
      <c r="JB1" s="192" t="s">
        <v>1063</v>
      </c>
      <c r="JC1" s="192" t="s">
        <v>1065</v>
      </c>
      <c r="JD1" s="192" t="s">
        <v>1067</v>
      </c>
      <c r="JE1" s="192" t="s">
        <v>1069</v>
      </c>
      <c r="JF1" s="192" t="s">
        <v>1071</v>
      </c>
      <c r="JG1" s="192" t="s">
        <v>1073</v>
      </c>
      <c r="JH1" s="192" t="s">
        <v>403</v>
      </c>
      <c r="JI1" s="192" t="s">
        <v>1076</v>
      </c>
      <c r="JJ1" s="192" t="s">
        <v>1078</v>
      </c>
      <c r="JK1" s="192" t="s">
        <v>1080</v>
      </c>
      <c r="JL1" s="192" t="s">
        <v>1082</v>
      </c>
      <c r="JM1" s="192" t="s">
        <v>1084</v>
      </c>
      <c r="JN1" s="192" t="s">
        <v>1086</v>
      </c>
      <c r="JO1" s="192" t="s">
        <v>1088</v>
      </c>
      <c r="JP1" s="192" t="s">
        <v>1090</v>
      </c>
      <c r="JQ1" s="192" t="s">
        <v>404</v>
      </c>
      <c r="JR1" s="192" t="s">
        <v>1093</v>
      </c>
      <c r="JS1" s="192" t="s">
        <v>1095</v>
      </c>
      <c r="JT1" s="192" t="s">
        <v>1097</v>
      </c>
      <c r="JU1" s="192" t="s">
        <v>1099</v>
      </c>
      <c r="JV1" s="192" t="s">
        <v>1100</v>
      </c>
      <c r="JW1" s="192" t="s">
        <v>1102</v>
      </c>
      <c r="JX1" s="192" t="s">
        <v>1104</v>
      </c>
      <c r="JY1" s="192" t="s">
        <v>1106</v>
      </c>
      <c r="JZ1" s="192" t="s">
        <v>1108</v>
      </c>
      <c r="KA1" s="192" t="s">
        <v>1110</v>
      </c>
      <c r="KB1" s="192" t="s">
        <v>1112</v>
      </c>
      <c r="KC1" s="192" t="s">
        <v>1114</v>
      </c>
      <c r="KD1" s="192" t="s">
        <v>1116</v>
      </c>
      <c r="KE1" s="192" t="s">
        <v>1118</v>
      </c>
      <c r="KF1" s="192" t="s">
        <v>1120</v>
      </c>
      <c r="KG1" s="192" t="s">
        <v>1122</v>
      </c>
      <c r="KH1" s="192" t="s">
        <v>1124</v>
      </c>
      <c r="KI1" s="192" t="s">
        <v>1126</v>
      </c>
      <c r="KJ1" s="192" t="s">
        <v>1128</v>
      </c>
      <c r="KK1" s="192" t="s">
        <v>1130</v>
      </c>
      <c r="KL1" s="192" t="s">
        <v>1132</v>
      </c>
      <c r="KM1" s="192" t="s">
        <v>1134</v>
      </c>
      <c r="KN1" s="192" t="s">
        <v>1136</v>
      </c>
      <c r="KO1" s="192" t="s">
        <v>1138</v>
      </c>
      <c r="KP1" s="192" t="s">
        <v>1140</v>
      </c>
      <c r="KQ1" s="192" t="s">
        <v>1142</v>
      </c>
      <c r="KR1" s="201"/>
      <c r="KS1" s="192" t="s">
        <v>1144</v>
      </c>
      <c r="KT1" s="192" t="s">
        <v>406</v>
      </c>
      <c r="KU1" s="192" t="s">
        <v>1147</v>
      </c>
      <c r="KV1" s="192" t="s">
        <v>1149</v>
      </c>
      <c r="KW1" s="192" t="s">
        <v>1151</v>
      </c>
      <c r="KX1" s="192" t="s">
        <v>1153</v>
      </c>
      <c r="KY1" s="192" t="s">
        <v>407</v>
      </c>
      <c r="KZ1" s="192" t="s">
        <v>1156</v>
      </c>
      <c r="LA1" s="192" t="s">
        <v>1158</v>
      </c>
      <c r="LB1" s="192" t="s">
        <v>1160</v>
      </c>
      <c r="LC1" s="192" t="s">
        <v>1162</v>
      </c>
      <c r="LD1" s="192" t="s">
        <v>1164</v>
      </c>
      <c r="LE1" s="192" t="s">
        <v>1166</v>
      </c>
      <c r="LF1" s="192" t="s">
        <v>1168</v>
      </c>
      <c r="LG1" s="189"/>
      <c r="LH1" s="201"/>
      <c r="LI1" s="192" t="s">
        <v>408</v>
      </c>
      <c r="LJ1" s="192" t="s">
        <v>1044</v>
      </c>
      <c r="LK1" s="192" t="s">
        <v>1046</v>
      </c>
      <c r="LL1" s="192" t="s">
        <v>1048</v>
      </c>
      <c r="LM1" s="189"/>
      <c r="LN1" s="201"/>
      <c r="LO1" s="192" t="s">
        <v>411</v>
      </c>
      <c r="LP1" s="192" t="s">
        <v>412</v>
      </c>
      <c r="LQ1" s="201"/>
      <c r="LR1" s="192" t="s">
        <v>414</v>
      </c>
      <c r="LS1" s="192" t="s">
        <v>1188</v>
      </c>
      <c r="LT1" s="192" t="s">
        <v>1190</v>
      </c>
      <c r="LU1" s="192" t="s">
        <v>1191</v>
      </c>
      <c r="LV1" s="192" t="s">
        <v>1193</v>
      </c>
      <c r="LW1" s="192" t="s">
        <v>1194</v>
      </c>
      <c r="LX1" s="192" t="s">
        <v>1196</v>
      </c>
      <c r="LY1" s="192" t="s">
        <v>1198</v>
      </c>
      <c r="LZ1" s="192" t="s">
        <v>1200</v>
      </c>
      <c r="MA1" s="192" t="s">
        <v>1202</v>
      </c>
      <c r="MB1" s="192" t="s">
        <v>415</v>
      </c>
      <c r="MC1" s="192" t="s">
        <v>1205</v>
      </c>
      <c r="MD1" s="192" t="s">
        <v>1206</v>
      </c>
      <c r="ME1" s="192" t="s">
        <v>1208</v>
      </c>
      <c r="MF1" s="192" t="s">
        <v>416</v>
      </c>
      <c r="MG1" s="192" t="s">
        <v>1211</v>
      </c>
      <c r="MH1" s="192" t="s">
        <v>1212</v>
      </c>
      <c r="MI1" s="192" t="s">
        <v>1214</v>
      </c>
      <c r="MJ1" s="192" t="s">
        <v>1216</v>
      </c>
      <c r="MK1" s="192" t="s">
        <v>417</v>
      </c>
      <c r="ML1" s="192" t="s">
        <v>1219</v>
      </c>
      <c r="MM1" s="192" t="s">
        <v>1221</v>
      </c>
      <c r="MN1" s="192" t="s">
        <v>1223</v>
      </c>
      <c r="MO1" s="192" t="s">
        <v>1225</v>
      </c>
      <c r="MP1" s="192" t="s">
        <v>418</v>
      </c>
      <c r="MQ1" s="192" t="s">
        <v>1228</v>
      </c>
      <c r="MR1" s="192" t="s">
        <v>1230</v>
      </c>
      <c r="MS1" s="192" t="s">
        <v>1232</v>
      </c>
      <c r="MT1" s="192" t="s">
        <v>1234</v>
      </c>
      <c r="MU1" s="192" t="s">
        <v>1236</v>
      </c>
      <c r="MV1" s="192" t="s">
        <v>1238</v>
      </c>
      <c r="MW1" s="192" t="s">
        <v>1240</v>
      </c>
      <c r="MX1" s="192" t="s">
        <v>1242</v>
      </c>
      <c r="MY1" s="192" t="s">
        <v>1244</v>
      </c>
      <c r="MZ1" s="192" t="s">
        <v>1246</v>
      </c>
      <c r="NA1" s="192" t="s">
        <v>1248</v>
      </c>
      <c r="NB1" s="192" t="s">
        <v>1249</v>
      </c>
      <c r="NC1" s="201"/>
      <c r="ND1" s="192" t="s">
        <v>420</v>
      </c>
      <c r="NE1" s="192" t="s">
        <v>1251</v>
      </c>
      <c r="NF1" s="192" t="s">
        <v>1253</v>
      </c>
      <c r="NG1" s="192" t="s">
        <v>1255</v>
      </c>
      <c r="NH1" s="192" t="s">
        <v>1257</v>
      </c>
      <c r="NI1" s="201"/>
      <c r="NJ1" s="192" t="s">
        <v>422</v>
      </c>
      <c r="NK1" s="192" t="s">
        <v>1258</v>
      </c>
      <c r="NL1" s="192" t="s">
        <v>423</v>
      </c>
      <c r="NM1" s="192" t="s">
        <v>1260</v>
      </c>
      <c r="NN1" s="192" t="s">
        <v>1262</v>
      </c>
      <c r="NO1" s="192" t="s">
        <v>424</v>
      </c>
      <c r="NP1" s="192" t="s">
        <v>1264</v>
      </c>
      <c r="NQ1" s="192" t="s">
        <v>1266</v>
      </c>
      <c r="NR1" s="189"/>
      <c r="NS1" s="201"/>
      <c r="NT1" s="192" t="s">
        <v>425</v>
      </c>
      <c r="NU1" s="192" t="s">
        <v>1170</v>
      </c>
      <c r="NV1" s="192" t="s">
        <v>1172</v>
      </c>
      <c r="NW1" s="192" t="s">
        <v>1174</v>
      </c>
      <c r="NX1" s="192" t="s">
        <v>1176</v>
      </c>
      <c r="NY1" s="192" t="s">
        <v>426</v>
      </c>
      <c r="NZ1" s="192" t="s">
        <v>1178</v>
      </c>
      <c r="OA1" s="192" t="s">
        <v>427</v>
      </c>
      <c r="OB1" s="192" t="s">
        <v>1180</v>
      </c>
      <c r="OC1" s="201"/>
      <c r="OD1" s="192" t="s">
        <v>1182</v>
      </c>
      <c r="OE1" s="192" t="s">
        <v>428</v>
      </c>
      <c r="OF1" s="189"/>
      <c r="OG1" s="201"/>
      <c r="OH1" s="192" t="s">
        <v>1184</v>
      </c>
      <c r="OI1" s="192" t="s">
        <v>1186</v>
      </c>
      <c r="OJ1" s="192" t="s">
        <v>429</v>
      </c>
      <c r="OK1" s="189"/>
      <c r="OL1" s="201"/>
      <c r="OM1" s="192" t="s">
        <v>432</v>
      </c>
      <c r="ON1" s="192" t="s">
        <v>1268</v>
      </c>
      <c r="OO1" s="192" t="s">
        <v>1270</v>
      </c>
      <c r="OP1" s="192" t="s">
        <v>433</v>
      </c>
      <c r="OQ1" s="192" t="s">
        <v>434</v>
      </c>
      <c r="OR1" s="192" t="s">
        <v>1368</v>
      </c>
      <c r="OS1" s="192" t="s">
        <v>1370</v>
      </c>
      <c r="OT1" s="192" t="s">
        <v>1372</v>
      </c>
      <c r="OU1" s="192" t="s">
        <v>1374</v>
      </c>
      <c r="OV1" s="192" t="s">
        <v>1376</v>
      </c>
      <c r="OW1" s="201"/>
      <c r="OX1" s="192" t="s">
        <v>436</v>
      </c>
      <c r="OY1" s="192" t="s">
        <v>1378</v>
      </c>
      <c r="OZ1" s="192" t="s">
        <v>1380</v>
      </c>
      <c r="PA1" s="192" t="s">
        <v>1382</v>
      </c>
      <c r="PB1" s="192" t="s">
        <v>1384</v>
      </c>
      <c r="PC1" s="192" t="s">
        <v>1386</v>
      </c>
      <c r="PD1" s="192" t="s">
        <v>1388</v>
      </c>
      <c r="PE1" s="201"/>
      <c r="PF1" s="192" t="s">
        <v>1390</v>
      </c>
      <c r="PG1" s="192" t="s">
        <v>438</v>
      </c>
      <c r="PH1" s="201"/>
      <c r="PI1" s="192" t="s">
        <v>440</v>
      </c>
      <c r="PJ1" s="192" t="s">
        <v>1420</v>
      </c>
      <c r="PK1" s="192" t="s">
        <v>1422</v>
      </c>
      <c r="PL1" s="201"/>
      <c r="PM1" s="192" t="s">
        <v>442</v>
      </c>
      <c r="PN1" s="192" t="s">
        <v>1424</v>
      </c>
      <c r="PO1" s="192" t="s">
        <v>1425</v>
      </c>
      <c r="PP1" s="192" t="s">
        <v>1426</v>
      </c>
      <c r="PQ1" s="192" t="s">
        <v>1427</v>
      </c>
      <c r="PR1" s="192" t="s">
        <v>1429</v>
      </c>
      <c r="PS1" s="192" t="s">
        <v>1430</v>
      </c>
      <c r="PT1" s="192" t="s">
        <v>1432</v>
      </c>
      <c r="PU1" s="192" t="s">
        <v>1433</v>
      </c>
      <c r="PV1" s="189"/>
      <c r="PW1" s="201"/>
      <c r="PX1" s="192" t="s">
        <v>443</v>
      </c>
      <c r="PY1" s="192" t="s">
        <v>1272</v>
      </c>
      <c r="PZ1" s="192" t="s">
        <v>1274</v>
      </c>
      <c r="QA1" s="192" t="s">
        <v>1276</v>
      </c>
      <c r="QB1" s="192" t="s">
        <v>1278</v>
      </c>
      <c r="QC1" s="192" t="s">
        <v>1280</v>
      </c>
      <c r="QD1" s="192" t="s">
        <v>1282</v>
      </c>
      <c r="QE1" s="192" t="s">
        <v>1284</v>
      </c>
      <c r="QF1" s="192" t="s">
        <v>1286</v>
      </c>
      <c r="QG1" s="192" t="s">
        <v>1288</v>
      </c>
      <c r="QH1" s="192" t="s">
        <v>1290</v>
      </c>
      <c r="QI1" s="192" t="s">
        <v>1292</v>
      </c>
      <c r="QJ1" s="192" t="s">
        <v>1294</v>
      </c>
      <c r="QK1" s="192" t="s">
        <v>1296</v>
      </c>
      <c r="QL1" s="192" t="s">
        <v>1298</v>
      </c>
      <c r="QM1" s="192" t="s">
        <v>1300</v>
      </c>
      <c r="QN1" s="192" t="s">
        <v>1302</v>
      </c>
      <c r="QO1" s="192" t="s">
        <v>1304</v>
      </c>
      <c r="QP1" s="192" t="s">
        <v>1306</v>
      </c>
      <c r="QQ1" s="192" t="s">
        <v>1308</v>
      </c>
      <c r="QR1" s="192" t="s">
        <v>1310</v>
      </c>
      <c r="QS1" s="192" t="s">
        <v>1312</v>
      </c>
      <c r="QT1" s="192" t="s">
        <v>1314</v>
      </c>
      <c r="QU1" s="192" t="s">
        <v>444</v>
      </c>
      <c r="QV1" s="192" t="s">
        <v>1317</v>
      </c>
      <c r="QW1" s="192" t="s">
        <v>1319</v>
      </c>
      <c r="QX1" s="192" t="s">
        <v>1320</v>
      </c>
      <c r="QY1" s="192" t="s">
        <v>1322</v>
      </c>
      <c r="QZ1" s="192" t="s">
        <v>1324</v>
      </c>
      <c r="RA1" s="192" t="s">
        <v>1326</v>
      </c>
      <c r="RB1" s="192" t="s">
        <v>1328</v>
      </c>
      <c r="RC1" s="192" t="s">
        <v>1330</v>
      </c>
      <c r="RD1" s="192" t="s">
        <v>1332</v>
      </c>
      <c r="RE1" s="192" t="s">
        <v>1334</v>
      </c>
      <c r="RF1" s="192" t="s">
        <v>1336</v>
      </c>
      <c r="RG1" s="192" t="s">
        <v>1338</v>
      </c>
      <c r="RH1" s="192" t="s">
        <v>1340</v>
      </c>
      <c r="RI1" s="192" t="s">
        <v>1342</v>
      </c>
      <c r="RJ1" s="192" t="s">
        <v>1344</v>
      </c>
      <c r="RK1" s="192" t="s">
        <v>1346</v>
      </c>
      <c r="RL1" s="192" t="s">
        <v>1348</v>
      </c>
      <c r="RM1" s="192" t="s">
        <v>1350</v>
      </c>
      <c r="RN1" s="192" t="s">
        <v>1352</v>
      </c>
      <c r="RO1" s="192" t="s">
        <v>1354</v>
      </c>
      <c r="RP1" s="192" t="s">
        <v>1356</v>
      </c>
      <c r="RQ1" s="192" t="s">
        <v>1358</v>
      </c>
      <c r="RR1" s="192" t="s">
        <v>1360</v>
      </c>
      <c r="RS1" s="192" t="s">
        <v>1362</v>
      </c>
      <c r="RT1" s="192" t="s">
        <v>1364</v>
      </c>
      <c r="RU1" s="192" t="s">
        <v>1366</v>
      </c>
      <c r="RV1" s="189"/>
      <c r="RW1" s="201"/>
      <c r="RX1" s="192" t="s">
        <v>445</v>
      </c>
      <c r="RY1" s="192" t="s">
        <v>1392</v>
      </c>
      <c r="RZ1" s="192" t="s">
        <v>1394</v>
      </c>
      <c r="SA1" s="192" t="s">
        <v>1396</v>
      </c>
      <c r="SB1" s="192" t="s">
        <v>1398</v>
      </c>
      <c r="SC1" s="192" t="s">
        <v>1400</v>
      </c>
      <c r="SD1" s="192" t="s">
        <v>1402</v>
      </c>
      <c r="SE1" s="192" t="s">
        <v>1404</v>
      </c>
      <c r="SF1" s="192" t="s">
        <v>1406</v>
      </c>
      <c r="SG1" s="192" t="s">
        <v>1408</v>
      </c>
      <c r="SH1" s="192" t="s">
        <v>1410</v>
      </c>
      <c r="SI1" s="192" t="s">
        <v>1412</v>
      </c>
      <c r="SJ1" s="192" t="s">
        <v>1414</v>
      </c>
      <c r="SK1" s="192" t="s">
        <v>1416</v>
      </c>
      <c r="SL1" s="192" t="s">
        <v>1418</v>
      </c>
      <c r="SM1" s="189"/>
      <c r="SN1" s="201"/>
      <c r="SO1" s="192" t="s">
        <v>448</v>
      </c>
      <c r="SP1" s="192" t="s">
        <v>1435</v>
      </c>
      <c r="SQ1" s="192" t="s">
        <v>1437</v>
      </c>
      <c r="SR1" s="192" t="s">
        <v>449</v>
      </c>
      <c r="SS1" s="192" t="s">
        <v>1439</v>
      </c>
      <c r="ST1" s="192" t="s">
        <v>1441</v>
      </c>
      <c r="SU1" s="192" t="s">
        <v>1443</v>
      </c>
      <c r="SV1" s="192" t="s">
        <v>1445</v>
      </c>
      <c r="SW1" s="201"/>
      <c r="SX1" s="192" t="s">
        <v>451</v>
      </c>
      <c r="SY1" s="192" t="s">
        <v>1447</v>
      </c>
      <c r="SZ1" s="192" t="s">
        <v>1449</v>
      </c>
      <c r="TA1" s="192" t="s">
        <v>1451</v>
      </c>
      <c r="TB1" s="192" t="s">
        <v>1453</v>
      </c>
      <c r="TC1" s="192" t="s">
        <v>1455</v>
      </c>
      <c r="TD1" s="192" t="s">
        <v>1457</v>
      </c>
      <c r="TE1" s="192" t="s">
        <v>1459</v>
      </c>
      <c r="TF1" s="192" t="s">
        <v>1461</v>
      </c>
      <c r="TG1" s="192" t="s">
        <v>1463</v>
      </c>
      <c r="TH1" s="192" t="s">
        <v>1465</v>
      </c>
      <c r="TI1" s="192" t="s">
        <v>1467</v>
      </c>
      <c r="TJ1" s="192" t="s">
        <v>1469</v>
      </c>
      <c r="TK1" s="192" t="s">
        <v>1471</v>
      </c>
      <c r="TL1" s="192" t="s">
        <v>1473</v>
      </c>
      <c r="TM1" s="192" t="s">
        <v>1475</v>
      </c>
      <c r="TN1" s="189"/>
      <c r="TO1" s="201"/>
      <c r="TP1" s="192" t="s">
        <v>454</v>
      </c>
      <c r="TQ1" s="192" t="s">
        <v>1477</v>
      </c>
      <c r="TR1" s="192" t="s">
        <v>1479</v>
      </c>
      <c r="TS1" s="192" t="s">
        <v>1481</v>
      </c>
      <c r="TT1" s="192" t="s">
        <v>1483</v>
      </c>
      <c r="TU1" s="192" t="s">
        <v>1485</v>
      </c>
      <c r="TV1" s="192" t="s">
        <v>455</v>
      </c>
      <c r="TW1" s="192" t="s">
        <v>1487</v>
      </c>
      <c r="TX1" s="192" t="s">
        <v>1489</v>
      </c>
      <c r="TY1" s="192" t="s">
        <v>1491</v>
      </c>
      <c r="TZ1" s="192" t="s">
        <v>1493</v>
      </c>
      <c r="UA1" s="192" t="s">
        <v>1495</v>
      </c>
      <c r="UB1" s="192" t="s">
        <v>1497</v>
      </c>
      <c r="UC1" s="201"/>
      <c r="UD1" s="192" t="s">
        <v>457</v>
      </c>
      <c r="UE1" s="189"/>
      <c r="UF1" s="201"/>
      <c r="UG1" s="192" t="s">
        <v>458</v>
      </c>
      <c r="UH1" s="192" t="s">
        <v>1499</v>
      </c>
      <c r="UI1" s="192" t="s">
        <v>1501</v>
      </c>
      <c r="UJ1" s="192" t="s">
        <v>1502</v>
      </c>
      <c r="UK1" s="192" t="s">
        <v>1504</v>
      </c>
      <c r="UL1" s="192" t="s">
        <v>1506</v>
      </c>
      <c r="UM1" s="192" t="s">
        <v>1508</v>
      </c>
      <c r="UN1" s="192" t="s">
        <v>1510</v>
      </c>
      <c r="UO1" s="192" t="s">
        <v>1512</v>
      </c>
      <c r="UP1" s="192" t="s">
        <v>1514</v>
      </c>
      <c r="UQ1" s="192" t="s">
        <v>1516</v>
      </c>
      <c r="UR1" s="192" t="s">
        <v>1518</v>
      </c>
      <c r="US1" s="192" t="s">
        <v>1520</v>
      </c>
      <c r="UT1" s="192" t="s">
        <v>1522</v>
      </c>
      <c r="UU1" s="192" t="s">
        <v>1524</v>
      </c>
      <c r="UV1" s="192" t="s">
        <v>1526</v>
      </c>
      <c r="UW1" s="192" t="s">
        <v>1528</v>
      </c>
      <c r="UX1" s="189"/>
      <c r="UY1" s="192" t="s">
        <v>1532</v>
      </c>
      <c r="UZ1" s="192" t="s">
        <v>1534</v>
      </c>
      <c r="VA1" s="192" t="s">
        <v>1536</v>
      </c>
      <c r="VB1" s="192" t="s">
        <v>1538</v>
      </c>
      <c r="VC1" s="192" t="s">
        <v>1540</v>
      </c>
      <c r="VD1" s="195"/>
    </row>
    <row r="2" spans="1:576" s="132" customFormat="1" hidden="1" x14ac:dyDescent="0.25">
      <c r="A2" s="132" t="s">
        <v>201</v>
      </c>
      <c r="B2" s="132" t="s">
        <v>187</v>
      </c>
      <c r="C2" s="132" t="s">
        <v>558</v>
      </c>
      <c r="D2" s="132" t="s">
        <v>202</v>
      </c>
      <c r="E2" s="132" t="s">
        <v>166</v>
      </c>
      <c r="F2" s="132" t="s">
        <v>559</v>
      </c>
      <c r="G2" s="170" t="s">
        <v>203</v>
      </c>
      <c r="H2" s="132" t="s">
        <v>560</v>
      </c>
      <c r="I2" s="132" t="s">
        <v>561</v>
      </c>
      <c r="J2" s="132" t="s">
        <v>204</v>
      </c>
      <c r="K2" s="132" t="s">
        <v>562</v>
      </c>
      <c r="R2" s="132" t="s">
        <v>206</v>
      </c>
      <c r="S2" s="132" t="s">
        <v>207</v>
      </c>
      <c r="U2" s="132" t="s">
        <v>475</v>
      </c>
      <c r="V2" s="132" t="s">
        <v>493</v>
      </c>
      <c r="W2" s="132" t="s">
        <v>476</v>
      </c>
      <c r="X2" s="132" t="s">
        <v>477</v>
      </c>
      <c r="Y2" s="132" t="s">
        <v>478</v>
      </c>
      <c r="Z2" s="132" t="s">
        <v>479</v>
      </c>
      <c r="AA2" s="132" t="s">
        <v>480</v>
      </c>
      <c r="AB2" s="132" t="s">
        <v>481</v>
      </c>
      <c r="AC2" s="132" t="s">
        <v>482</v>
      </c>
      <c r="AD2" s="132" t="s">
        <v>483</v>
      </c>
      <c r="AE2" s="132" t="s">
        <v>484</v>
      </c>
      <c r="AF2" s="132" t="s">
        <v>485</v>
      </c>
      <c r="AH2" s="132" t="s">
        <v>504</v>
      </c>
      <c r="AI2" s="132" t="s">
        <v>505</v>
      </c>
      <c r="AJ2" s="132" t="s">
        <v>506</v>
      </c>
      <c r="AK2" s="132" t="s">
        <v>507</v>
      </c>
      <c r="AL2" s="132" t="s">
        <v>508</v>
      </c>
      <c r="AM2" s="132" t="s">
        <v>511</v>
      </c>
      <c r="AN2" s="132" t="s">
        <v>509</v>
      </c>
      <c r="AO2" s="132" t="s">
        <v>510</v>
      </c>
      <c r="AP2" s="132" t="s">
        <v>512</v>
      </c>
      <c r="AQ2" s="132" t="s">
        <v>513</v>
      </c>
      <c r="AR2" s="132" t="s">
        <v>514</v>
      </c>
      <c r="AS2" s="132" t="s">
        <v>515</v>
      </c>
      <c r="AT2" s="132" t="s">
        <v>516</v>
      </c>
      <c r="AU2" s="132" t="s">
        <v>517</v>
      </c>
      <c r="AV2" s="132" t="s">
        <v>518</v>
      </c>
      <c r="AW2" s="132" t="s">
        <v>519</v>
      </c>
      <c r="AX2" s="132" t="s">
        <v>520</v>
      </c>
      <c r="AY2" s="132" t="s">
        <v>521</v>
      </c>
      <c r="AZ2" s="132" t="s">
        <v>522</v>
      </c>
      <c r="BA2" s="132" t="s">
        <v>523</v>
      </c>
      <c r="BB2" s="132" t="s">
        <v>524</v>
      </c>
      <c r="BC2" s="132" t="s">
        <v>525</v>
      </c>
      <c r="BD2" s="132" t="s">
        <v>526</v>
      </c>
      <c r="BE2" s="132" t="s">
        <v>527</v>
      </c>
      <c r="BF2" s="132" t="s">
        <v>528</v>
      </c>
      <c r="BG2" s="132" t="s">
        <v>529</v>
      </c>
      <c r="BH2" s="132" t="s">
        <v>530</v>
      </c>
      <c r="BI2" s="132" t="s">
        <v>531</v>
      </c>
      <c r="BJ2" s="132" t="s">
        <v>532</v>
      </c>
      <c r="BK2" s="132" t="s">
        <v>533</v>
      </c>
      <c r="BL2" s="132" t="s">
        <v>534</v>
      </c>
      <c r="BM2" s="132" t="s">
        <v>535</v>
      </c>
      <c r="BN2" s="132" t="s">
        <v>536</v>
      </c>
      <c r="BO2" s="132" t="s">
        <v>537</v>
      </c>
      <c r="BP2" s="132" t="s">
        <v>538</v>
      </c>
      <c r="BQ2" s="132" t="s">
        <v>539</v>
      </c>
      <c r="BR2" s="132" t="s">
        <v>540</v>
      </c>
      <c r="BS2" s="132" t="s">
        <v>541</v>
      </c>
      <c r="BT2" s="132" t="s">
        <v>542</v>
      </c>
      <c r="BU2" s="132" t="s">
        <v>543</v>
      </c>
    </row>
    <row r="3" spans="1:576" hidden="1" x14ac:dyDescent="0.25">
      <c r="AH3" s="95">
        <v>2500</v>
      </c>
      <c r="AI3" s="95">
        <v>1900</v>
      </c>
      <c r="AJ3" s="95">
        <v>1650</v>
      </c>
      <c r="AK3" s="95">
        <v>1580</v>
      </c>
      <c r="AL3" s="95">
        <v>2250</v>
      </c>
      <c r="AM3" s="95">
        <v>1650</v>
      </c>
      <c r="AN3" s="95">
        <v>1400</v>
      </c>
      <c r="AO3" s="95">
        <v>1340</v>
      </c>
      <c r="AP3" s="95">
        <v>2000</v>
      </c>
      <c r="AQ3" s="95">
        <v>1400</v>
      </c>
      <c r="AR3" s="95">
        <v>1150</v>
      </c>
      <c r="AS3" s="95">
        <v>1100</v>
      </c>
      <c r="AT3" s="95">
        <v>1750</v>
      </c>
      <c r="AU3" s="95">
        <v>1150</v>
      </c>
      <c r="AV3" s="95">
        <v>900</v>
      </c>
      <c r="AW3" s="95">
        <v>860</v>
      </c>
      <c r="AX3" s="95">
        <v>1200</v>
      </c>
      <c r="AY3" s="95">
        <v>900</v>
      </c>
      <c r="AZ3" s="95">
        <v>650</v>
      </c>
      <c r="BA3" s="95">
        <v>620</v>
      </c>
      <c r="BB3" s="95">
        <v>5355</v>
      </c>
      <c r="BC3" s="95">
        <v>4935</v>
      </c>
      <c r="BD3" s="95">
        <v>6300</v>
      </c>
      <c r="BE3" s="95">
        <v>5880</v>
      </c>
      <c r="BF3" s="95">
        <v>4725</v>
      </c>
      <c r="BG3" s="95">
        <v>4305</v>
      </c>
      <c r="BH3" s="95">
        <v>5670</v>
      </c>
      <c r="BI3" s="95">
        <v>5250</v>
      </c>
      <c r="BJ3" s="95">
        <v>4095</v>
      </c>
      <c r="BK3" s="95">
        <v>3780</v>
      </c>
      <c r="BL3" s="95">
        <v>5040</v>
      </c>
      <c r="BM3" s="95">
        <v>4620</v>
      </c>
      <c r="BN3" s="95">
        <v>3465</v>
      </c>
      <c r="BO3" s="95">
        <v>3150</v>
      </c>
      <c r="BP3" s="95">
        <v>4410</v>
      </c>
      <c r="BQ3" s="95">
        <v>4095</v>
      </c>
      <c r="BR3" s="95">
        <v>3045</v>
      </c>
      <c r="BS3" s="95">
        <v>2835</v>
      </c>
      <c r="BT3" s="95">
        <v>3885</v>
      </c>
      <c r="BU3" s="95">
        <v>3570</v>
      </c>
    </row>
    <row r="5" spans="1:576" ht="52.5" x14ac:dyDescent="0.25">
      <c r="C5" s="96" t="s">
        <v>463</v>
      </c>
      <c r="D5" s="97">
        <f>SUMIF($C:$C,$C$10,D:D)</f>
        <v>281150</v>
      </c>
    </row>
    <row r="8" spans="1:576" x14ac:dyDescent="0.25">
      <c r="C8" s="69" t="s">
        <v>62</v>
      </c>
      <c r="D8" s="69"/>
      <c r="E8" s="69"/>
      <c r="F8" s="69"/>
      <c r="G8" s="87"/>
      <c r="H8" s="69"/>
      <c r="I8" s="69"/>
    </row>
    <row r="9" spans="1:576" ht="15.75" thickBot="1" x14ac:dyDescent="0.3">
      <c r="C9" s="69"/>
      <c r="D9" s="69"/>
      <c r="E9" s="69"/>
      <c r="F9" s="69"/>
      <c r="G9" s="87"/>
      <c r="H9" s="69"/>
      <c r="I9" s="69"/>
    </row>
    <row r="10" spans="1:576" ht="15.75" thickBot="1" x14ac:dyDescent="0.3">
      <c r="C10" s="29" t="s">
        <v>43</v>
      </c>
      <c r="D10" s="30">
        <f>SUM(F17:F26)</f>
        <v>0</v>
      </c>
      <c r="E10" s="104"/>
      <c r="F10" s="104"/>
      <c r="G10" s="87"/>
      <c r="H10" s="104"/>
      <c r="I10" s="131"/>
    </row>
    <row r="11" spans="1:576" x14ac:dyDescent="0.25">
      <c r="B11" s="103"/>
      <c r="C11" s="69"/>
      <c r="D11" s="31"/>
      <c r="E11" s="103"/>
      <c r="F11" s="103"/>
      <c r="G11" s="103"/>
      <c r="H11" s="84"/>
      <c r="I11" s="84"/>
      <c r="J11" s="84"/>
      <c r="K11" s="122"/>
    </row>
    <row r="12" spans="1:576" x14ac:dyDescent="0.25">
      <c r="B12" s="103"/>
      <c r="C12" s="69"/>
      <c r="D12" s="31"/>
      <c r="E12" s="103"/>
      <c r="F12" s="103"/>
      <c r="G12" s="103"/>
      <c r="H12" s="84"/>
      <c r="I12" s="84"/>
      <c r="J12" s="84"/>
      <c r="K12" s="122"/>
    </row>
    <row r="13" spans="1:576" ht="15.75" x14ac:dyDescent="0.25">
      <c r="B13" s="103"/>
      <c r="C13" s="217" t="s">
        <v>471</v>
      </c>
      <c r="D13" s="218"/>
      <c r="E13" s="103"/>
      <c r="F13" s="103"/>
      <c r="G13" s="103"/>
      <c r="H13" s="84"/>
      <c r="I13" s="84"/>
      <c r="J13" s="84"/>
      <c r="K13" s="122"/>
    </row>
    <row r="14" spans="1:576" ht="18.75" x14ac:dyDescent="0.25">
      <c r="B14" s="103"/>
      <c r="C14" s="220" t="e">
        <f>IFERROR(VLOOKUP(D13,#REF!,2,FALSE),IFERROR(VLOOKUP(D13,#REF!,2,FALSE),IFERROR(VLOOKUP(D13,#REF!,2,FALSE),IFERROR(VLOOKUP(D13,'Docencia y Recursos Humanos '!$F:$G,2,FALSE),IFERROR(VLOOKUP(D13,Estudiantes!$E:$F,2,FALSE),IFERROR(VLOOKUP(D13,'Gestion Administrativa'!$E:$F,2,FALSE),IFERROR(VLOOKUP(D13,#REF!,2,FALSE),IFERROR(VLOOKUP(D13,#REF!,2,FALSE),IFERROR(VLOOKUP(D13,#REF!,2,FALSE),IFERROR(VLOOKUP(D13,#REF!,2,FALSE),IFERROR(VLOOKUP(D13,#REF!,2,FALSE),VLOOKUP(D13,#REF!,2,0))))))))))))</f>
        <v>#REF!</v>
      </c>
      <c r="D14" s="31"/>
      <c r="E14" s="103"/>
      <c r="F14" s="103"/>
      <c r="G14" s="103"/>
      <c r="H14" s="84"/>
      <c r="I14" s="84"/>
      <c r="J14" s="84"/>
      <c r="K14" s="122"/>
    </row>
    <row r="15" spans="1:576" ht="15.75" thickBot="1" x14ac:dyDescent="0.3">
      <c r="B15" s="103"/>
      <c r="C15" s="69"/>
      <c r="D15" s="31"/>
      <c r="E15" s="103"/>
      <c r="F15" s="103"/>
      <c r="G15" s="103"/>
      <c r="H15" s="84"/>
      <c r="I15" s="84"/>
      <c r="J15" s="84"/>
      <c r="K15" s="122"/>
    </row>
    <row r="16" spans="1:576" ht="30.75" thickBot="1" x14ac:dyDescent="0.3">
      <c r="B16" s="103"/>
      <c r="C16" s="136" t="s">
        <v>44</v>
      </c>
      <c r="D16" s="138" t="s">
        <v>55</v>
      </c>
      <c r="E16" s="138" t="s">
        <v>57</v>
      </c>
      <c r="F16" s="137" t="s">
        <v>27</v>
      </c>
      <c r="G16" s="143" t="s">
        <v>208</v>
      </c>
      <c r="H16" s="138" t="s">
        <v>46</v>
      </c>
      <c r="I16" s="138" t="s">
        <v>209</v>
      </c>
      <c r="J16" s="138" t="s">
        <v>491</v>
      </c>
      <c r="K16" s="138" t="s">
        <v>492</v>
      </c>
    </row>
    <row r="17" spans="2:11" x14ac:dyDescent="0.25">
      <c r="B17" s="103"/>
      <c r="C17" s="105" t="s">
        <v>63</v>
      </c>
      <c r="D17" s="168"/>
      <c r="E17" s="106">
        <v>2800</v>
      </c>
      <c r="F17" s="107">
        <f>D17*E17</f>
        <v>0</v>
      </c>
      <c r="G17" s="171" t="s">
        <v>207</v>
      </c>
      <c r="H17" s="108" t="s">
        <v>329</v>
      </c>
      <c r="I17" s="108" t="str">
        <f>VLOOKUP(H17,Presupuesto!$B$8:$C$583,2,0)</f>
        <v>OTROS SERVICIOS PERSONALES. (11900-00)</v>
      </c>
      <c r="J17" s="231" t="s">
        <v>562</v>
      </c>
      <c r="K17" s="108" t="s">
        <v>485</v>
      </c>
    </row>
    <row r="18" spans="2:11" ht="32.25" customHeight="1" x14ac:dyDescent="0.25">
      <c r="B18" s="103"/>
      <c r="C18" s="109" t="s">
        <v>64</v>
      </c>
      <c r="D18" s="161"/>
      <c r="E18" s="110">
        <v>2400</v>
      </c>
      <c r="F18" s="107">
        <f>D18*E18</f>
        <v>0</v>
      </c>
      <c r="G18" s="171"/>
      <c r="H18" s="111">
        <v>42110</v>
      </c>
      <c r="I18" s="108" t="e">
        <f>VLOOKUP(H18,Presupuesto!$B$8:$C$583,2,0)</f>
        <v>#N/A</v>
      </c>
      <c r="J18" s="108" t="str">
        <f t="shared" ref="J18:J26" si="0">$J$17</f>
        <v>Lo Esencial de la UNAH para la Construcción de Ciudadanía</v>
      </c>
      <c r="K18" s="108" t="s">
        <v>493</v>
      </c>
    </row>
    <row r="19" spans="2:11" x14ac:dyDescent="0.25">
      <c r="B19" s="103"/>
      <c r="C19" s="109" t="s">
        <v>65</v>
      </c>
      <c r="D19" s="161"/>
      <c r="E19" s="110">
        <v>1000</v>
      </c>
      <c r="F19" s="107">
        <f t="shared" ref="F19:F26" si="1">D19*E19</f>
        <v>0</v>
      </c>
      <c r="G19" s="171"/>
      <c r="H19" s="111">
        <v>42110</v>
      </c>
      <c r="I19" s="108" t="e">
        <f>VLOOKUP(H19,Presupuesto!$B$8:$C$583,2,0)</f>
        <v>#N/A</v>
      </c>
      <c r="J19" s="108" t="str">
        <f t="shared" si="0"/>
        <v>Lo Esencial de la UNAH para la Construcción de Ciudadanía</v>
      </c>
      <c r="K19" s="108" t="s">
        <v>476</v>
      </c>
    </row>
    <row r="20" spans="2:11" x14ac:dyDescent="0.25">
      <c r="B20" s="103"/>
      <c r="C20" s="109" t="s">
        <v>66</v>
      </c>
      <c r="D20" s="161"/>
      <c r="E20" s="110">
        <v>6000</v>
      </c>
      <c r="F20" s="107">
        <f t="shared" si="1"/>
        <v>0</v>
      </c>
      <c r="G20" s="171" t="s">
        <v>207</v>
      </c>
      <c r="H20" s="111" t="s">
        <v>332</v>
      </c>
      <c r="I20" s="108" t="str">
        <f>VLOOKUP(H20,Presupuesto!$B$8:$C$583,2,0)</f>
        <v>SUELDOS Y SALARIOS BASICOS (11100-00)</v>
      </c>
      <c r="J20" s="108" t="str">
        <f t="shared" si="0"/>
        <v>Lo Esencial de la UNAH para la Construcción de Ciudadanía</v>
      </c>
      <c r="K20" s="108" t="s">
        <v>476</v>
      </c>
    </row>
    <row r="21" spans="2:11" x14ac:dyDescent="0.25">
      <c r="B21" s="103"/>
      <c r="C21" s="109" t="s">
        <v>67</v>
      </c>
      <c r="D21" s="161"/>
      <c r="E21" s="110">
        <v>3000</v>
      </c>
      <c r="F21" s="107">
        <f t="shared" si="1"/>
        <v>0</v>
      </c>
      <c r="G21" s="171"/>
      <c r="H21" s="111">
        <v>42110</v>
      </c>
      <c r="I21" s="108" t="e">
        <f>VLOOKUP(H21,Presupuesto!$B$8:$C$583,2,0)</f>
        <v>#N/A</v>
      </c>
      <c r="J21" s="108" t="str">
        <f t="shared" si="0"/>
        <v>Lo Esencial de la UNAH para la Construcción de Ciudadanía</v>
      </c>
      <c r="K21" s="108" t="s">
        <v>476</v>
      </c>
    </row>
    <row r="22" spans="2:11" x14ac:dyDescent="0.25">
      <c r="B22" s="103"/>
      <c r="C22" s="109" t="s">
        <v>68</v>
      </c>
      <c r="D22" s="161"/>
      <c r="E22" s="110">
        <v>10000</v>
      </c>
      <c r="F22" s="107">
        <f t="shared" si="1"/>
        <v>0</v>
      </c>
      <c r="G22" s="171"/>
      <c r="H22" s="111">
        <v>42110</v>
      </c>
      <c r="I22" s="108" t="e">
        <f>VLOOKUP(H22,Presupuesto!$B$8:$C$583,2,0)</f>
        <v>#N/A</v>
      </c>
      <c r="J22" s="108" t="str">
        <f t="shared" si="0"/>
        <v>Lo Esencial de la UNAH para la Construcción de Ciudadanía</v>
      </c>
      <c r="K22" s="108" t="s">
        <v>476</v>
      </c>
    </row>
    <row r="23" spans="2:11" x14ac:dyDescent="0.25">
      <c r="B23" s="103"/>
      <c r="C23" s="109" t="s">
        <v>69</v>
      </c>
      <c r="D23" s="161"/>
      <c r="E23" s="110">
        <v>8000</v>
      </c>
      <c r="F23" s="107">
        <f t="shared" si="1"/>
        <v>0</v>
      </c>
      <c r="G23" s="171"/>
      <c r="H23" s="111">
        <v>42120</v>
      </c>
      <c r="I23" s="108" t="e">
        <f>VLOOKUP(H23,Presupuesto!$B$8:$C$583,2,0)</f>
        <v>#N/A</v>
      </c>
      <c r="J23" s="108" t="str">
        <f t="shared" si="0"/>
        <v>Lo Esencial de la UNAH para la Construcción de Ciudadanía</v>
      </c>
      <c r="K23" s="108" t="s">
        <v>476</v>
      </c>
    </row>
    <row r="24" spans="2:11" x14ac:dyDescent="0.25">
      <c r="B24" s="103"/>
      <c r="C24" s="109" t="s">
        <v>70</v>
      </c>
      <c r="D24" s="161"/>
      <c r="E24" s="110">
        <v>2000</v>
      </c>
      <c r="F24" s="107">
        <f t="shared" si="1"/>
        <v>0</v>
      </c>
      <c r="G24" s="171"/>
      <c r="H24" s="111">
        <v>42120</v>
      </c>
      <c r="I24" s="108" t="e">
        <f>VLOOKUP(H24,Presupuesto!$B$8:$C$583,2,0)</f>
        <v>#N/A</v>
      </c>
      <c r="J24" s="108" t="str">
        <f t="shared" si="0"/>
        <v>Lo Esencial de la UNAH para la Construcción de Ciudadanía</v>
      </c>
      <c r="K24" s="108" t="s">
        <v>484</v>
      </c>
    </row>
    <row r="25" spans="2:11" x14ac:dyDescent="0.25">
      <c r="B25" s="103"/>
      <c r="C25" s="109" t="s">
        <v>71</v>
      </c>
      <c r="D25" s="161"/>
      <c r="E25" s="110">
        <v>5000</v>
      </c>
      <c r="F25" s="107">
        <f t="shared" si="1"/>
        <v>0</v>
      </c>
      <c r="G25" s="171"/>
      <c r="H25" s="111">
        <v>42120</v>
      </c>
      <c r="I25" s="108" t="e">
        <f>VLOOKUP(H25,Presupuesto!$B$8:$C$583,2,0)</f>
        <v>#N/A</v>
      </c>
      <c r="J25" s="108" t="str">
        <f t="shared" si="0"/>
        <v>Lo Esencial de la UNAH para la Construcción de Ciudadanía</v>
      </c>
      <c r="K25" s="108" t="s">
        <v>480</v>
      </c>
    </row>
    <row r="26" spans="2:11" ht="15.75" thickBot="1" x14ac:dyDescent="0.3">
      <c r="B26" s="103"/>
      <c r="C26" s="112" t="s">
        <v>72</v>
      </c>
      <c r="D26" s="169"/>
      <c r="E26" s="114">
        <v>100000</v>
      </c>
      <c r="F26" s="115">
        <f t="shared" si="1"/>
        <v>0</v>
      </c>
      <c r="G26" s="172"/>
      <c r="H26" s="116">
        <v>42120</v>
      </c>
      <c r="I26" s="116" t="e">
        <f>VLOOKUP(H26,Presupuesto!$B$8:$C$583,2,0)</f>
        <v>#N/A</v>
      </c>
      <c r="J26" s="116" t="str">
        <f t="shared" si="0"/>
        <v>Lo Esencial de la UNAH para la Construcción de Ciudadanía</v>
      </c>
      <c r="K26" s="134" t="s">
        <v>475</v>
      </c>
    </row>
    <row r="27" spans="2:11" x14ac:dyDescent="0.25">
      <c r="B27" s="103"/>
    </row>
    <row r="28" spans="2:11" ht="15.75" thickBot="1" x14ac:dyDescent="0.3">
      <c r="B28" s="103"/>
    </row>
    <row r="29" spans="2:11" ht="15.75" thickBot="1" x14ac:dyDescent="0.3">
      <c r="B29" s="103"/>
      <c r="C29" s="29" t="s">
        <v>43</v>
      </c>
      <c r="D29" s="30">
        <f>SUM(F36:F45)</f>
        <v>45400</v>
      </c>
      <c r="E29" s="188"/>
      <c r="F29" s="188"/>
      <c r="G29" s="87"/>
      <c r="H29" s="188"/>
      <c r="I29" s="188"/>
    </row>
    <row r="30" spans="2:11" x14ac:dyDescent="0.25">
      <c r="C30" s="69"/>
      <c r="D30" s="31"/>
      <c r="E30" s="103"/>
      <c r="F30" s="103"/>
      <c r="G30" s="103"/>
      <c r="H30" s="84"/>
      <c r="I30" s="84"/>
      <c r="J30" s="84"/>
      <c r="K30" s="122"/>
    </row>
    <row r="31" spans="2:11" x14ac:dyDescent="0.25">
      <c r="C31" s="69"/>
      <c r="D31" s="31"/>
      <c r="E31" s="103"/>
      <c r="F31" s="103"/>
      <c r="G31" s="103"/>
      <c r="H31" s="84"/>
      <c r="I31" s="84"/>
      <c r="J31" s="84"/>
      <c r="K31" s="122"/>
    </row>
    <row r="32" spans="2:11" ht="15.75" x14ac:dyDescent="0.25">
      <c r="C32" s="217" t="s">
        <v>471</v>
      </c>
      <c r="D32" s="218"/>
      <c r="E32" s="103"/>
      <c r="F32" s="103"/>
      <c r="G32" s="103"/>
      <c r="H32" s="84"/>
      <c r="I32" s="84"/>
      <c r="J32" s="84"/>
      <c r="K32" s="122"/>
    </row>
    <row r="33" spans="3:11" ht="18.75" x14ac:dyDescent="0.25">
      <c r="C33" s="220">
        <f>IFERROR(VLOOKUP(D32,'[2]Desarrollo Curricular'!$E:$F,2,FALSE),IFERROR(VLOOKUP(D32,[2]Investigación!$E:$F,2,FALSE),IFERROR(VLOOKUP(D32,'[2]Vinculación Univ. Sociedad'!$E:$F,2,FALSE),IFERROR(VLOOKUP(D32,'[2]Docencia y Recursos Humanos '!$E:$F,2,FALSE),IFERROR(VLOOKUP(D32,[2]Estudiantes!$E:$F,2,FALSE),IFERROR(VLOOKUP(D32,'[2]Gestion Administrativa'!$E:$F,2,FALSE),IFERROR(VLOOKUP(D32,'[2]Gestion Academica'!$E:$F,2,FALSE),IFERROR(VLOOKUP(D32,[2]Graduados!$E:$F,2,FALSE),IFERROR(VLOOKUP(D32,'[2]Gestión del Conocimiento'!$E:$F,2,FALSE),IFERROR(VLOOKUP(D32,[2]Gobernabilidad!$E:$F,2,FALSE),IFERROR(VLOOKUP(D32,'[2]NIVEL DE ES Y  SISTEMA NACIONAL'!$E:$F,2,FALSE),VLOOKUP(D32,'[2]Lo Esencial'!$E:$F,2,0))))))))))))</f>
        <v>0</v>
      </c>
      <c r="D33" s="31"/>
      <c r="E33" s="103"/>
      <c r="F33" s="103"/>
      <c r="G33" s="103"/>
      <c r="H33" s="84"/>
      <c r="I33" s="84"/>
      <c r="J33" s="84"/>
      <c r="K33" s="122"/>
    </row>
    <row r="34" spans="3:11" ht="15.75" thickBot="1" x14ac:dyDescent="0.3">
      <c r="C34" s="69" t="s">
        <v>1732</v>
      </c>
      <c r="D34" s="31"/>
      <c r="E34" s="103"/>
      <c r="F34" s="103"/>
      <c r="G34" s="103"/>
      <c r="H34" s="84"/>
      <c r="I34" s="84"/>
      <c r="J34" s="84"/>
      <c r="K34" s="122"/>
    </row>
    <row r="35" spans="3:11" ht="30.75" thickBot="1" x14ac:dyDescent="0.3">
      <c r="C35" s="136" t="s">
        <v>44</v>
      </c>
      <c r="D35" s="138" t="s">
        <v>55</v>
      </c>
      <c r="E35" s="138" t="s">
        <v>57</v>
      </c>
      <c r="F35" s="137" t="s">
        <v>27</v>
      </c>
      <c r="G35" s="143" t="s">
        <v>208</v>
      </c>
      <c r="H35" s="138" t="s">
        <v>46</v>
      </c>
      <c r="I35" s="138" t="s">
        <v>209</v>
      </c>
      <c r="J35" s="138" t="s">
        <v>491</v>
      </c>
      <c r="K35" s="138" t="s">
        <v>492</v>
      </c>
    </row>
    <row r="36" spans="3:11" x14ac:dyDescent="0.25">
      <c r="C36" s="105" t="s">
        <v>63</v>
      </c>
      <c r="D36" s="471">
        <v>2</v>
      </c>
      <c r="E36" s="472">
        <v>1900</v>
      </c>
      <c r="F36" s="107">
        <f>D36*E36</f>
        <v>3800</v>
      </c>
      <c r="G36" s="171" t="s">
        <v>207</v>
      </c>
      <c r="H36" s="108" t="s">
        <v>414</v>
      </c>
      <c r="I36" s="108" t="str">
        <f>VLOOKUP(H36,[2]Presupuesto!$B$8:$C$583,2,0)</f>
        <v>EQUIPOS DE OFICINA Y MUEBLES (42140-00)</v>
      </c>
      <c r="J36" s="231" t="s">
        <v>559</v>
      </c>
      <c r="K36" s="108" t="s">
        <v>493</v>
      </c>
    </row>
    <row r="37" spans="3:11" x14ac:dyDescent="0.25">
      <c r="C37" s="109" t="s">
        <v>64</v>
      </c>
      <c r="D37" s="473">
        <v>2</v>
      </c>
      <c r="E37" s="474">
        <v>1500</v>
      </c>
      <c r="F37" s="107">
        <f>D37*E37</f>
        <v>3000</v>
      </c>
      <c r="G37" s="171" t="s">
        <v>207</v>
      </c>
      <c r="H37" s="111" t="s">
        <v>414</v>
      </c>
      <c r="I37" s="108" t="str">
        <f>VLOOKUP(H37,[2]Presupuesto!$B$8:$C$583,2,0)</f>
        <v>EQUIPOS DE OFICINA Y MUEBLES (42140-00)</v>
      </c>
      <c r="J37" s="231" t="s">
        <v>559</v>
      </c>
      <c r="K37" s="108" t="s">
        <v>493</v>
      </c>
    </row>
    <row r="38" spans="3:11" x14ac:dyDescent="0.25">
      <c r="C38" s="109" t="s">
        <v>65</v>
      </c>
      <c r="D38" s="473">
        <v>10</v>
      </c>
      <c r="E38" s="474">
        <v>1600</v>
      </c>
      <c r="F38" s="107">
        <f t="shared" ref="F38:F45" si="2">D38*E38</f>
        <v>16000</v>
      </c>
      <c r="G38" s="171" t="s">
        <v>207</v>
      </c>
      <c r="H38" s="111" t="s">
        <v>414</v>
      </c>
      <c r="I38" s="108" t="str">
        <f>VLOOKUP(H38,[2]Presupuesto!$B$8:$C$583,2,0)</f>
        <v>EQUIPOS DE OFICINA Y MUEBLES (42140-00)</v>
      </c>
      <c r="J38" s="231" t="s">
        <v>559</v>
      </c>
      <c r="K38" s="108" t="s">
        <v>493</v>
      </c>
    </row>
    <row r="39" spans="3:11" x14ac:dyDescent="0.25">
      <c r="C39" s="109" t="s">
        <v>66</v>
      </c>
      <c r="D39" s="473"/>
      <c r="E39" s="474"/>
      <c r="F39" s="107">
        <f t="shared" si="2"/>
        <v>0</v>
      </c>
      <c r="G39" s="171" t="s">
        <v>207</v>
      </c>
      <c r="H39" s="111"/>
      <c r="I39" s="108" t="e">
        <f>VLOOKUP(H39,[2]Presupuesto!$B$8:$C$583,2,0)</f>
        <v>#N/A</v>
      </c>
      <c r="J39" s="231" t="s">
        <v>559</v>
      </c>
      <c r="K39" s="108" t="s">
        <v>493</v>
      </c>
    </row>
    <row r="40" spans="3:11" x14ac:dyDescent="0.25">
      <c r="C40" s="109" t="s">
        <v>67</v>
      </c>
      <c r="D40" s="473">
        <v>4</v>
      </c>
      <c r="E40" s="474">
        <v>1900</v>
      </c>
      <c r="F40" s="107">
        <f t="shared" si="2"/>
        <v>7600</v>
      </c>
      <c r="G40" s="171" t="s">
        <v>207</v>
      </c>
      <c r="H40" s="111" t="s">
        <v>414</v>
      </c>
      <c r="I40" s="108" t="str">
        <f>VLOOKUP(H40,[2]Presupuesto!$B$8:$C$583,2,0)</f>
        <v>EQUIPOS DE OFICINA Y MUEBLES (42140-00)</v>
      </c>
      <c r="J40" s="231" t="s">
        <v>559</v>
      </c>
      <c r="K40" s="108" t="s">
        <v>493</v>
      </c>
    </row>
    <row r="41" spans="3:11" x14ac:dyDescent="0.25">
      <c r="C41" s="109" t="s">
        <v>68</v>
      </c>
      <c r="D41" s="473"/>
      <c r="E41" s="474"/>
      <c r="F41" s="107">
        <f t="shared" si="2"/>
        <v>0</v>
      </c>
      <c r="G41" s="171"/>
      <c r="H41" s="111"/>
      <c r="I41" s="108" t="e">
        <f>VLOOKUP(H41,[2]Presupuesto!$B$8:$C$583,2,0)</f>
        <v>#N/A</v>
      </c>
      <c r="J41" s="231" t="s">
        <v>559</v>
      </c>
      <c r="K41" s="108" t="s">
        <v>493</v>
      </c>
    </row>
    <row r="42" spans="3:11" x14ac:dyDescent="0.25">
      <c r="C42" s="109" t="s">
        <v>69</v>
      </c>
      <c r="D42" s="473">
        <v>2</v>
      </c>
      <c r="E42" s="474">
        <v>7500</v>
      </c>
      <c r="F42" s="107">
        <f t="shared" si="2"/>
        <v>15000</v>
      </c>
      <c r="G42" s="171" t="s">
        <v>207</v>
      </c>
      <c r="H42" s="111" t="s">
        <v>414</v>
      </c>
      <c r="I42" s="108" t="str">
        <f>VLOOKUP(H42,[2]Presupuesto!$B$8:$C$583,2,0)</f>
        <v>EQUIPOS DE OFICINA Y MUEBLES (42140-00)</v>
      </c>
      <c r="J42" s="231" t="s">
        <v>559</v>
      </c>
      <c r="K42" s="108" t="s">
        <v>493</v>
      </c>
    </row>
    <row r="43" spans="3:11" x14ac:dyDescent="0.25">
      <c r="C43" s="109" t="s">
        <v>70</v>
      </c>
      <c r="D43" s="161">
        <v>0</v>
      </c>
      <c r="E43" s="110"/>
      <c r="F43" s="107">
        <f t="shared" si="2"/>
        <v>0</v>
      </c>
      <c r="G43" s="171"/>
      <c r="H43" s="111">
        <v>42120</v>
      </c>
      <c r="I43" s="108" t="e">
        <f>VLOOKUP(H43,[2]Presupuesto!$B$8:$C$583,2,0)</f>
        <v>#N/A</v>
      </c>
      <c r="J43" s="231" t="s">
        <v>559</v>
      </c>
      <c r="K43" s="108" t="s">
        <v>493</v>
      </c>
    </row>
    <row r="44" spans="3:11" x14ac:dyDescent="0.25">
      <c r="C44" s="109" t="s">
        <v>71</v>
      </c>
      <c r="D44" s="161">
        <v>0</v>
      </c>
      <c r="E44" s="110"/>
      <c r="F44" s="107">
        <f t="shared" si="2"/>
        <v>0</v>
      </c>
      <c r="G44" s="171"/>
      <c r="H44" s="111">
        <v>42120</v>
      </c>
      <c r="I44" s="108" t="e">
        <f>VLOOKUP(H44,[2]Presupuesto!$B$8:$C$583,2,0)</f>
        <v>#N/A</v>
      </c>
      <c r="J44" s="231" t="s">
        <v>559</v>
      </c>
      <c r="K44" s="108" t="s">
        <v>493</v>
      </c>
    </row>
    <row r="45" spans="3:11" ht="15.75" thickBot="1" x14ac:dyDescent="0.3">
      <c r="C45" s="112" t="s">
        <v>72</v>
      </c>
      <c r="D45" s="169">
        <v>0</v>
      </c>
      <c r="E45" s="114"/>
      <c r="F45" s="115">
        <f t="shared" si="2"/>
        <v>0</v>
      </c>
      <c r="G45" s="172"/>
      <c r="H45" s="116">
        <v>42120</v>
      </c>
      <c r="I45" s="116" t="e">
        <f>VLOOKUP(H45,[2]Presupuesto!$B$8:$C$583,2,0)</f>
        <v>#N/A</v>
      </c>
      <c r="J45" s="231" t="s">
        <v>559</v>
      </c>
      <c r="K45" s="108" t="s">
        <v>493</v>
      </c>
    </row>
    <row r="47" spans="3:11" x14ac:dyDescent="0.25">
      <c r="C47" s="69" t="s">
        <v>62</v>
      </c>
      <c r="D47" s="69"/>
      <c r="E47" s="69"/>
      <c r="F47" s="69"/>
      <c r="G47" s="87"/>
      <c r="H47" s="69"/>
      <c r="I47" s="69"/>
    </row>
    <row r="48" spans="3:11" ht="15.75" thickBot="1" x14ac:dyDescent="0.3">
      <c r="C48" s="69" t="s">
        <v>1737</v>
      </c>
      <c r="D48" s="69"/>
      <c r="E48" s="69"/>
      <c r="F48" s="69"/>
      <c r="G48" s="87"/>
      <c r="H48" s="69"/>
      <c r="I48" s="69"/>
    </row>
    <row r="49" spans="3:11" ht="15.75" thickBot="1" x14ac:dyDescent="0.3">
      <c r="C49" s="29" t="s">
        <v>43</v>
      </c>
      <c r="D49" s="30">
        <f>SUM(F56:F65)</f>
        <v>8400</v>
      </c>
      <c r="E49" s="188"/>
      <c r="F49" s="188"/>
      <c r="G49" s="87"/>
      <c r="H49" s="188"/>
      <c r="I49" s="188"/>
    </row>
    <row r="50" spans="3:11" x14ac:dyDescent="0.25">
      <c r="C50" s="69"/>
      <c r="D50" s="31"/>
      <c r="E50" s="103"/>
      <c r="F50" s="103"/>
      <c r="G50" s="103"/>
      <c r="H50" s="84"/>
      <c r="I50" s="84"/>
      <c r="J50" s="84"/>
      <c r="K50" s="122"/>
    </row>
    <row r="51" spans="3:11" x14ac:dyDescent="0.25">
      <c r="C51" s="69"/>
      <c r="D51" s="31"/>
      <c r="E51" s="103"/>
      <c r="F51" s="103"/>
      <c r="G51" s="103"/>
      <c r="H51" s="84"/>
      <c r="I51" s="84"/>
      <c r="J51" s="84"/>
      <c r="K51" s="122"/>
    </row>
    <row r="52" spans="3:11" ht="15.75" x14ac:dyDescent="0.25">
      <c r="C52" s="217" t="s">
        <v>471</v>
      </c>
      <c r="D52" s="218"/>
      <c r="E52" s="103"/>
      <c r="F52" s="103"/>
      <c r="G52" s="103"/>
      <c r="H52" s="84"/>
      <c r="I52" s="84"/>
      <c r="J52" s="84"/>
      <c r="K52" s="122"/>
    </row>
    <row r="53" spans="3:11" ht="18.75" x14ac:dyDescent="0.25">
      <c r="C53" s="220">
        <f>IFERROR(VLOOKUP(D52,'[8]Desarrollo Curricular'!$E:$F,2,FALSE),IFERROR(VLOOKUP(D52,[8]Investigación!$E:$F,2,FALSE),IFERROR(VLOOKUP(D52,'[8]Vinculación Univ. Sociedad'!$E:$F,2,FALSE),IFERROR(VLOOKUP(D52,'[8]Docencia y Recursos Humanos '!$E:$F,2,FALSE),IFERROR(VLOOKUP(D52,[8]Estudiantes!$E:$F,2,FALSE),IFERROR(VLOOKUP(D52,'[8]Gestion Administrativa'!$E:$F,2,FALSE),IFERROR(VLOOKUP(D52,'[8]Gestion Academica'!$E:$F,2,FALSE),IFERROR(VLOOKUP(D52,[8]Graduados!$E:$F,2,FALSE),IFERROR(VLOOKUP(D52,'[8]Gestión del Conocimiento'!$E:$F,2,FALSE),IFERROR(VLOOKUP(D52,[8]Gobernabilidad!$E:$F,2,FALSE),IFERROR(VLOOKUP(D52,'[8]NIVEL DE ES Y  SISTEMA NACIONAL'!$E:$F,2,FALSE),VLOOKUP(D52,'[8]Lo Esencial'!$E:$F,2,0))))))))))))</f>
        <v>0</v>
      </c>
      <c r="D53" s="31"/>
      <c r="E53" s="103"/>
      <c r="F53" s="103"/>
      <c r="G53" s="103"/>
      <c r="H53" s="84"/>
      <c r="I53" s="84"/>
      <c r="J53" s="84"/>
      <c r="K53" s="122"/>
    </row>
    <row r="54" spans="3:11" ht="15.75" thickBot="1" x14ac:dyDescent="0.3">
      <c r="C54" s="69" t="s">
        <v>1738</v>
      </c>
      <c r="D54" s="31"/>
      <c r="E54" s="103"/>
      <c r="F54" s="103"/>
      <c r="G54" s="103"/>
      <c r="H54" s="84"/>
      <c r="I54" s="84"/>
      <c r="J54" s="84"/>
      <c r="K54" s="122"/>
    </row>
    <row r="55" spans="3:11" ht="30.75" thickBot="1" x14ac:dyDescent="0.3">
      <c r="C55" s="136" t="s">
        <v>44</v>
      </c>
      <c r="D55" s="138" t="s">
        <v>55</v>
      </c>
      <c r="E55" s="138" t="s">
        <v>57</v>
      </c>
      <c r="F55" s="137" t="s">
        <v>27</v>
      </c>
      <c r="G55" s="143" t="s">
        <v>208</v>
      </c>
      <c r="H55" s="138" t="s">
        <v>46</v>
      </c>
      <c r="I55" s="138" t="s">
        <v>209</v>
      </c>
      <c r="J55" s="138" t="s">
        <v>491</v>
      </c>
      <c r="K55" s="138" t="s">
        <v>492</v>
      </c>
    </row>
    <row r="56" spans="3:11" x14ac:dyDescent="0.25">
      <c r="C56" s="105" t="s">
        <v>63</v>
      </c>
      <c r="D56" s="476">
        <v>0</v>
      </c>
      <c r="E56" s="106">
        <v>3800</v>
      </c>
      <c r="F56" s="107">
        <f>D56*E56</f>
        <v>0</v>
      </c>
      <c r="G56" s="171" t="s">
        <v>207</v>
      </c>
      <c r="H56" s="108" t="s">
        <v>329</v>
      </c>
      <c r="I56" s="108" t="str">
        <f>VLOOKUP(H56,[8]Presupuesto!$B$8:$C$583,2,0)</f>
        <v>OTROS SERVICIOS PERSONALES. (11900-00)</v>
      </c>
      <c r="J56" s="231" t="s">
        <v>562</v>
      </c>
      <c r="K56" s="108" t="s">
        <v>493</v>
      </c>
    </row>
    <row r="57" spans="3:11" x14ac:dyDescent="0.25">
      <c r="C57" s="109" t="s">
        <v>64</v>
      </c>
      <c r="D57" s="477">
        <v>1</v>
      </c>
      <c r="E57" s="110">
        <v>2400</v>
      </c>
      <c r="F57" s="107">
        <f>D57*E57</f>
        <v>2400</v>
      </c>
      <c r="G57" s="171" t="s">
        <v>207</v>
      </c>
      <c r="H57" s="111" t="s">
        <v>414</v>
      </c>
      <c r="I57" s="108" t="str">
        <f>VLOOKUP(H57,[8]Presupuesto!$B$8:$C$583,2,0)</f>
        <v>EQUIPOS DE OFICINA Y MUEBLES (42140-00)</v>
      </c>
      <c r="J57" s="108" t="s">
        <v>559</v>
      </c>
      <c r="K57" s="108" t="s">
        <v>493</v>
      </c>
    </row>
    <row r="58" spans="3:11" x14ac:dyDescent="0.25">
      <c r="C58" s="109" t="s">
        <v>65</v>
      </c>
      <c r="D58" s="477">
        <v>2</v>
      </c>
      <c r="E58" s="110">
        <v>1000</v>
      </c>
      <c r="F58" s="107">
        <f t="shared" ref="F58:F65" si="3">D58*E58</f>
        <v>2000</v>
      </c>
      <c r="G58" s="171" t="s">
        <v>207</v>
      </c>
      <c r="H58" s="111" t="s">
        <v>414</v>
      </c>
      <c r="I58" s="108" t="str">
        <f>VLOOKUP(H58,[8]Presupuesto!$B$8:$C$583,2,0)</f>
        <v>EQUIPOS DE OFICINA Y MUEBLES (42140-00)</v>
      </c>
      <c r="J58" s="108" t="s">
        <v>559</v>
      </c>
      <c r="K58" s="108" t="s">
        <v>493</v>
      </c>
    </row>
    <row r="59" spans="3:11" x14ac:dyDescent="0.25">
      <c r="C59" s="109" t="s">
        <v>66</v>
      </c>
      <c r="D59" s="477">
        <v>0</v>
      </c>
      <c r="E59" s="110">
        <v>6000</v>
      </c>
      <c r="F59" s="107">
        <f t="shared" si="3"/>
        <v>0</v>
      </c>
      <c r="G59" s="171" t="s">
        <v>207</v>
      </c>
      <c r="H59" s="111" t="s">
        <v>332</v>
      </c>
      <c r="I59" s="108" t="str">
        <f>VLOOKUP(H59,[8]Presupuesto!$B$8:$C$583,2,0)</f>
        <v>SUELDOS Y SALARIOS BASICOS (11100-00)</v>
      </c>
      <c r="J59" s="108" t="s">
        <v>559</v>
      </c>
      <c r="K59" s="108" t="s">
        <v>476</v>
      </c>
    </row>
    <row r="60" spans="3:11" x14ac:dyDescent="0.25">
      <c r="C60" s="109" t="s">
        <v>67</v>
      </c>
      <c r="D60" s="161">
        <v>0</v>
      </c>
      <c r="E60" s="110">
        <v>3000</v>
      </c>
      <c r="F60" s="107">
        <f t="shared" si="3"/>
        <v>0</v>
      </c>
      <c r="G60" s="171"/>
      <c r="H60" s="111">
        <v>42110</v>
      </c>
      <c r="I60" s="108" t="e">
        <f>VLOOKUP(H60,[8]Presupuesto!$B$8:$C$583,2,0)</f>
        <v>#N/A</v>
      </c>
      <c r="J60" s="108" t="s">
        <v>559</v>
      </c>
      <c r="K60" s="108" t="s">
        <v>476</v>
      </c>
    </row>
    <row r="61" spans="3:11" x14ac:dyDescent="0.25">
      <c r="C61" s="109" t="s">
        <v>68</v>
      </c>
      <c r="D61" s="161">
        <v>0</v>
      </c>
      <c r="E61" s="110">
        <v>10000</v>
      </c>
      <c r="F61" s="107">
        <f t="shared" si="3"/>
        <v>0</v>
      </c>
      <c r="G61" s="171"/>
      <c r="H61" s="111">
        <v>42110</v>
      </c>
      <c r="I61" s="108" t="e">
        <f>VLOOKUP(H61,[8]Presupuesto!$B$8:$C$583,2,0)</f>
        <v>#N/A</v>
      </c>
      <c r="J61" s="108" t="s">
        <v>559</v>
      </c>
      <c r="K61" s="108" t="s">
        <v>476</v>
      </c>
    </row>
    <row r="62" spans="3:11" x14ac:dyDescent="0.25">
      <c r="C62" s="109" t="s">
        <v>69</v>
      </c>
      <c r="D62" s="477">
        <v>1</v>
      </c>
      <c r="E62" s="110">
        <v>4000</v>
      </c>
      <c r="F62" s="107">
        <f t="shared" si="3"/>
        <v>4000</v>
      </c>
      <c r="G62" s="171" t="s">
        <v>207</v>
      </c>
      <c r="H62" s="111" t="s">
        <v>414</v>
      </c>
      <c r="I62" s="108" t="str">
        <f>VLOOKUP(H62,[8]Presupuesto!$B$8:$C$583,2,0)</f>
        <v>EQUIPOS DE OFICINA Y MUEBLES (42140-00)</v>
      </c>
      <c r="J62" s="108" t="s">
        <v>559</v>
      </c>
      <c r="K62" s="108" t="s">
        <v>493</v>
      </c>
    </row>
    <row r="63" spans="3:11" x14ac:dyDescent="0.25">
      <c r="C63" s="109" t="s">
        <v>70</v>
      </c>
      <c r="D63" s="161">
        <v>0</v>
      </c>
      <c r="E63" s="110">
        <v>2000</v>
      </c>
      <c r="F63" s="107">
        <f t="shared" si="3"/>
        <v>0</v>
      </c>
      <c r="G63" s="171"/>
      <c r="H63" s="111">
        <v>42120</v>
      </c>
      <c r="I63" s="108" t="e">
        <f>VLOOKUP(H63,[8]Presupuesto!$B$8:$C$583,2,0)</f>
        <v>#N/A</v>
      </c>
      <c r="J63" s="108" t="s">
        <v>559</v>
      </c>
      <c r="K63" s="108" t="s">
        <v>484</v>
      </c>
    </row>
    <row r="64" spans="3:11" x14ac:dyDescent="0.25">
      <c r="C64" s="109" t="s">
        <v>71</v>
      </c>
      <c r="D64" s="161">
        <v>0</v>
      </c>
      <c r="E64" s="110">
        <v>5000</v>
      </c>
      <c r="F64" s="107">
        <f t="shared" si="3"/>
        <v>0</v>
      </c>
      <c r="G64" s="171"/>
      <c r="H64" s="111">
        <v>42120</v>
      </c>
      <c r="I64" s="108" t="e">
        <f>VLOOKUP(H64,[8]Presupuesto!$B$8:$C$583,2,0)</f>
        <v>#N/A</v>
      </c>
      <c r="J64" s="108" t="s">
        <v>559</v>
      </c>
      <c r="K64" s="108" t="s">
        <v>480</v>
      </c>
    </row>
    <row r="65" spans="3:11" ht="15.75" thickBot="1" x14ac:dyDescent="0.3">
      <c r="C65" s="112" t="s">
        <v>72</v>
      </c>
      <c r="D65" s="169">
        <v>0</v>
      </c>
      <c r="E65" s="114">
        <v>100000</v>
      </c>
      <c r="F65" s="115">
        <f t="shared" si="3"/>
        <v>0</v>
      </c>
      <c r="G65" s="172"/>
      <c r="H65" s="116">
        <v>42120</v>
      </c>
      <c r="I65" s="116" t="e">
        <f>VLOOKUP(H65,[8]Presupuesto!$B$8:$C$583,2,0)</f>
        <v>#N/A</v>
      </c>
      <c r="J65" s="108" t="s">
        <v>559</v>
      </c>
      <c r="K65" s="134" t="s">
        <v>475</v>
      </c>
    </row>
    <row r="67" spans="3:11" ht="15.75" thickBot="1" x14ac:dyDescent="0.3"/>
    <row r="68" spans="3:11" ht="15.75" thickBot="1" x14ac:dyDescent="0.3">
      <c r="C68" s="29" t="s">
        <v>43</v>
      </c>
      <c r="D68" s="30">
        <f>SUM(F75:F84)</f>
        <v>33000</v>
      </c>
      <c r="E68" s="188"/>
      <c r="F68" s="188"/>
      <c r="G68" s="87"/>
      <c r="H68" s="188"/>
      <c r="I68" s="188"/>
    </row>
    <row r="69" spans="3:11" x14ac:dyDescent="0.25">
      <c r="C69" s="69"/>
      <c r="D69" s="31"/>
      <c r="E69" s="103"/>
      <c r="F69" s="103"/>
      <c r="G69" s="103"/>
      <c r="H69" s="84"/>
      <c r="I69" s="84"/>
      <c r="J69" s="84"/>
      <c r="K69" s="122"/>
    </row>
    <row r="70" spans="3:11" x14ac:dyDescent="0.25">
      <c r="C70" s="69"/>
      <c r="D70" s="31"/>
      <c r="E70" s="103"/>
      <c r="F70" s="103"/>
      <c r="G70" s="103"/>
      <c r="H70" s="84"/>
      <c r="I70" s="84"/>
      <c r="J70" s="84"/>
      <c r="K70" s="122"/>
    </row>
    <row r="71" spans="3:11" ht="15.75" x14ac:dyDescent="0.25">
      <c r="C71" s="217" t="s">
        <v>471</v>
      </c>
      <c r="D71" s="218"/>
      <c r="E71" s="103"/>
      <c r="F71" s="103"/>
      <c r="G71" s="103"/>
      <c r="H71" s="84"/>
      <c r="I71" s="84"/>
      <c r="J71" s="84"/>
      <c r="K71" s="122"/>
    </row>
    <row r="72" spans="3:11" ht="18.75" x14ac:dyDescent="0.25">
      <c r="C72" s="220" t="e">
        <f>IFERROR(VLOOKUP(D71,'[10]Desarrollo Curricular'!$E:$F,2,FALSE),IFERROR(VLOOKUP(D71,[10]Investigación!$E:$F,2,FALSE),IFERROR(VLOOKUP(D71,'[10]Vinculación Univ. Sociedad'!$E:$F,2,FALSE),IFERROR(VLOOKUP(D71,'[10]Docencia y Recursos Humanos '!$E:$F,2,FALSE),IFERROR(VLOOKUP(D71,[10]Estudiantes!$E:$F,2,FALSE),IFERROR(VLOOKUP(D71,'[10]Gestion Administrativa'!$E:$F,2,FALSE),IFERROR(VLOOKUP(D71,'[10]Gestion Academica'!$E:$F,2,FALSE),IFERROR(VLOOKUP(D71,[10]Graduados!$E:$F,2,FALSE),IFERROR(VLOOKUP(D71,'[10]Gestión del Conocimiento'!$E:$F,2,FALSE),IFERROR(VLOOKUP(D71,[10]Gobernabilidad!$E:$F,2,FALSE),IFERROR(VLOOKUP(D71,'[10]NIVEL DE ES Y  SISTEMA NACIONAL'!$E:$F,2,FALSE),VLOOKUP(D71,'[10]Lo Esencial'!$E:$F,2,0))))))))))))</f>
        <v>#N/A</v>
      </c>
      <c r="D72" s="31"/>
      <c r="E72" s="103"/>
      <c r="F72" s="103"/>
      <c r="G72" s="103"/>
      <c r="H72" s="84"/>
      <c r="I72" s="84"/>
      <c r="J72" s="84"/>
      <c r="K72" s="122"/>
    </row>
    <row r="73" spans="3:11" ht="15.75" thickBot="1" x14ac:dyDescent="0.3">
      <c r="C73" s="69" t="s">
        <v>1887</v>
      </c>
      <c r="D73" s="31"/>
      <c r="E73" s="103"/>
      <c r="F73" s="103"/>
      <c r="G73" s="103"/>
      <c r="H73" s="84"/>
      <c r="I73" s="84"/>
      <c r="J73" s="84"/>
      <c r="K73" s="122"/>
    </row>
    <row r="74" spans="3:11" ht="30.75" thickBot="1" x14ac:dyDescent="0.3">
      <c r="C74" s="136" t="s">
        <v>44</v>
      </c>
      <c r="D74" s="138" t="s">
        <v>55</v>
      </c>
      <c r="E74" s="138" t="s">
        <v>57</v>
      </c>
      <c r="F74" s="137" t="s">
        <v>27</v>
      </c>
      <c r="G74" s="143" t="s">
        <v>208</v>
      </c>
      <c r="H74" s="138" t="s">
        <v>46</v>
      </c>
      <c r="I74" s="138" t="s">
        <v>209</v>
      </c>
      <c r="J74" s="138" t="s">
        <v>491</v>
      </c>
      <c r="K74" s="138" t="s">
        <v>492</v>
      </c>
    </row>
    <row r="75" spans="3:11" x14ac:dyDescent="0.25">
      <c r="C75" s="105" t="s">
        <v>63</v>
      </c>
      <c r="D75" s="168">
        <v>2</v>
      </c>
      <c r="E75" s="106">
        <v>2800</v>
      </c>
      <c r="F75" s="107">
        <f>D75*E75</f>
        <v>5600</v>
      </c>
      <c r="G75" s="171" t="s">
        <v>207</v>
      </c>
      <c r="H75" s="192" t="s">
        <v>1188</v>
      </c>
      <c r="I75" s="108" t="str">
        <f>VLOOKUP(H75,[10]Presupuesto!$B$8:$C$585,2,0)</f>
        <v>MUEBLES VARIOS DE OFICINA</v>
      </c>
      <c r="J75" s="231" t="s">
        <v>559</v>
      </c>
      <c r="K75" s="108" t="s">
        <v>493</v>
      </c>
    </row>
    <row r="76" spans="3:11" x14ac:dyDescent="0.25">
      <c r="C76" s="109" t="s">
        <v>64</v>
      </c>
      <c r="D76" s="161">
        <v>1</v>
      </c>
      <c r="E76" s="110">
        <v>2400</v>
      </c>
      <c r="F76" s="107">
        <f>D76*E76</f>
        <v>2400</v>
      </c>
      <c r="G76" s="171" t="s">
        <v>207</v>
      </c>
      <c r="H76" s="192" t="s">
        <v>1188</v>
      </c>
      <c r="I76" s="108" t="str">
        <f>VLOOKUP(H76,[10]Presupuesto!$B$8:$C$585,2,0)</f>
        <v>MUEBLES VARIOS DE OFICINA</v>
      </c>
      <c r="J76" s="231" t="s">
        <v>559</v>
      </c>
      <c r="K76" s="108" t="s">
        <v>493</v>
      </c>
    </row>
    <row r="77" spans="3:11" x14ac:dyDescent="0.25">
      <c r="C77" s="109" t="s">
        <v>65</v>
      </c>
      <c r="D77" s="161">
        <v>6</v>
      </c>
      <c r="E77" s="110">
        <v>1000</v>
      </c>
      <c r="F77" s="107">
        <f t="shared" ref="F77:F84" si="4">D77*E77</f>
        <v>6000</v>
      </c>
      <c r="G77" s="171" t="s">
        <v>207</v>
      </c>
      <c r="H77" s="192" t="s">
        <v>1188</v>
      </c>
      <c r="I77" s="108" t="str">
        <f>VLOOKUP(H77,[10]Presupuesto!$B$8:$C$585,2,0)</f>
        <v>MUEBLES VARIOS DE OFICINA</v>
      </c>
      <c r="J77" s="231" t="s">
        <v>559</v>
      </c>
      <c r="K77" s="108" t="s">
        <v>493</v>
      </c>
    </row>
    <row r="78" spans="3:11" x14ac:dyDescent="0.25">
      <c r="C78" s="109" t="s">
        <v>66</v>
      </c>
      <c r="D78" s="161">
        <v>0</v>
      </c>
      <c r="E78" s="110">
        <v>6000</v>
      </c>
      <c r="F78" s="107">
        <f t="shared" si="4"/>
        <v>0</v>
      </c>
      <c r="G78" s="171" t="s">
        <v>207</v>
      </c>
      <c r="H78" s="111" t="s">
        <v>332</v>
      </c>
      <c r="I78" s="108" t="str">
        <f>VLOOKUP(H78,[10]Presupuesto!$B$8:$C$585,2,0)</f>
        <v>SUELDOS Y SALARIOS BASICOS (11100-00)</v>
      </c>
      <c r="J78" s="231" t="s">
        <v>559</v>
      </c>
      <c r="K78" s="108" t="s">
        <v>493</v>
      </c>
    </row>
    <row r="79" spans="3:11" x14ac:dyDescent="0.25">
      <c r="C79" s="109" t="s">
        <v>67</v>
      </c>
      <c r="D79" s="161">
        <v>1</v>
      </c>
      <c r="E79" s="110">
        <v>3000</v>
      </c>
      <c r="F79" s="107">
        <f t="shared" si="4"/>
        <v>3000</v>
      </c>
      <c r="G79" s="171" t="s">
        <v>207</v>
      </c>
      <c r="H79" s="192" t="s">
        <v>1188</v>
      </c>
      <c r="I79" s="108" t="str">
        <f>VLOOKUP(H79,[10]Presupuesto!$B$8:$C$585,2,0)</f>
        <v>MUEBLES VARIOS DE OFICINA</v>
      </c>
      <c r="J79" s="231" t="s">
        <v>559</v>
      </c>
      <c r="K79" s="108" t="s">
        <v>493</v>
      </c>
    </row>
    <row r="80" spans="3:11" x14ac:dyDescent="0.25">
      <c r="C80" s="109" t="s">
        <v>68</v>
      </c>
      <c r="D80" s="161">
        <v>0</v>
      </c>
      <c r="E80" s="110">
        <v>10000</v>
      </c>
      <c r="F80" s="107">
        <f t="shared" si="4"/>
        <v>0</v>
      </c>
      <c r="G80" s="171"/>
      <c r="H80" s="111">
        <v>42110</v>
      </c>
      <c r="I80" s="108" t="e">
        <f>VLOOKUP(H80,[10]Presupuesto!$B$8:$C$585,2,0)</f>
        <v>#N/A</v>
      </c>
      <c r="J80" s="231" t="s">
        <v>559</v>
      </c>
      <c r="K80" s="108" t="s">
        <v>493</v>
      </c>
    </row>
    <row r="81" spans="3:11" x14ac:dyDescent="0.25">
      <c r="C81" s="109" t="s">
        <v>69</v>
      </c>
      <c r="D81" s="161">
        <v>2</v>
      </c>
      <c r="E81" s="110">
        <v>8000</v>
      </c>
      <c r="F81" s="107">
        <f t="shared" si="4"/>
        <v>16000</v>
      </c>
      <c r="G81" s="171" t="s">
        <v>207</v>
      </c>
      <c r="H81" s="192" t="s">
        <v>1188</v>
      </c>
      <c r="I81" s="108" t="str">
        <f>VLOOKUP(H81,[10]Presupuesto!$B$8:$C$585,2,0)</f>
        <v>MUEBLES VARIOS DE OFICINA</v>
      </c>
      <c r="J81" s="231" t="s">
        <v>559</v>
      </c>
      <c r="K81" s="108" t="s">
        <v>493</v>
      </c>
    </row>
    <row r="82" spans="3:11" x14ac:dyDescent="0.25">
      <c r="C82" s="109" t="s">
        <v>70</v>
      </c>
      <c r="D82" s="161">
        <v>0</v>
      </c>
      <c r="E82" s="110">
        <v>2000</v>
      </c>
      <c r="F82" s="107">
        <f t="shared" si="4"/>
        <v>0</v>
      </c>
      <c r="G82" s="171"/>
      <c r="H82" s="111">
        <v>42120</v>
      </c>
      <c r="I82" s="108" t="e">
        <f>VLOOKUP(H82,[10]Presupuesto!$B$8:$C$585,2,0)</f>
        <v>#N/A</v>
      </c>
      <c r="J82" s="231" t="s">
        <v>559</v>
      </c>
      <c r="K82" s="108" t="s">
        <v>493</v>
      </c>
    </row>
    <row r="83" spans="3:11" x14ac:dyDescent="0.25">
      <c r="C83" s="109" t="s">
        <v>71</v>
      </c>
      <c r="D83" s="161">
        <v>0</v>
      </c>
      <c r="E83" s="110">
        <v>5000</v>
      </c>
      <c r="F83" s="107">
        <f t="shared" si="4"/>
        <v>0</v>
      </c>
      <c r="G83" s="171"/>
      <c r="H83" s="111">
        <v>42120</v>
      </c>
      <c r="I83" s="108" t="e">
        <f>VLOOKUP(H83,[10]Presupuesto!$B$8:$C$585,2,0)</f>
        <v>#N/A</v>
      </c>
      <c r="J83" s="231" t="s">
        <v>559</v>
      </c>
      <c r="K83" s="108" t="s">
        <v>493</v>
      </c>
    </row>
    <row r="84" spans="3:11" ht="15.75" thickBot="1" x14ac:dyDescent="0.3">
      <c r="C84" s="112" t="s">
        <v>72</v>
      </c>
      <c r="D84" s="169">
        <v>0</v>
      </c>
      <c r="E84" s="114">
        <v>100000</v>
      </c>
      <c r="F84" s="115">
        <f t="shared" si="4"/>
        <v>0</v>
      </c>
      <c r="G84" s="172"/>
      <c r="H84" s="116">
        <v>42120</v>
      </c>
      <c r="I84" s="116" t="e">
        <f>VLOOKUP(H84,[10]Presupuesto!$B$8:$C$585,2,0)</f>
        <v>#N/A</v>
      </c>
      <c r="J84" s="231" t="s">
        <v>559</v>
      </c>
      <c r="K84" s="108" t="s">
        <v>493</v>
      </c>
    </row>
    <row r="86" spans="3:11" ht="15.75" thickBot="1" x14ac:dyDescent="0.3"/>
    <row r="87" spans="3:11" ht="15.75" thickBot="1" x14ac:dyDescent="0.3">
      <c r="C87" s="29" t="s">
        <v>43</v>
      </c>
      <c r="D87" s="30">
        <f>SUM(F94:F103)</f>
        <v>39000</v>
      </c>
      <c r="E87" s="188"/>
      <c r="F87" s="188"/>
      <c r="G87" s="87"/>
      <c r="H87" s="188"/>
      <c r="I87" s="188"/>
    </row>
    <row r="88" spans="3:11" x14ac:dyDescent="0.25">
      <c r="C88" s="69"/>
      <c r="D88" s="31"/>
      <c r="E88" s="103"/>
      <c r="F88" s="103"/>
      <c r="G88" s="103"/>
      <c r="H88" s="84"/>
      <c r="I88" s="84"/>
      <c r="J88" s="84"/>
      <c r="K88" s="122"/>
    </row>
    <row r="89" spans="3:11" x14ac:dyDescent="0.25">
      <c r="C89" s="69"/>
      <c r="D89" s="31"/>
      <c r="E89" s="103"/>
      <c r="F89" s="103"/>
      <c r="G89" s="103"/>
      <c r="H89" s="84"/>
      <c r="I89" s="84"/>
      <c r="J89" s="84"/>
      <c r="K89" s="122"/>
    </row>
    <row r="90" spans="3:11" ht="15.75" x14ac:dyDescent="0.25">
      <c r="C90" s="217" t="s">
        <v>471</v>
      </c>
      <c r="D90" s="218"/>
      <c r="E90" s="103"/>
      <c r="F90" s="103"/>
      <c r="G90" s="103"/>
      <c r="H90" s="84"/>
      <c r="I90" s="84"/>
      <c r="J90" s="84"/>
      <c r="K90" s="122"/>
    </row>
    <row r="91" spans="3:11" ht="18.75" x14ac:dyDescent="0.25">
      <c r="C91" s="220" t="e">
        <f>IFERROR(VLOOKUP(D90,'[11]Desarrollo Curricular'!$E:$F,2,FALSE),IFERROR(VLOOKUP(D90,[11]Investigación!$E:$F,2,FALSE),IFERROR(VLOOKUP(D90,'[11]Vinculación Univ. Sociedad'!$E:$F,2,FALSE),IFERROR(VLOOKUP(D90,'[11]Docencia y Recursos Humanos '!$E:$F,2,FALSE),IFERROR(VLOOKUP(D90,[11]Estudiantes!$E:$F,2,FALSE),IFERROR(VLOOKUP(D90,'[11]Gestion Administrativa'!$E:$F,2,FALSE),IFERROR(VLOOKUP(D90,'[11]Gestion Academica'!$E:$F,2,FALSE),IFERROR(VLOOKUP(D90,[11]Graduados!$E:$F,2,FALSE),IFERROR(VLOOKUP(D90,'[11]Gestión del Conocimiento'!$E:$F,2,FALSE),IFERROR(VLOOKUP(D90,[11]Gobernabilidad!$E:$F,2,FALSE),IFERROR(VLOOKUP(D90,'[11]NIVEL DE ES Y  SISTEMA NACIONAL'!$E:$F,2,FALSE),VLOOKUP(D90,'[11]Lo Esencial'!$E:$F,2,0))))))))))))</f>
        <v>#N/A</v>
      </c>
      <c r="D91" s="31"/>
      <c r="E91" s="103"/>
      <c r="F91" s="103"/>
      <c r="G91" s="103"/>
      <c r="H91" s="84"/>
      <c r="I91" s="84"/>
      <c r="J91" s="84"/>
      <c r="K91" s="122"/>
    </row>
    <row r="92" spans="3:11" ht="15.75" thickBot="1" x14ac:dyDescent="0.3">
      <c r="C92" s="69" t="s">
        <v>1895</v>
      </c>
      <c r="D92" s="31"/>
      <c r="E92" s="103"/>
      <c r="F92" s="103"/>
      <c r="G92" s="103"/>
      <c r="H92" s="84"/>
      <c r="I92" s="84"/>
      <c r="J92" s="84"/>
      <c r="K92" s="122"/>
    </row>
    <row r="93" spans="3:11" ht="30.75" thickBot="1" x14ac:dyDescent="0.3">
      <c r="C93" s="136" t="s">
        <v>44</v>
      </c>
      <c r="D93" s="138" t="s">
        <v>55</v>
      </c>
      <c r="E93" s="138" t="s">
        <v>57</v>
      </c>
      <c r="F93" s="137" t="s">
        <v>27</v>
      </c>
      <c r="G93" s="143" t="s">
        <v>208</v>
      </c>
      <c r="H93" s="138" t="s">
        <v>46</v>
      </c>
      <c r="I93" s="138" t="s">
        <v>209</v>
      </c>
      <c r="J93" s="138" t="s">
        <v>491</v>
      </c>
      <c r="K93" s="138" t="s">
        <v>492</v>
      </c>
    </row>
    <row r="94" spans="3:11" x14ac:dyDescent="0.25">
      <c r="C94" s="105" t="s">
        <v>63</v>
      </c>
      <c r="D94" s="168">
        <v>4</v>
      </c>
      <c r="E94" s="106">
        <v>2800</v>
      </c>
      <c r="F94" s="107">
        <f>D94*E94</f>
        <v>11200</v>
      </c>
      <c r="G94" s="171" t="s">
        <v>207</v>
      </c>
      <c r="H94" s="192" t="s">
        <v>1188</v>
      </c>
      <c r="I94" s="108" t="str">
        <f>VLOOKUP(H94,[11]Presupuesto!$B$8:$C$585,2,0)</f>
        <v>MUEBLES VARIOS DE OFICINA</v>
      </c>
      <c r="J94" s="231" t="s">
        <v>559</v>
      </c>
      <c r="K94" s="108" t="s">
        <v>493</v>
      </c>
    </row>
    <row r="95" spans="3:11" x14ac:dyDescent="0.25">
      <c r="C95" s="109" t="s">
        <v>64</v>
      </c>
      <c r="D95" s="161">
        <v>2</v>
      </c>
      <c r="E95" s="110">
        <v>2400</v>
      </c>
      <c r="F95" s="107">
        <f>D95*E95</f>
        <v>4800</v>
      </c>
      <c r="G95" s="171" t="s">
        <v>207</v>
      </c>
      <c r="H95" s="192" t="s">
        <v>1188</v>
      </c>
      <c r="I95" s="108" t="str">
        <f>VLOOKUP(H95,[11]Presupuesto!$B$8:$C$585,2,0)</f>
        <v>MUEBLES VARIOS DE OFICINA</v>
      </c>
      <c r="J95" s="231" t="s">
        <v>559</v>
      </c>
      <c r="K95" s="108" t="s">
        <v>493</v>
      </c>
    </row>
    <row r="96" spans="3:11" x14ac:dyDescent="0.25">
      <c r="C96" s="109" t="s">
        <v>65</v>
      </c>
      <c r="D96" s="161">
        <v>4</v>
      </c>
      <c r="E96" s="110">
        <v>1000</v>
      </c>
      <c r="F96" s="107">
        <f t="shared" ref="F96:F103" si="5">D96*E96</f>
        <v>4000</v>
      </c>
      <c r="G96" s="171" t="s">
        <v>207</v>
      </c>
      <c r="H96" s="192" t="s">
        <v>1188</v>
      </c>
      <c r="I96" s="108" t="str">
        <f>VLOOKUP(H96,[11]Presupuesto!$B$8:$C$585,2,0)</f>
        <v>MUEBLES VARIOS DE OFICINA</v>
      </c>
      <c r="J96" s="231" t="s">
        <v>559</v>
      </c>
      <c r="K96" s="108" t="s">
        <v>493</v>
      </c>
    </row>
    <row r="97" spans="3:11" x14ac:dyDescent="0.25">
      <c r="C97" s="109" t="s">
        <v>66</v>
      </c>
      <c r="D97" s="161">
        <v>0</v>
      </c>
      <c r="E97" s="110">
        <v>6000</v>
      </c>
      <c r="F97" s="107">
        <f t="shared" si="5"/>
        <v>0</v>
      </c>
      <c r="G97" s="171" t="s">
        <v>207</v>
      </c>
      <c r="H97" s="111" t="s">
        <v>332</v>
      </c>
      <c r="I97" s="108" t="str">
        <f>VLOOKUP(H97,[11]Presupuesto!$B$8:$C$585,2,0)</f>
        <v>SUELDOS Y SALARIOS BASICOS (11100-00)</v>
      </c>
      <c r="J97" s="231" t="s">
        <v>559</v>
      </c>
      <c r="K97" s="108" t="s">
        <v>493</v>
      </c>
    </row>
    <row r="98" spans="3:11" x14ac:dyDescent="0.25">
      <c r="C98" s="109" t="s">
        <v>67</v>
      </c>
      <c r="D98" s="161">
        <v>1</v>
      </c>
      <c r="E98" s="110">
        <v>3000</v>
      </c>
      <c r="F98" s="107">
        <f t="shared" si="5"/>
        <v>3000</v>
      </c>
      <c r="G98" s="171" t="s">
        <v>207</v>
      </c>
      <c r="H98" s="192" t="s">
        <v>1188</v>
      </c>
      <c r="I98" s="108" t="str">
        <f>VLOOKUP(H98,[11]Presupuesto!$B$8:$C$585,2,0)</f>
        <v>MUEBLES VARIOS DE OFICINA</v>
      </c>
      <c r="J98" s="231" t="s">
        <v>559</v>
      </c>
      <c r="K98" s="108" t="s">
        <v>493</v>
      </c>
    </row>
    <row r="99" spans="3:11" x14ac:dyDescent="0.25">
      <c r="C99" s="109" t="s">
        <v>68</v>
      </c>
      <c r="D99" s="161">
        <v>0</v>
      </c>
      <c r="E99" s="110">
        <v>10000</v>
      </c>
      <c r="F99" s="107">
        <f t="shared" si="5"/>
        <v>0</v>
      </c>
      <c r="G99" s="171"/>
      <c r="H99" s="111">
        <v>42110</v>
      </c>
      <c r="I99" s="108" t="e">
        <f>VLOOKUP(H99,[11]Presupuesto!$B$8:$C$585,2,0)</f>
        <v>#N/A</v>
      </c>
      <c r="J99" s="231" t="s">
        <v>559</v>
      </c>
      <c r="K99" s="108" t="s">
        <v>493</v>
      </c>
    </row>
    <row r="100" spans="3:11" x14ac:dyDescent="0.25">
      <c r="C100" s="109" t="s">
        <v>69</v>
      </c>
      <c r="D100" s="161">
        <v>2</v>
      </c>
      <c r="E100" s="110">
        <v>8000</v>
      </c>
      <c r="F100" s="107">
        <f t="shared" si="5"/>
        <v>16000</v>
      </c>
      <c r="G100" s="171" t="s">
        <v>207</v>
      </c>
      <c r="H100" s="192" t="s">
        <v>1188</v>
      </c>
      <c r="I100" s="108" t="str">
        <f>VLOOKUP(H100,[11]Presupuesto!$B$8:$C$585,2,0)</f>
        <v>MUEBLES VARIOS DE OFICINA</v>
      </c>
      <c r="J100" s="231" t="s">
        <v>559</v>
      </c>
      <c r="K100" s="108" t="s">
        <v>493</v>
      </c>
    </row>
    <row r="101" spans="3:11" x14ac:dyDescent="0.25">
      <c r="C101" s="109" t="s">
        <v>70</v>
      </c>
      <c r="D101" s="161">
        <v>0</v>
      </c>
      <c r="E101" s="110">
        <v>2000</v>
      </c>
      <c r="F101" s="107">
        <f t="shared" si="5"/>
        <v>0</v>
      </c>
      <c r="G101" s="171"/>
      <c r="H101" s="111">
        <v>42120</v>
      </c>
      <c r="I101" s="108" t="e">
        <f>VLOOKUP(H101,[11]Presupuesto!$B$8:$C$585,2,0)</f>
        <v>#N/A</v>
      </c>
      <c r="J101" s="231" t="s">
        <v>559</v>
      </c>
      <c r="K101" s="108" t="s">
        <v>493</v>
      </c>
    </row>
    <row r="102" spans="3:11" x14ac:dyDescent="0.25">
      <c r="C102" s="109" t="s">
        <v>71</v>
      </c>
      <c r="D102" s="161">
        <v>0</v>
      </c>
      <c r="E102" s="110">
        <v>5000</v>
      </c>
      <c r="F102" s="107">
        <f t="shared" si="5"/>
        <v>0</v>
      </c>
      <c r="G102" s="171"/>
      <c r="H102" s="111">
        <v>42120</v>
      </c>
      <c r="I102" s="108" t="e">
        <f>VLOOKUP(H102,[11]Presupuesto!$B$8:$C$585,2,0)</f>
        <v>#N/A</v>
      </c>
      <c r="J102" s="231" t="s">
        <v>559</v>
      </c>
      <c r="K102" s="108" t="s">
        <v>493</v>
      </c>
    </row>
    <row r="103" spans="3:11" ht="15.75" thickBot="1" x14ac:dyDescent="0.3">
      <c r="C103" s="112" t="s">
        <v>72</v>
      </c>
      <c r="D103" s="169">
        <v>0</v>
      </c>
      <c r="E103" s="114">
        <v>100000</v>
      </c>
      <c r="F103" s="115">
        <f t="shared" si="5"/>
        <v>0</v>
      </c>
      <c r="G103" s="172"/>
      <c r="H103" s="116">
        <v>42120</v>
      </c>
      <c r="I103" s="116" t="e">
        <f>VLOOKUP(H103,[11]Presupuesto!$B$8:$C$585,2,0)</f>
        <v>#N/A</v>
      </c>
      <c r="J103" s="231" t="s">
        <v>559</v>
      </c>
      <c r="K103" s="108" t="s">
        <v>493</v>
      </c>
    </row>
    <row r="105" spans="3:11" ht="15.75" thickBot="1" x14ac:dyDescent="0.3"/>
    <row r="106" spans="3:11" ht="15.75" thickBot="1" x14ac:dyDescent="0.3">
      <c r="C106" s="29" t="s">
        <v>43</v>
      </c>
      <c r="D106" s="30">
        <f>SUM(F113:F122)</f>
        <v>113200</v>
      </c>
      <c r="E106" s="188"/>
      <c r="F106" s="188"/>
      <c r="G106" s="87"/>
      <c r="H106" s="188"/>
      <c r="I106" s="188"/>
    </row>
    <row r="107" spans="3:11" x14ac:dyDescent="0.25">
      <c r="C107" s="69"/>
      <c r="D107" s="31"/>
      <c r="E107" s="103"/>
      <c r="F107" s="103"/>
      <c r="G107" s="103"/>
      <c r="H107" s="84"/>
      <c r="I107" s="84"/>
      <c r="J107" s="84"/>
      <c r="K107" s="122"/>
    </row>
    <row r="108" spans="3:11" x14ac:dyDescent="0.25">
      <c r="C108" s="69"/>
      <c r="D108" s="31"/>
      <c r="E108" s="103"/>
      <c r="F108" s="103"/>
      <c r="G108" s="103"/>
      <c r="H108" s="84"/>
      <c r="I108" s="84"/>
      <c r="J108" s="84"/>
      <c r="K108" s="122"/>
    </row>
    <row r="109" spans="3:11" ht="15.75" x14ac:dyDescent="0.25">
      <c r="C109" s="217" t="s">
        <v>471</v>
      </c>
      <c r="D109" s="218" t="e">
        <f>'[5]Docencia y Recursos Humanos '!E239</f>
        <v>#REF!</v>
      </c>
      <c r="E109" s="103"/>
      <c r="F109" s="103"/>
      <c r="G109" s="103"/>
      <c r="H109" s="84"/>
      <c r="I109" s="84"/>
      <c r="J109" s="84"/>
      <c r="K109" s="122"/>
    </row>
    <row r="110" spans="3:11" ht="18.75" x14ac:dyDescent="0.25">
      <c r="C110" s="220" t="e">
        <f>IFERROR(VLOOKUP(D109,'[5]Desarrollo Curricular'!$E:$F,2,FALSE),IFERROR(VLOOKUP(D109,[5]Investigación!$E:$F,2,FALSE),IFERROR(VLOOKUP(D109,'[5]Vinculación Univ. Sociedad'!$E:$F,2,FALSE),IFERROR(VLOOKUP(D109,'[5]Docencia y Recursos Humanos '!$E:$F,2,FALSE),IFERROR(VLOOKUP(D109,[5]Estudiantes!$E:$F,2,FALSE),IFERROR(VLOOKUP(D109,'[5]Gestion Administrativa'!$E:$F,2,FALSE),IFERROR(VLOOKUP(D109,'[5]Gestion Academica'!$E:$F,2,FALSE),IFERROR(VLOOKUP(D109,[5]Graduados!$E:$F,2,FALSE),IFERROR(VLOOKUP(D109,'[5]Gestión del Conocimiento'!$E:$F,2,FALSE),IFERROR(VLOOKUP(D109,[5]Gobernabilidad!$E:$F,2,FALSE),IFERROR(VLOOKUP(D109,'[5]NIVEL DE ES Y  SISTEMA NACIONAL'!$E:$F,2,FALSE),VLOOKUP(D109,'[5]Lo Esencial'!$E:$F,2,0))))))))))))</f>
        <v>#REF!</v>
      </c>
      <c r="D110" s="31"/>
      <c r="E110" s="103"/>
      <c r="F110" s="103"/>
      <c r="G110" s="103"/>
      <c r="H110" s="84"/>
      <c r="I110" s="84"/>
      <c r="J110" s="84"/>
      <c r="K110" s="122"/>
    </row>
    <row r="111" spans="3:11" ht="15.75" thickBot="1" x14ac:dyDescent="0.3">
      <c r="C111" s="69" t="s">
        <v>2009</v>
      </c>
      <c r="D111" s="31"/>
      <c r="E111" s="103"/>
      <c r="F111" s="103"/>
      <c r="G111" s="103"/>
      <c r="H111" s="84"/>
      <c r="I111" s="84"/>
      <c r="J111" s="84"/>
      <c r="K111" s="122"/>
    </row>
    <row r="112" spans="3:11" ht="30.75" thickBot="1" x14ac:dyDescent="0.3">
      <c r="C112" s="136" t="s">
        <v>44</v>
      </c>
      <c r="D112" s="138" t="s">
        <v>55</v>
      </c>
      <c r="E112" s="138" t="s">
        <v>57</v>
      </c>
      <c r="F112" s="137" t="s">
        <v>27</v>
      </c>
      <c r="G112" s="143" t="s">
        <v>208</v>
      </c>
      <c r="H112" s="138" t="s">
        <v>46</v>
      </c>
      <c r="I112" s="138" t="s">
        <v>209</v>
      </c>
      <c r="J112" s="138" t="s">
        <v>491</v>
      </c>
      <c r="K112" s="138" t="s">
        <v>492</v>
      </c>
    </row>
    <row r="113" spans="3:11" x14ac:dyDescent="0.25">
      <c r="C113" s="105" t="s">
        <v>63</v>
      </c>
      <c r="D113" s="593">
        <v>9</v>
      </c>
      <c r="E113" s="106">
        <v>2800</v>
      </c>
      <c r="F113" s="107">
        <f t="shared" ref="F113:F122" si="6">D113*E113</f>
        <v>25200</v>
      </c>
      <c r="G113" s="171" t="s">
        <v>207</v>
      </c>
      <c r="H113" s="594" t="s">
        <v>1190</v>
      </c>
      <c r="I113" s="108" t="str">
        <f>VLOOKUP(H113,[5]Presupuesto!$B$8:$C$583,2,0)</f>
        <v>MUEBLES VARIOS DE OFICINA</v>
      </c>
      <c r="J113" s="231" t="s">
        <v>202</v>
      </c>
      <c r="K113" s="108" t="s">
        <v>476</v>
      </c>
    </row>
    <row r="114" spans="3:11" x14ac:dyDescent="0.25">
      <c r="C114" s="577" t="s">
        <v>64</v>
      </c>
      <c r="D114" s="595">
        <v>0</v>
      </c>
      <c r="E114" s="579">
        <v>2400</v>
      </c>
      <c r="F114" s="107">
        <f t="shared" si="6"/>
        <v>0</v>
      </c>
      <c r="G114" s="171" t="s">
        <v>207</v>
      </c>
      <c r="H114" s="594" t="s">
        <v>1188</v>
      </c>
      <c r="I114" s="108" t="str">
        <f>VLOOKUP(H114,[5]Presupuesto!$B$8:$C$583,2,0)</f>
        <v>MUEBLES VARIOS DE OFICINA</v>
      </c>
      <c r="J114" s="108" t="str">
        <f>'4. EQUIPO TECNOLÓGICOS'!$J$17</f>
        <v>Investigación</v>
      </c>
      <c r="K114" s="108" t="s">
        <v>476</v>
      </c>
    </row>
    <row r="115" spans="3:11" x14ac:dyDescent="0.25">
      <c r="C115" s="577" t="s">
        <v>65</v>
      </c>
      <c r="D115" s="595">
        <v>12</v>
      </c>
      <c r="E115" s="579">
        <v>1000</v>
      </c>
      <c r="F115" s="107">
        <f t="shared" si="6"/>
        <v>12000</v>
      </c>
      <c r="G115" s="171" t="s">
        <v>207</v>
      </c>
      <c r="H115" s="594" t="s">
        <v>1190</v>
      </c>
      <c r="I115" s="108" t="str">
        <f>VLOOKUP(H115,[5]Presupuesto!$B$8:$C$583,2,0)</f>
        <v>MUEBLES VARIOS DE OFICINA</v>
      </c>
      <c r="J115" s="108" t="str">
        <f>'4. EQUIPO TECNOLÓGICOS'!$J$17</f>
        <v>Investigación</v>
      </c>
      <c r="K115" s="108" t="s">
        <v>476</v>
      </c>
    </row>
    <row r="116" spans="3:11" x14ac:dyDescent="0.25">
      <c r="C116" s="577" t="s">
        <v>66</v>
      </c>
      <c r="D116" s="595">
        <v>4</v>
      </c>
      <c r="E116" s="579">
        <v>6000</v>
      </c>
      <c r="F116" s="107">
        <f t="shared" si="6"/>
        <v>24000</v>
      </c>
      <c r="G116" s="171" t="s">
        <v>207</v>
      </c>
      <c r="H116" s="594" t="s">
        <v>1190</v>
      </c>
      <c r="I116" s="108" t="str">
        <f>VLOOKUP(H116,[5]Presupuesto!$B$8:$C$583,2,0)</f>
        <v>MUEBLES VARIOS DE OFICINA</v>
      </c>
      <c r="J116" s="108" t="str">
        <f>'4. EQUIPO TECNOLÓGICOS'!$J$17</f>
        <v>Investigación</v>
      </c>
      <c r="K116" s="108" t="s">
        <v>476</v>
      </c>
    </row>
    <row r="117" spans="3:11" x14ac:dyDescent="0.25">
      <c r="C117" s="577" t="s">
        <v>67</v>
      </c>
      <c r="D117" s="595">
        <v>1</v>
      </c>
      <c r="E117" s="579">
        <v>3000</v>
      </c>
      <c r="F117" s="107">
        <f t="shared" si="6"/>
        <v>3000</v>
      </c>
      <c r="G117" s="171" t="s">
        <v>207</v>
      </c>
      <c r="H117" s="594" t="s">
        <v>1190</v>
      </c>
      <c r="I117" s="108" t="str">
        <f>VLOOKUP(H117,[5]Presupuesto!$B$8:$C$583,2,0)</f>
        <v>MUEBLES VARIOS DE OFICINA</v>
      </c>
      <c r="J117" s="108" t="str">
        <f>'4. EQUIPO TECNOLÓGICOS'!$J$17</f>
        <v>Investigación</v>
      </c>
      <c r="K117" s="108" t="s">
        <v>476</v>
      </c>
    </row>
    <row r="118" spans="3:11" x14ac:dyDescent="0.25">
      <c r="C118" s="577" t="s">
        <v>68</v>
      </c>
      <c r="D118" s="595">
        <v>1</v>
      </c>
      <c r="E118" s="579">
        <v>10000</v>
      </c>
      <c r="F118" s="107">
        <f t="shared" si="6"/>
        <v>10000</v>
      </c>
      <c r="G118" s="171" t="s">
        <v>207</v>
      </c>
      <c r="H118" s="594" t="s">
        <v>1190</v>
      </c>
      <c r="I118" s="108" t="str">
        <f>VLOOKUP(H118,[5]Presupuesto!$B$8:$C$583,2,0)</f>
        <v>MUEBLES VARIOS DE OFICINA</v>
      </c>
      <c r="J118" s="108" t="str">
        <f>'4. EQUIPO TECNOLÓGICOS'!$J$17</f>
        <v>Investigación</v>
      </c>
      <c r="K118" s="108" t="s">
        <v>476</v>
      </c>
    </row>
    <row r="119" spans="3:11" x14ac:dyDescent="0.25">
      <c r="C119" s="577" t="s">
        <v>69</v>
      </c>
      <c r="D119" s="595">
        <v>4</v>
      </c>
      <c r="E119" s="579">
        <v>8000</v>
      </c>
      <c r="F119" s="107">
        <f t="shared" si="6"/>
        <v>32000</v>
      </c>
      <c r="G119" s="171" t="s">
        <v>207</v>
      </c>
      <c r="H119" s="594" t="s">
        <v>1191</v>
      </c>
      <c r="I119" s="108" t="str">
        <f>VLOOKUP(H119,[5]Presupuesto!$B$8:$C$583,2,0)</f>
        <v>EQUIPOS VARIOS DE OFICINA</v>
      </c>
      <c r="J119" s="108" t="str">
        <f>'4. EQUIPO TECNOLÓGICOS'!$J$17</f>
        <v>Investigación</v>
      </c>
      <c r="K119" s="108" t="s">
        <v>476</v>
      </c>
    </row>
    <row r="120" spans="3:11" x14ac:dyDescent="0.25">
      <c r="C120" s="577" t="s">
        <v>70</v>
      </c>
      <c r="D120" s="595">
        <v>1</v>
      </c>
      <c r="E120" s="579">
        <v>2000</v>
      </c>
      <c r="F120" s="107">
        <f t="shared" si="6"/>
        <v>2000</v>
      </c>
      <c r="G120" s="171" t="s">
        <v>207</v>
      </c>
      <c r="H120" s="594" t="s">
        <v>1191</v>
      </c>
      <c r="I120" s="108" t="str">
        <f>VLOOKUP(H120,[5]Presupuesto!$B$8:$C$583,2,0)</f>
        <v>EQUIPOS VARIOS DE OFICINA</v>
      </c>
      <c r="J120" s="108" t="str">
        <f>'4. EQUIPO TECNOLÓGICOS'!$J$17</f>
        <v>Investigación</v>
      </c>
      <c r="K120" s="108" t="s">
        <v>476</v>
      </c>
    </row>
    <row r="121" spans="3:11" x14ac:dyDescent="0.25">
      <c r="C121" s="577" t="s">
        <v>71</v>
      </c>
      <c r="D121" s="595">
        <v>1</v>
      </c>
      <c r="E121" s="579">
        <v>5000</v>
      </c>
      <c r="F121" s="107">
        <f t="shared" si="6"/>
        <v>5000</v>
      </c>
      <c r="G121" s="171" t="s">
        <v>207</v>
      </c>
      <c r="H121" s="594" t="s">
        <v>1191</v>
      </c>
      <c r="I121" s="108" t="str">
        <f>VLOOKUP(H121,[5]Presupuesto!$B$8:$C$583,2,0)</f>
        <v>EQUIPOS VARIOS DE OFICINA</v>
      </c>
      <c r="J121" s="108" t="str">
        <f>'4. EQUIPO TECNOLÓGICOS'!$J$17</f>
        <v>Investigación</v>
      </c>
      <c r="K121" s="108" t="s">
        <v>480</v>
      </c>
    </row>
    <row r="122" spans="3:11" x14ac:dyDescent="0.25">
      <c r="C122" s="577" t="s">
        <v>72</v>
      </c>
      <c r="D122" s="595">
        <v>0</v>
      </c>
      <c r="E122" s="579">
        <v>100000</v>
      </c>
      <c r="F122" s="107">
        <f t="shared" si="6"/>
        <v>0</v>
      </c>
      <c r="G122" s="171" t="s">
        <v>207</v>
      </c>
      <c r="H122" s="594" t="s">
        <v>1191</v>
      </c>
      <c r="I122" s="108" t="str">
        <f>VLOOKUP(H122,[5]Presupuesto!$B$8:$C$583,2,0)</f>
        <v>EQUIPOS VARIOS DE OFICINA</v>
      </c>
      <c r="J122" s="108" t="str">
        <f>'4. EQUIPO TECNOLÓGICOS'!$J$17</f>
        <v>Investigación</v>
      </c>
      <c r="K122" s="108"/>
    </row>
    <row r="124" spans="3:11" ht="15.75" thickBot="1" x14ac:dyDescent="0.3"/>
    <row r="125" spans="3:11" ht="15.75" thickBot="1" x14ac:dyDescent="0.3">
      <c r="C125" s="29" t="s">
        <v>43</v>
      </c>
      <c r="D125" s="30">
        <f>SUM(F132:F134)</f>
        <v>42150</v>
      </c>
      <c r="E125" s="188"/>
      <c r="F125" s="188"/>
      <c r="G125" s="87"/>
      <c r="H125" s="188"/>
      <c r="I125" s="188"/>
    </row>
    <row r="126" spans="3:11" x14ac:dyDescent="0.25">
      <c r="C126" s="69"/>
      <c r="D126" s="31"/>
      <c r="E126" s="103"/>
      <c r="F126" s="103"/>
      <c r="G126" s="103"/>
      <c r="H126" s="84"/>
      <c r="I126" s="84"/>
      <c r="J126" s="84"/>
      <c r="K126" s="122"/>
    </row>
    <row r="127" spans="3:11" x14ac:dyDescent="0.25">
      <c r="C127" s="69" t="s">
        <v>2023</v>
      </c>
      <c r="D127" s="31"/>
      <c r="E127" s="103"/>
      <c r="F127" s="103"/>
      <c r="G127" s="103"/>
      <c r="H127" s="84"/>
      <c r="I127" s="84"/>
      <c r="J127" s="84"/>
      <c r="K127" s="122"/>
    </row>
    <row r="128" spans="3:11" ht="15.75" x14ac:dyDescent="0.25">
      <c r="C128" s="217" t="s">
        <v>471</v>
      </c>
      <c r="D128" s="218">
        <f>+[6]Estudiantes!E123</f>
        <v>0</v>
      </c>
      <c r="E128" s="103"/>
      <c r="F128" s="103"/>
      <c r="G128" s="103"/>
      <c r="H128" s="84"/>
      <c r="I128" s="84"/>
      <c r="J128" s="84"/>
      <c r="K128" s="122"/>
    </row>
    <row r="129" spans="3:11" ht="18.75" x14ac:dyDescent="0.25">
      <c r="C129" s="616" t="s">
        <v>2029</v>
      </c>
      <c r="D129" s="617"/>
      <c r="E129" s="625"/>
      <c r="F129" s="625"/>
      <c r="G129" s="625"/>
      <c r="H129" s="626"/>
      <c r="I129" s="626"/>
      <c r="J129" s="626"/>
      <c r="K129" s="122"/>
    </row>
    <row r="130" spans="3:11" ht="15.75" thickBot="1" x14ac:dyDescent="0.3">
      <c r="C130" s="69"/>
      <c r="D130" s="31"/>
      <c r="E130" s="103"/>
      <c r="F130" s="103"/>
      <c r="G130" s="103"/>
      <c r="H130" s="84"/>
      <c r="I130" s="84"/>
      <c r="J130" s="84"/>
      <c r="K130" s="122"/>
    </row>
    <row r="131" spans="3:11" ht="30.75" thickBot="1" x14ac:dyDescent="0.3">
      <c r="C131" s="136" t="s">
        <v>44</v>
      </c>
      <c r="D131" s="138" t="s">
        <v>55</v>
      </c>
      <c r="E131" s="138" t="s">
        <v>57</v>
      </c>
      <c r="F131" s="137" t="s">
        <v>27</v>
      </c>
      <c r="G131" s="143" t="s">
        <v>208</v>
      </c>
      <c r="H131" s="138" t="s">
        <v>46</v>
      </c>
      <c r="I131" s="138" t="s">
        <v>209</v>
      </c>
      <c r="J131" s="138" t="s">
        <v>491</v>
      </c>
      <c r="K131" s="138" t="s">
        <v>492</v>
      </c>
    </row>
    <row r="132" spans="3:11" x14ac:dyDescent="0.25">
      <c r="C132" s="577" t="s">
        <v>65</v>
      </c>
      <c r="D132" s="580">
        <v>45</v>
      </c>
      <c r="E132" s="579">
        <v>765</v>
      </c>
      <c r="F132" s="107">
        <f>D132*E132</f>
        <v>34425</v>
      </c>
      <c r="G132" s="171" t="s">
        <v>207</v>
      </c>
      <c r="H132" s="594" t="s">
        <v>1188</v>
      </c>
      <c r="I132" s="108" t="str">
        <f>VLOOKUP(H132,[6]Presupuesto!$B$8:$C$583,2,0)</f>
        <v>MUEBLES VARIOS DE OFICINA</v>
      </c>
      <c r="J132" s="108" t="s">
        <v>166</v>
      </c>
      <c r="K132" s="108" t="s">
        <v>482</v>
      </c>
    </row>
    <row r="133" spans="3:11" x14ac:dyDescent="0.25">
      <c r="C133" s="577" t="s">
        <v>2030</v>
      </c>
      <c r="D133" s="580">
        <v>2</v>
      </c>
      <c r="E133" s="579">
        <v>750</v>
      </c>
      <c r="F133" s="107">
        <f>D133*E133</f>
        <v>1500</v>
      </c>
      <c r="G133" s="171" t="s">
        <v>207</v>
      </c>
      <c r="H133" s="594" t="s">
        <v>703</v>
      </c>
      <c r="I133" s="108" t="str">
        <f>VLOOKUP(H133,[6]Presupuesto!$B$8:$C$583,2,0)</f>
        <v>PAGOS A PERSONAL NO CLASIFICADO</v>
      </c>
      <c r="J133" s="108" t="s">
        <v>166</v>
      </c>
      <c r="K133" s="108" t="s">
        <v>482</v>
      </c>
    </row>
    <row r="134" spans="3:11" x14ac:dyDescent="0.25">
      <c r="C134" s="577" t="s">
        <v>68</v>
      </c>
      <c r="D134" s="580">
        <v>5</v>
      </c>
      <c r="E134" s="579">
        <v>1245</v>
      </c>
      <c r="F134" s="107">
        <f>D134*E134</f>
        <v>6225</v>
      </c>
      <c r="G134" s="171" t="s">
        <v>207</v>
      </c>
      <c r="H134" s="594" t="s">
        <v>1188</v>
      </c>
      <c r="I134" s="108" t="str">
        <f>VLOOKUP(H134,[6]Presupuesto!$B$8:$C$583,2,0)</f>
        <v>MUEBLES VARIOS DE OFICINA</v>
      </c>
      <c r="J134" s="108" t="s">
        <v>166</v>
      </c>
      <c r="K134" s="108" t="s">
        <v>482</v>
      </c>
    </row>
  </sheetData>
  <dataValidations count="4">
    <dataValidation type="list" allowBlank="1" showInputMessage="1" showErrorMessage="1" errorTitle="¡Ingreso Invalido!" error="Seleccione una opción de la lista" promptTitle="Tipo de Presupuesto" prompt="Seleccione una opción de la lista" sqref="G17:G26 G36:G45 G56:G65 G75:G84 G94:G103 G113:G122 G132:G134">
      <formula1>$R$2:$S$2</formula1>
    </dataValidation>
    <dataValidation type="list" allowBlank="1" showInputMessage="1" showErrorMessage="1" errorTitle="¡Ingreso Inválido!" error="Seleccione una opción de la lista" promptTitle="Mes Requerido" prompt="Seleccione el mes en el que requiere el recurso." sqref="K17:K26 K36:K45 K56:K65 K75:K84 K94:K103 K113:K122 K132:K134">
      <formula1>$U$2:$AF$2</formula1>
    </dataValidation>
    <dataValidation type="list" allowBlank="1" showInputMessage="1" showErrorMessage="1" errorTitle="¡Ingreso Inválido!" error="Seleccione una opción de la lista." promptTitle="Dimensión Estratégica" prompt="Seleccione una opción de la lista." sqref="J17:J26 J36:J45 J56:J65 J75:J84 J94:J103 J113:J122 J132:J134">
      <formula1>$A$2:$K$2</formula1>
    </dataValidation>
    <dataValidation type="list" allowBlank="1" showInputMessage="1" showErrorMessage="1" errorTitle="¡Ingreso Inválido!" error="Verifique el valor ingresado." promptTitle="Objeto de Gasto" prompt="Ingrese el Objeto de Gasto." sqref="H17:H26 H36:H45 H56:H65 H75:H84 H94:H103 H113:H122 H132:H134">
      <formula1>$A$1:$VD$1</formula1>
    </dataValidation>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80"/>
  <sheetViews>
    <sheetView showGridLines="0" topLeftCell="A67" zoomScale="86" zoomScaleNormal="86" workbookViewId="0">
      <selection activeCell="F19" sqref="F19"/>
    </sheetView>
  </sheetViews>
  <sheetFormatPr baseColWidth="10" defaultColWidth="11.5703125" defaultRowHeight="15" x14ac:dyDescent="0.25"/>
  <cols>
    <col min="1" max="1" width="1.85546875" style="95" customWidth="1"/>
    <col min="2" max="2" width="17" style="95" customWidth="1"/>
    <col min="3" max="3" width="53.42578125" style="95" customWidth="1"/>
    <col min="4" max="4" width="34" style="95" customWidth="1"/>
    <col min="5" max="5" width="13.85546875" style="95" customWidth="1"/>
    <col min="6" max="6" width="21.85546875" style="95" customWidth="1"/>
    <col min="7" max="7" width="16.5703125" style="85" customWidth="1"/>
    <col min="8" max="8" width="14.28515625" style="95" customWidth="1"/>
    <col min="9" max="9" width="40.28515625" style="95" customWidth="1"/>
    <col min="10" max="10" width="28.140625" style="95" bestFit="1" customWidth="1"/>
    <col min="11" max="11" width="19.85546875" style="95" bestFit="1" customWidth="1"/>
    <col min="12" max="16384" width="11.5703125" style="95"/>
  </cols>
  <sheetData>
    <row r="1" spans="1:576" ht="26.25" hidden="1" x14ac:dyDescent="0.25">
      <c r="A1" s="198"/>
      <c r="B1" s="201"/>
      <c r="C1" s="192" t="s">
        <v>332</v>
      </c>
      <c r="D1" s="192" t="s">
        <v>701</v>
      </c>
      <c r="E1" s="192" t="s">
        <v>703</v>
      </c>
      <c r="F1" s="192" t="s">
        <v>705</v>
      </c>
      <c r="G1" s="192" t="s">
        <v>707</v>
      </c>
      <c r="H1" s="192" t="s">
        <v>709</v>
      </c>
      <c r="I1" s="192" t="s">
        <v>711</v>
      </c>
      <c r="J1" s="192" t="s">
        <v>333</v>
      </c>
      <c r="K1" s="192" t="s">
        <v>714</v>
      </c>
      <c r="L1" s="192" t="s">
        <v>334</v>
      </c>
      <c r="M1" s="192" t="s">
        <v>716</v>
      </c>
      <c r="N1" s="192" t="s">
        <v>718</v>
      </c>
      <c r="O1" s="192" t="s">
        <v>720</v>
      </c>
      <c r="P1" s="192" t="s">
        <v>335</v>
      </c>
      <c r="Q1" s="192" t="s">
        <v>721</v>
      </c>
      <c r="R1" s="192" t="s">
        <v>724</v>
      </c>
      <c r="S1" s="192" t="s">
        <v>336</v>
      </c>
      <c r="T1" s="192" t="s">
        <v>726</v>
      </c>
      <c r="U1" s="192" t="s">
        <v>337</v>
      </c>
      <c r="V1" s="192" t="s">
        <v>727</v>
      </c>
      <c r="W1" s="192" t="s">
        <v>728</v>
      </c>
      <c r="X1" s="192" t="s">
        <v>732</v>
      </c>
      <c r="Y1" s="192" t="s">
        <v>329</v>
      </c>
      <c r="Z1" s="192" t="s">
        <v>747</v>
      </c>
      <c r="AA1" s="201"/>
      <c r="AB1" s="192" t="s">
        <v>749</v>
      </c>
      <c r="AC1" s="192" t="s">
        <v>339</v>
      </c>
      <c r="AD1" s="192" t="s">
        <v>751</v>
      </c>
      <c r="AE1" s="192" t="s">
        <v>753</v>
      </c>
      <c r="AF1" s="192" t="s">
        <v>340</v>
      </c>
      <c r="AG1" s="192" t="s">
        <v>755</v>
      </c>
      <c r="AH1" s="192" t="s">
        <v>757</v>
      </c>
      <c r="AI1" s="192" t="s">
        <v>341</v>
      </c>
      <c r="AJ1" s="192" t="s">
        <v>758</v>
      </c>
      <c r="AK1" s="192" t="s">
        <v>760</v>
      </c>
      <c r="AL1" s="192" t="s">
        <v>761</v>
      </c>
      <c r="AM1" s="192" t="s">
        <v>762</v>
      </c>
      <c r="AN1" s="192" t="s">
        <v>764</v>
      </c>
      <c r="AO1" s="192" t="s">
        <v>766</v>
      </c>
      <c r="AP1" s="192" t="s">
        <v>767</v>
      </c>
      <c r="AQ1" s="192" t="s">
        <v>342</v>
      </c>
      <c r="AR1" s="192" t="s">
        <v>769</v>
      </c>
      <c r="AS1" s="192" t="s">
        <v>771</v>
      </c>
      <c r="AT1" s="192" t="s">
        <v>773</v>
      </c>
      <c r="AU1" s="192" t="s">
        <v>775</v>
      </c>
      <c r="AV1" s="192" t="s">
        <v>777</v>
      </c>
      <c r="AW1" s="192" t="s">
        <v>779</v>
      </c>
      <c r="AX1" s="192" t="s">
        <v>781</v>
      </c>
      <c r="AY1" s="192" t="s">
        <v>783</v>
      </c>
      <c r="AZ1" s="201"/>
      <c r="BA1" s="192" t="s">
        <v>344</v>
      </c>
      <c r="BB1" s="192" t="s">
        <v>805</v>
      </c>
      <c r="BC1" s="192" t="s">
        <v>345</v>
      </c>
      <c r="BD1" s="192" t="s">
        <v>807</v>
      </c>
      <c r="BE1" s="192" t="s">
        <v>809</v>
      </c>
      <c r="BF1" s="201"/>
      <c r="BG1" s="192" t="s">
        <v>347</v>
      </c>
      <c r="BH1" s="192" t="s">
        <v>811</v>
      </c>
      <c r="BI1" s="192" t="s">
        <v>348</v>
      </c>
      <c r="BJ1" s="192" t="s">
        <v>813</v>
      </c>
      <c r="BK1" s="192" t="s">
        <v>815</v>
      </c>
      <c r="BL1" s="192" t="s">
        <v>817</v>
      </c>
      <c r="BM1" s="201"/>
      <c r="BN1" s="192" t="s">
        <v>823</v>
      </c>
      <c r="BO1" s="192" t="s">
        <v>825</v>
      </c>
      <c r="BP1" s="192" t="s">
        <v>350</v>
      </c>
      <c r="BQ1" s="192" t="s">
        <v>819</v>
      </c>
      <c r="BR1" s="192" t="s">
        <v>821</v>
      </c>
      <c r="BS1" s="192" t="s">
        <v>351</v>
      </c>
      <c r="BT1" s="192" t="s">
        <v>827</v>
      </c>
      <c r="BU1" s="192" t="s">
        <v>352</v>
      </c>
      <c r="BV1" s="192" t="s">
        <v>828</v>
      </c>
      <c r="BW1" s="189"/>
      <c r="BX1" s="201"/>
      <c r="BY1" s="192" t="s">
        <v>353</v>
      </c>
      <c r="BZ1" s="192" t="s">
        <v>733</v>
      </c>
      <c r="CA1" s="192" t="s">
        <v>735</v>
      </c>
      <c r="CB1" s="192" t="s">
        <v>737</v>
      </c>
      <c r="CC1" s="192" t="s">
        <v>354</v>
      </c>
      <c r="CD1" s="192" t="s">
        <v>739</v>
      </c>
      <c r="CE1" s="192" t="s">
        <v>741</v>
      </c>
      <c r="CF1" s="192" t="s">
        <v>743</v>
      </c>
      <c r="CG1" s="192" t="s">
        <v>745</v>
      </c>
      <c r="CH1" s="189"/>
      <c r="CI1" s="201"/>
      <c r="CJ1" s="192" t="s">
        <v>355</v>
      </c>
      <c r="CK1" s="192" t="s">
        <v>785</v>
      </c>
      <c r="CL1" s="192" t="s">
        <v>787</v>
      </c>
      <c r="CM1" s="192" t="s">
        <v>789</v>
      </c>
      <c r="CN1" s="192" t="s">
        <v>791</v>
      </c>
      <c r="CO1" s="192" t="s">
        <v>793</v>
      </c>
      <c r="CP1" s="192" t="s">
        <v>795</v>
      </c>
      <c r="CQ1" s="192" t="s">
        <v>797</v>
      </c>
      <c r="CR1" s="192" t="s">
        <v>799</v>
      </c>
      <c r="CS1" s="192" t="s">
        <v>801</v>
      </c>
      <c r="CT1" s="192" t="s">
        <v>803</v>
      </c>
      <c r="CU1" s="189"/>
      <c r="CV1" s="201"/>
      <c r="CW1" s="192" t="s">
        <v>829</v>
      </c>
      <c r="CX1" s="192" t="s">
        <v>830</v>
      </c>
      <c r="CY1" s="192" t="s">
        <v>832</v>
      </c>
      <c r="CZ1" s="192" t="s">
        <v>358</v>
      </c>
      <c r="DA1" s="192" t="s">
        <v>834</v>
      </c>
      <c r="DB1" s="192" t="s">
        <v>836</v>
      </c>
      <c r="DC1" s="192" t="s">
        <v>838</v>
      </c>
      <c r="DD1" s="192" t="s">
        <v>840</v>
      </c>
      <c r="DE1" s="192" t="s">
        <v>842</v>
      </c>
      <c r="DF1" s="192" t="s">
        <v>844</v>
      </c>
      <c r="DG1" s="201"/>
      <c r="DH1" s="192" t="s">
        <v>360</v>
      </c>
      <c r="DI1" s="192" t="s">
        <v>846</v>
      </c>
      <c r="DJ1" s="192" t="s">
        <v>361</v>
      </c>
      <c r="DK1" s="192" t="s">
        <v>848</v>
      </c>
      <c r="DL1" s="192" t="s">
        <v>850</v>
      </c>
      <c r="DM1" s="192" t="s">
        <v>852</v>
      </c>
      <c r="DN1" s="192" t="s">
        <v>854</v>
      </c>
      <c r="DO1" s="192" t="s">
        <v>856</v>
      </c>
      <c r="DP1" s="192" t="s">
        <v>858</v>
      </c>
      <c r="DQ1" s="192" t="s">
        <v>860</v>
      </c>
      <c r="DR1" s="192" t="s">
        <v>362</v>
      </c>
      <c r="DS1" s="192" t="s">
        <v>862</v>
      </c>
      <c r="DT1" s="192" t="s">
        <v>864</v>
      </c>
      <c r="DU1" s="192" t="s">
        <v>866</v>
      </c>
      <c r="DV1" s="201"/>
      <c r="DW1" s="192" t="s">
        <v>868</v>
      </c>
      <c r="DX1" s="192" t="s">
        <v>364</v>
      </c>
      <c r="DY1" s="192" t="s">
        <v>870</v>
      </c>
      <c r="DZ1" s="192" t="s">
        <v>365</v>
      </c>
      <c r="EA1" s="192" t="s">
        <v>872</v>
      </c>
      <c r="EB1" s="192" t="s">
        <v>874</v>
      </c>
      <c r="EC1" s="192" t="s">
        <v>876</v>
      </c>
      <c r="ED1" s="192" t="s">
        <v>878</v>
      </c>
      <c r="EE1" s="192" t="s">
        <v>880</v>
      </c>
      <c r="EF1" s="192" t="s">
        <v>882</v>
      </c>
      <c r="EG1" s="192" t="s">
        <v>884</v>
      </c>
      <c r="EH1" s="192" t="s">
        <v>886</v>
      </c>
      <c r="EI1" s="192" t="s">
        <v>888</v>
      </c>
      <c r="EJ1" s="192" t="s">
        <v>890</v>
      </c>
      <c r="EK1" s="192" t="s">
        <v>892</v>
      </c>
      <c r="EL1" s="201"/>
      <c r="EM1" s="192" t="s">
        <v>894</v>
      </c>
      <c r="EN1" s="192" t="s">
        <v>367</v>
      </c>
      <c r="EO1" s="192" t="s">
        <v>896</v>
      </c>
      <c r="EP1" s="192" t="s">
        <v>898</v>
      </c>
      <c r="EQ1" s="192" t="s">
        <v>368</v>
      </c>
      <c r="ER1" s="192" t="s">
        <v>900</v>
      </c>
      <c r="ES1" s="192" t="s">
        <v>902</v>
      </c>
      <c r="ET1" s="192" t="s">
        <v>369</v>
      </c>
      <c r="EU1" s="192" t="s">
        <v>904</v>
      </c>
      <c r="EV1" s="192" t="s">
        <v>906</v>
      </c>
      <c r="EW1" s="192" t="s">
        <v>908</v>
      </c>
      <c r="EX1" s="192" t="s">
        <v>370</v>
      </c>
      <c r="EY1" s="192" t="s">
        <v>910</v>
      </c>
      <c r="EZ1" s="192" t="s">
        <v>912</v>
      </c>
      <c r="FA1" s="201"/>
      <c r="FB1" s="192" t="s">
        <v>372</v>
      </c>
      <c r="FC1" s="192" t="s">
        <v>914</v>
      </c>
      <c r="FD1" s="192" t="s">
        <v>916</v>
      </c>
      <c r="FE1" s="192" t="s">
        <v>918</v>
      </c>
      <c r="FF1" s="192" t="s">
        <v>920</v>
      </c>
      <c r="FG1" s="192" t="s">
        <v>373</v>
      </c>
      <c r="FH1" s="192" t="s">
        <v>922</v>
      </c>
      <c r="FI1" s="192" t="s">
        <v>924</v>
      </c>
      <c r="FJ1" s="192" t="s">
        <v>926</v>
      </c>
      <c r="FK1" s="192" t="s">
        <v>928</v>
      </c>
      <c r="FL1" s="192" t="s">
        <v>930</v>
      </c>
      <c r="FM1" s="192" t="s">
        <v>374</v>
      </c>
      <c r="FN1" s="192" t="s">
        <v>933</v>
      </c>
      <c r="FO1" s="192" t="s">
        <v>375</v>
      </c>
      <c r="FP1" s="192" t="s">
        <v>936</v>
      </c>
      <c r="FQ1" s="192" t="s">
        <v>937</v>
      </c>
      <c r="FR1" s="192" t="s">
        <v>939</v>
      </c>
      <c r="FS1" s="192" t="s">
        <v>376</v>
      </c>
      <c r="FT1" s="192" t="s">
        <v>942</v>
      </c>
      <c r="FU1" s="192" t="s">
        <v>943</v>
      </c>
      <c r="FV1" s="192" t="s">
        <v>945</v>
      </c>
      <c r="FW1" s="192" t="s">
        <v>377</v>
      </c>
      <c r="FX1" s="192" t="s">
        <v>948</v>
      </c>
      <c r="FY1" s="192" t="s">
        <v>950</v>
      </c>
      <c r="FZ1" s="192" t="s">
        <v>952</v>
      </c>
      <c r="GA1" s="201"/>
      <c r="GB1" s="192" t="s">
        <v>379</v>
      </c>
      <c r="GC1" s="192" t="s">
        <v>380</v>
      </c>
      <c r="GD1" s="201"/>
      <c r="GE1" s="192" t="s">
        <v>382</v>
      </c>
      <c r="GF1" s="192" t="s">
        <v>975</v>
      </c>
      <c r="GG1" s="192" t="s">
        <v>977</v>
      </c>
      <c r="GH1" s="192" t="s">
        <v>979</v>
      </c>
      <c r="GI1" s="192" t="s">
        <v>981</v>
      </c>
      <c r="GJ1" s="192" t="s">
        <v>983</v>
      </c>
      <c r="GK1" s="201"/>
      <c r="GL1" s="192" t="s">
        <v>384</v>
      </c>
      <c r="GM1" s="192" t="s">
        <v>985</v>
      </c>
      <c r="GN1" s="192" t="s">
        <v>987</v>
      </c>
      <c r="GO1" s="192" t="s">
        <v>989</v>
      </c>
      <c r="GP1" s="192" t="s">
        <v>991</v>
      </c>
      <c r="GQ1" s="192" t="s">
        <v>993</v>
      </c>
      <c r="GR1" s="192" t="s">
        <v>995</v>
      </c>
      <c r="GS1" s="189"/>
      <c r="GT1" s="201"/>
      <c r="GU1" s="192" t="s">
        <v>385</v>
      </c>
      <c r="GV1" s="192" t="s">
        <v>954</v>
      </c>
      <c r="GW1" s="192" t="s">
        <v>956</v>
      </c>
      <c r="GX1" s="192" t="s">
        <v>958</v>
      </c>
      <c r="GY1" s="192" t="s">
        <v>960</v>
      </c>
      <c r="GZ1" s="192" t="s">
        <v>962</v>
      </c>
      <c r="HA1" s="192" t="s">
        <v>964</v>
      </c>
      <c r="HB1" s="201"/>
      <c r="HC1" s="192" t="s">
        <v>386</v>
      </c>
      <c r="HD1" s="192" t="s">
        <v>966</v>
      </c>
      <c r="HE1" s="192" t="s">
        <v>968</v>
      </c>
      <c r="HF1" s="192" t="s">
        <v>969</v>
      </c>
      <c r="HG1" s="192" t="s">
        <v>387</v>
      </c>
      <c r="HH1" s="192" t="s">
        <v>972</v>
      </c>
      <c r="HI1" s="192" t="s">
        <v>973</v>
      </c>
      <c r="HJ1" s="189"/>
      <c r="HK1" s="201"/>
      <c r="HL1" s="192" t="s">
        <v>390</v>
      </c>
      <c r="HM1" s="192" t="s">
        <v>997</v>
      </c>
      <c r="HN1" s="192" t="s">
        <v>999</v>
      </c>
      <c r="HO1" s="192" t="s">
        <v>1001</v>
      </c>
      <c r="HP1" s="192" t="s">
        <v>1003</v>
      </c>
      <c r="HQ1" s="192" t="s">
        <v>391</v>
      </c>
      <c r="HR1" s="192" t="s">
        <v>1006</v>
      </c>
      <c r="HS1" s="201"/>
      <c r="HT1" s="192" t="s">
        <v>1008</v>
      </c>
      <c r="HU1" s="192" t="s">
        <v>1010</v>
      </c>
      <c r="HV1" s="192" t="s">
        <v>393</v>
      </c>
      <c r="HW1" s="192" t="s">
        <v>1013</v>
      </c>
      <c r="HX1" s="192" t="s">
        <v>1015</v>
      </c>
      <c r="HY1" s="192" t="s">
        <v>1016</v>
      </c>
      <c r="HZ1" s="192" t="s">
        <v>1018</v>
      </c>
      <c r="IA1" s="201"/>
      <c r="IB1" s="192" t="s">
        <v>1020</v>
      </c>
      <c r="IC1" s="192" t="s">
        <v>1022</v>
      </c>
      <c r="ID1" s="192" t="s">
        <v>1024</v>
      </c>
      <c r="IE1" s="192" t="s">
        <v>395</v>
      </c>
      <c r="IF1" s="192" t="s">
        <v>1026</v>
      </c>
      <c r="IG1" s="192" t="s">
        <v>1028</v>
      </c>
      <c r="IH1" s="192" t="s">
        <v>396</v>
      </c>
      <c r="II1" s="192" t="s">
        <v>1030</v>
      </c>
      <c r="IJ1" s="192" t="s">
        <v>1032</v>
      </c>
      <c r="IK1" s="192" t="s">
        <v>397</v>
      </c>
      <c r="IL1" s="192" t="s">
        <v>1034</v>
      </c>
      <c r="IM1" s="192" t="s">
        <v>1036</v>
      </c>
      <c r="IN1" s="192" t="s">
        <v>1038</v>
      </c>
      <c r="IO1" s="192" t="s">
        <v>1040</v>
      </c>
      <c r="IP1" s="192" t="s">
        <v>398</v>
      </c>
      <c r="IQ1" s="192" t="s">
        <v>1042</v>
      </c>
      <c r="IR1" s="201"/>
      <c r="IS1" s="192" t="s">
        <v>1050</v>
      </c>
      <c r="IT1" s="192" t="s">
        <v>1052</v>
      </c>
      <c r="IU1" s="192" t="s">
        <v>400</v>
      </c>
      <c r="IV1" s="192" t="s">
        <v>1054</v>
      </c>
      <c r="IW1" s="192" t="s">
        <v>1056</v>
      </c>
      <c r="IX1" s="192" t="s">
        <v>1058</v>
      </c>
      <c r="IY1" s="201"/>
      <c r="IZ1" s="192" t="s">
        <v>1060</v>
      </c>
      <c r="JA1" s="192" t="s">
        <v>402</v>
      </c>
      <c r="JB1" s="192" t="s">
        <v>1063</v>
      </c>
      <c r="JC1" s="192" t="s">
        <v>1065</v>
      </c>
      <c r="JD1" s="192" t="s">
        <v>1067</v>
      </c>
      <c r="JE1" s="192" t="s">
        <v>1069</v>
      </c>
      <c r="JF1" s="192" t="s">
        <v>1071</v>
      </c>
      <c r="JG1" s="192" t="s">
        <v>1073</v>
      </c>
      <c r="JH1" s="192" t="s">
        <v>403</v>
      </c>
      <c r="JI1" s="192" t="s">
        <v>1076</v>
      </c>
      <c r="JJ1" s="192" t="s">
        <v>1078</v>
      </c>
      <c r="JK1" s="192" t="s">
        <v>1080</v>
      </c>
      <c r="JL1" s="192" t="s">
        <v>1082</v>
      </c>
      <c r="JM1" s="192" t="s">
        <v>1084</v>
      </c>
      <c r="JN1" s="192" t="s">
        <v>1086</v>
      </c>
      <c r="JO1" s="192" t="s">
        <v>1088</v>
      </c>
      <c r="JP1" s="192" t="s">
        <v>1090</v>
      </c>
      <c r="JQ1" s="192" t="s">
        <v>404</v>
      </c>
      <c r="JR1" s="192" t="s">
        <v>1093</v>
      </c>
      <c r="JS1" s="192" t="s">
        <v>1095</v>
      </c>
      <c r="JT1" s="192" t="s">
        <v>1097</v>
      </c>
      <c r="JU1" s="192" t="s">
        <v>1099</v>
      </c>
      <c r="JV1" s="192" t="s">
        <v>1100</v>
      </c>
      <c r="JW1" s="192" t="s">
        <v>1102</v>
      </c>
      <c r="JX1" s="192" t="s">
        <v>1104</v>
      </c>
      <c r="JY1" s="192" t="s">
        <v>1106</v>
      </c>
      <c r="JZ1" s="192" t="s">
        <v>1108</v>
      </c>
      <c r="KA1" s="192" t="s">
        <v>1110</v>
      </c>
      <c r="KB1" s="192" t="s">
        <v>1112</v>
      </c>
      <c r="KC1" s="192" t="s">
        <v>1114</v>
      </c>
      <c r="KD1" s="192" t="s">
        <v>1116</v>
      </c>
      <c r="KE1" s="192" t="s">
        <v>1118</v>
      </c>
      <c r="KF1" s="192" t="s">
        <v>1120</v>
      </c>
      <c r="KG1" s="192" t="s">
        <v>1122</v>
      </c>
      <c r="KH1" s="192" t="s">
        <v>1124</v>
      </c>
      <c r="KI1" s="192" t="s">
        <v>1126</v>
      </c>
      <c r="KJ1" s="192" t="s">
        <v>1128</v>
      </c>
      <c r="KK1" s="192" t="s">
        <v>1130</v>
      </c>
      <c r="KL1" s="192" t="s">
        <v>1132</v>
      </c>
      <c r="KM1" s="192" t="s">
        <v>1134</v>
      </c>
      <c r="KN1" s="192" t="s">
        <v>1136</v>
      </c>
      <c r="KO1" s="192" t="s">
        <v>1138</v>
      </c>
      <c r="KP1" s="192" t="s">
        <v>1140</v>
      </c>
      <c r="KQ1" s="192" t="s">
        <v>1142</v>
      </c>
      <c r="KR1" s="201"/>
      <c r="KS1" s="192" t="s">
        <v>1144</v>
      </c>
      <c r="KT1" s="192" t="s">
        <v>406</v>
      </c>
      <c r="KU1" s="192" t="s">
        <v>1147</v>
      </c>
      <c r="KV1" s="192" t="s">
        <v>1149</v>
      </c>
      <c r="KW1" s="192" t="s">
        <v>1151</v>
      </c>
      <c r="KX1" s="192" t="s">
        <v>1153</v>
      </c>
      <c r="KY1" s="192" t="s">
        <v>407</v>
      </c>
      <c r="KZ1" s="192" t="s">
        <v>1156</v>
      </c>
      <c r="LA1" s="192" t="s">
        <v>1158</v>
      </c>
      <c r="LB1" s="192" t="s">
        <v>1160</v>
      </c>
      <c r="LC1" s="192" t="s">
        <v>1162</v>
      </c>
      <c r="LD1" s="192" t="s">
        <v>1164</v>
      </c>
      <c r="LE1" s="192" t="s">
        <v>1166</v>
      </c>
      <c r="LF1" s="192" t="s">
        <v>1168</v>
      </c>
      <c r="LG1" s="189"/>
      <c r="LH1" s="201"/>
      <c r="LI1" s="192" t="s">
        <v>408</v>
      </c>
      <c r="LJ1" s="192" t="s">
        <v>1044</v>
      </c>
      <c r="LK1" s="192" t="s">
        <v>1046</v>
      </c>
      <c r="LL1" s="192" t="s">
        <v>1048</v>
      </c>
      <c r="LM1" s="189"/>
      <c r="LN1" s="201"/>
      <c r="LO1" s="192" t="s">
        <v>411</v>
      </c>
      <c r="LP1" s="192" t="s">
        <v>412</v>
      </c>
      <c r="LQ1" s="201"/>
      <c r="LR1" s="192" t="s">
        <v>414</v>
      </c>
      <c r="LS1" s="192" t="s">
        <v>1188</v>
      </c>
      <c r="LT1" s="192" t="s">
        <v>1190</v>
      </c>
      <c r="LU1" s="192" t="s">
        <v>1191</v>
      </c>
      <c r="LV1" s="192" t="s">
        <v>1193</v>
      </c>
      <c r="LW1" s="192" t="s">
        <v>1194</v>
      </c>
      <c r="LX1" s="192" t="s">
        <v>1196</v>
      </c>
      <c r="LY1" s="192" t="s">
        <v>1198</v>
      </c>
      <c r="LZ1" s="192" t="s">
        <v>1200</v>
      </c>
      <c r="MA1" s="192" t="s">
        <v>1202</v>
      </c>
      <c r="MB1" s="192" t="s">
        <v>415</v>
      </c>
      <c r="MC1" s="192" t="s">
        <v>1205</v>
      </c>
      <c r="MD1" s="192" t="s">
        <v>1206</v>
      </c>
      <c r="ME1" s="192" t="s">
        <v>1208</v>
      </c>
      <c r="MF1" s="192" t="s">
        <v>416</v>
      </c>
      <c r="MG1" s="192" t="s">
        <v>1211</v>
      </c>
      <c r="MH1" s="192" t="s">
        <v>1212</v>
      </c>
      <c r="MI1" s="192" t="s">
        <v>1214</v>
      </c>
      <c r="MJ1" s="192" t="s">
        <v>1216</v>
      </c>
      <c r="MK1" s="192" t="s">
        <v>417</v>
      </c>
      <c r="ML1" s="192" t="s">
        <v>1219</v>
      </c>
      <c r="MM1" s="192" t="s">
        <v>1221</v>
      </c>
      <c r="MN1" s="192" t="s">
        <v>1223</v>
      </c>
      <c r="MO1" s="192" t="s">
        <v>1225</v>
      </c>
      <c r="MP1" s="192" t="s">
        <v>418</v>
      </c>
      <c r="MQ1" s="192" t="s">
        <v>1228</v>
      </c>
      <c r="MR1" s="192" t="s">
        <v>1230</v>
      </c>
      <c r="MS1" s="192" t="s">
        <v>1232</v>
      </c>
      <c r="MT1" s="192" t="s">
        <v>1234</v>
      </c>
      <c r="MU1" s="192" t="s">
        <v>1236</v>
      </c>
      <c r="MV1" s="192" t="s">
        <v>1238</v>
      </c>
      <c r="MW1" s="192" t="s">
        <v>1240</v>
      </c>
      <c r="MX1" s="192" t="s">
        <v>1242</v>
      </c>
      <c r="MY1" s="192" t="s">
        <v>1244</v>
      </c>
      <c r="MZ1" s="192" t="s">
        <v>1246</v>
      </c>
      <c r="NA1" s="192" t="s">
        <v>1248</v>
      </c>
      <c r="NB1" s="192" t="s">
        <v>1249</v>
      </c>
      <c r="NC1" s="201"/>
      <c r="ND1" s="192" t="s">
        <v>420</v>
      </c>
      <c r="NE1" s="192" t="s">
        <v>1251</v>
      </c>
      <c r="NF1" s="192" t="s">
        <v>1253</v>
      </c>
      <c r="NG1" s="192" t="s">
        <v>1255</v>
      </c>
      <c r="NH1" s="192" t="s">
        <v>1257</v>
      </c>
      <c r="NI1" s="201"/>
      <c r="NJ1" s="192" t="s">
        <v>422</v>
      </c>
      <c r="NK1" s="192" t="s">
        <v>1258</v>
      </c>
      <c r="NL1" s="192" t="s">
        <v>423</v>
      </c>
      <c r="NM1" s="192" t="s">
        <v>1260</v>
      </c>
      <c r="NN1" s="192" t="s">
        <v>1262</v>
      </c>
      <c r="NO1" s="192" t="s">
        <v>424</v>
      </c>
      <c r="NP1" s="192" t="s">
        <v>1264</v>
      </c>
      <c r="NQ1" s="192" t="s">
        <v>1266</v>
      </c>
      <c r="NR1" s="189"/>
      <c r="NS1" s="201"/>
      <c r="NT1" s="192" t="s">
        <v>425</v>
      </c>
      <c r="NU1" s="192" t="s">
        <v>1170</v>
      </c>
      <c r="NV1" s="192" t="s">
        <v>1172</v>
      </c>
      <c r="NW1" s="192" t="s">
        <v>1174</v>
      </c>
      <c r="NX1" s="192" t="s">
        <v>1176</v>
      </c>
      <c r="NY1" s="192" t="s">
        <v>426</v>
      </c>
      <c r="NZ1" s="192" t="s">
        <v>1178</v>
      </c>
      <c r="OA1" s="192" t="s">
        <v>427</v>
      </c>
      <c r="OB1" s="192" t="s">
        <v>1180</v>
      </c>
      <c r="OC1" s="201"/>
      <c r="OD1" s="192" t="s">
        <v>1182</v>
      </c>
      <c r="OE1" s="192" t="s">
        <v>428</v>
      </c>
      <c r="OF1" s="189"/>
      <c r="OG1" s="201"/>
      <c r="OH1" s="192" t="s">
        <v>1184</v>
      </c>
      <c r="OI1" s="192" t="s">
        <v>1186</v>
      </c>
      <c r="OJ1" s="192" t="s">
        <v>429</v>
      </c>
      <c r="OK1" s="189"/>
      <c r="OL1" s="201"/>
      <c r="OM1" s="192" t="s">
        <v>432</v>
      </c>
      <c r="ON1" s="192" t="s">
        <v>1268</v>
      </c>
      <c r="OO1" s="192" t="s">
        <v>1270</v>
      </c>
      <c r="OP1" s="192" t="s">
        <v>433</v>
      </c>
      <c r="OQ1" s="192" t="s">
        <v>434</v>
      </c>
      <c r="OR1" s="192" t="s">
        <v>1368</v>
      </c>
      <c r="OS1" s="192" t="s">
        <v>1370</v>
      </c>
      <c r="OT1" s="192" t="s">
        <v>1372</v>
      </c>
      <c r="OU1" s="192" t="s">
        <v>1374</v>
      </c>
      <c r="OV1" s="192" t="s">
        <v>1376</v>
      </c>
      <c r="OW1" s="201"/>
      <c r="OX1" s="192" t="s">
        <v>436</v>
      </c>
      <c r="OY1" s="192" t="s">
        <v>1378</v>
      </c>
      <c r="OZ1" s="192" t="s">
        <v>1380</v>
      </c>
      <c r="PA1" s="192" t="s">
        <v>1382</v>
      </c>
      <c r="PB1" s="192" t="s">
        <v>1384</v>
      </c>
      <c r="PC1" s="192" t="s">
        <v>1386</v>
      </c>
      <c r="PD1" s="192" t="s">
        <v>1388</v>
      </c>
      <c r="PE1" s="201"/>
      <c r="PF1" s="192" t="s">
        <v>1390</v>
      </c>
      <c r="PG1" s="192" t="s">
        <v>438</v>
      </c>
      <c r="PH1" s="201"/>
      <c r="PI1" s="192" t="s">
        <v>440</v>
      </c>
      <c r="PJ1" s="192" t="s">
        <v>1420</v>
      </c>
      <c r="PK1" s="192" t="s">
        <v>1422</v>
      </c>
      <c r="PL1" s="201"/>
      <c r="PM1" s="192" t="s">
        <v>442</v>
      </c>
      <c r="PN1" s="192" t="s">
        <v>1424</v>
      </c>
      <c r="PO1" s="192" t="s">
        <v>1425</v>
      </c>
      <c r="PP1" s="192" t="s">
        <v>1426</v>
      </c>
      <c r="PQ1" s="192" t="s">
        <v>1427</v>
      </c>
      <c r="PR1" s="192" t="s">
        <v>1429</v>
      </c>
      <c r="PS1" s="192" t="s">
        <v>1430</v>
      </c>
      <c r="PT1" s="192" t="s">
        <v>1432</v>
      </c>
      <c r="PU1" s="192" t="s">
        <v>1433</v>
      </c>
      <c r="PV1" s="189"/>
      <c r="PW1" s="201"/>
      <c r="PX1" s="192" t="s">
        <v>443</v>
      </c>
      <c r="PY1" s="192" t="s">
        <v>1272</v>
      </c>
      <c r="PZ1" s="192" t="s">
        <v>1274</v>
      </c>
      <c r="QA1" s="192" t="s">
        <v>1276</v>
      </c>
      <c r="QB1" s="192" t="s">
        <v>1278</v>
      </c>
      <c r="QC1" s="192" t="s">
        <v>1280</v>
      </c>
      <c r="QD1" s="192" t="s">
        <v>1282</v>
      </c>
      <c r="QE1" s="192" t="s">
        <v>1284</v>
      </c>
      <c r="QF1" s="192" t="s">
        <v>1286</v>
      </c>
      <c r="QG1" s="192" t="s">
        <v>1288</v>
      </c>
      <c r="QH1" s="192" t="s">
        <v>1290</v>
      </c>
      <c r="QI1" s="192" t="s">
        <v>1292</v>
      </c>
      <c r="QJ1" s="192" t="s">
        <v>1294</v>
      </c>
      <c r="QK1" s="192" t="s">
        <v>1296</v>
      </c>
      <c r="QL1" s="192" t="s">
        <v>1298</v>
      </c>
      <c r="QM1" s="192" t="s">
        <v>1300</v>
      </c>
      <c r="QN1" s="192" t="s">
        <v>1302</v>
      </c>
      <c r="QO1" s="192" t="s">
        <v>1304</v>
      </c>
      <c r="QP1" s="192" t="s">
        <v>1306</v>
      </c>
      <c r="QQ1" s="192" t="s">
        <v>1308</v>
      </c>
      <c r="QR1" s="192" t="s">
        <v>1310</v>
      </c>
      <c r="QS1" s="192" t="s">
        <v>1312</v>
      </c>
      <c r="QT1" s="192" t="s">
        <v>1314</v>
      </c>
      <c r="QU1" s="192" t="s">
        <v>444</v>
      </c>
      <c r="QV1" s="192" t="s">
        <v>1317</v>
      </c>
      <c r="QW1" s="192" t="s">
        <v>1319</v>
      </c>
      <c r="QX1" s="192" t="s">
        <v>1320</v>
      </c>
      <c r="QY1" s="192" t="s">
        <v>1322</v>
      </c>
      <c r="QZ1" s="192" t="s">
        <v>1324</v>
      </c>
      <c r="RA1" s="192" t="s">
        <v>1326</v>
      </c>
      <c r="RB1" s="192" t="s">
        <v>1328</v>
      </c>
      <c r="RC1" s="192" t="s">
        <v>1330</v>
      </c>
      <c r="RD1" s="192" t="s">
        <v>1332</v>
      </c>
      <c r="RE1" s="192" t="s">
        <v>1334</v>
      </c>
      <c r="RF1" s="192" t="s">
        <v>1336</v>
      </c>
      <c r="RG1" s="192" t="s">
        <v>1338</v>
      </c>
      <c r="RH1" s="192" t="s">
        <v>1340</v>
      </c>
      <c r="RI1" s="192" t="s">
        <v>1342</v>
      </c>
      <c r="RJ1" s="192" t="s">
        <v>1344</v>
      </c>
      <c r="RK1" s="192" t="s">
        <v>1346</v>
      </c>
      <c r="RL1" s="192" t="s">
        <v>1348</v>
      </c>
      <c r="RM1" s="192" t="s">
        <v>1350</v>
      </c>
      <c r="RN1" s="192" t="s">
        <v>1352</v>
      </c>
      <c r="RO1" s="192" t="s">
        <v>1354</v>
      </c>
      <c r="RP1" s="192" t="s">
        <v>1356</v>
      </c>
      <c r="RQ1" s="192" t="s">
        <v>1358</v>
      </c>
      <c r="RR1" s="192" t="s">
        <v>1360</v>
      </c>
      <c r="RS1" s="192" t="s">
        <v>1362</v>
      </c>
      <c r="RT1" s="192" t="s">
        <v>1364</v>
      </c>
      <c r="RU1" s="192" t="s">
        <v>1366</v>
      </c>
      <c r="RV1" s="189"/>
      <c r="RW1" s="201"/>
      <c r="RX1" s="192" t="s">
        <v>445</v>
      </c>
      <c r="RY1" s="192" t="s">
        <v>1392</v>
      </c>
      <c r="RZ1" s="192" t="s">
        <v>1394</v>
      </c>
      <c r="SA1" s="192" t="s">
        <v>1396</v>
      </c>
      <c r="SB1" s="192" t="s">
        <v>1398</v>
      </c>
      <c r="SC1" s="192" t="s">
        <v>1400</v>
      </c>
      <c r="SD1" s="192" t="s">
        <v>1402</v>
      </c>
      <c r="SE1" s="192" t="s">
        <v>1404</v>
      </c>
      <c r="SF1" s="192" t="s">
        <v>1406</v>
      </c>
      <c r="SG1" s="192" t="s">
        <v>1408</v>
      </c>
      <c r="SH1" s="192" t="s">
        <v>1410</v>
      </c>
      <c r="SI1" s="192" t="s">
        <v>1412</v>
      </c>
      <c r="SJ1" s="192" t="s">
        <v>1414</v>
      </c>
      <c r="SK1" s="192" t="s">
        <v>1416</v>
      </c>
      <c r="SL1" s="192" t="s">
        <v>1418</v>
      </c>
      <c r="SM1" s="189"/>
      <c r="SN1" s="201"/>
      <c r="SO1" s="192" t="s">
        <v>448</v>
      </c>
      <c r="SP1" s="192" t="s">
        <v>1435</v>
      </c>
      <c r="SQ1" s="192" t="s">
        <v>1437</v>
      </c>
      <c r="SR1" s="192" t="s">
        <v>449</v>
      </c>
      <c r="SS1" s="192" t="s">
        <v>1439</v>
      </c>
      <c r="ST1" s="192" t="s">
        <v>1441</v>
      </c>
      <c r="SU1" s="192" t="s">
        <v>1443</v>
      </c>
      <c r="SV1" s="192" t="s">
        <v>1445</v>
      </c>
      <c r="SW1" s="201"/>
      <c r="SX1" s="192" t="s">
        <v>451</v>
      </c>
      <c r="SY1" s="192" t="s">
        <v>1447</v>
      </c>
      <c r="SZ1" s="192" t="s">
        <v>1449</v>
      </c>
      <c r="TA1" s="192" t="s">
        <v>1451</v>
      </c>
      <c r="TB1" s="192" t="s">
        <v>1453</v>
      </c>
      <c r="TC1" s="192" t="s">
        <v>1455</v>
      </c>
      <c r="TD1" s="192" t="s">
        <v>1457</v>
      </c>
      <c r="TE1" s="192" t="s">
        <v>1459</v>
      </c>
      <c r="TF1" s="192" t="s">
        <v>1461</v>
      </c>
      <c r="TG1" s="192" t="s">
        <v>1463</v>
      </c>
      <c r="TH1" s="192" t="s">
        <v>1465</v>
      </c>
      <c r="TI1" s="192" t="s">
        <v>1467</v>
      </c>
      <c r="TJ1" s="192" t="s">
        <v>1469</v>
      </c>
      <c r="TK1" s="192" t="s">
        <v>1471</v>
      </c>
      <c r="TL1" s="192" t="s">
        <v>1473</v>
      </c>
      <c r="TM1" s="192" t="s">
        <v>1475</v>
      </c>
      <c r="TN1" s="189"/>
      <c r="TO1" s="201"/>
      <c r="TP1" s="192" t="s">
        <v>454</v>
      </c>
      <c r="TQ1" s="192" t="s">
        <v>1477</v>
      </c>
      <c r="TR1" s="192" t="s">
        <v>1479</v>
      </c>
      <c r="TS1" s="192" t="s">
        <v>1481</v>
      </c>
      <c r="TT1" s="192" t="s">
        <v>1483</v>
      </c>
      <c r="TU1" s="192" t="s">
        <v>1485</v>
      </c>
      <c r="TV1" s="192" t="s">
        <v>455</v>
      </c>
      <c r="TW1" s="192" t="s">
        <v>1487</v>
      </c>
      <c r="TX1" s="192" t="s">
        <v>1489</v>
      </c>
      <c r="TY1" s="192" t="s">
        <v>1491</v>
      </c>
      <c r="TZ1" s="192" t="s">
        <v>1493</v>
      </c>
      <c r="UA1" s="192" t="s">
        <v>1495</v>
      </c>
      <c r="UB1" s="192" t="s">
        <v>1497</v>
      </c>
      <c r="UC1" s="201"/>
      <c r="UD1" s="192" t="s">
        <v>457</v>
      </c>
      <c r="UE1" s="189"/>
      <c r="UF1" s="201"/>
      <c r="UG1" s="192" t="s">
        <v>458</v>
      </c>
      <c r="UH1" s="192" t="s">
        <v>1499</v>
      </c>
      <c r="UI1" s="192" t="s">
        <v>1501</v>
      </c>
      <c r="UJ1" s="192" t="s">
        <v>1502</v>
      </c>
      <c r="UK1" s="192" t="s">
        <v>1504</v>
      </c>
      <c r="UL1" s="192" t="s">
        <v>1506</v>
      </c>
      <c r="UM1" s="192" t="s">
        <v>1508</v>
      </c>
      <c r="UN1" s="192" t="s">
        <v>1510</v>
      </c>
      <c r="UO1" s="192" t="s">
        <v>1512</v>
      </c>
      <c r="UP1" s="192" t="s">
        <v>1514</v>
      </c>
      <c r="UQ1" s="192" t="s">
        <v>1516</v>
      </c>
      <c r="UR1" s="192" t="s">
        <v>1518</v>
      </c>
      <c r="US1" s="192" t="s">
        <v>1520</v>
      </c>
      <c r="UT1" s="192" t="s">
        <v>1522</v>
      </c>
      <c r="UU1" s="192" t="s">
        <v>1524</v>
      </c>
      <c r="UV1" s="192" t="s">
        <v>1526</v>
      </c>
      <c r="UW1" s="192" t="s">
        <v>1528</v>
      </c>
      <c r="UX1" s="189"/>
      <c r="UY1" s="192" t="s">
        <v>1532</v>
      </c>
      <c r="UZ1" s="192" t="s">
        <v>1534</v>
      </c>
      <c r="VA1" s="192" t="s">
        <v>1536</v>
      </c>
      <c r="VB1" s="192" t="s">
        <v>1538</v>
      </c>
      <c r="VC1" s="192" t="s">
        <v>1540</v>
      </c>
      <c r="VD1" s="195"/>
    </row>
    <row r="2" spans="1:576" s="132" customFormat="1" hidden="1" x14ac:dyDescent="0.25">
      <c r="A2" s="132" t="s">
        <v>201</v>
      </c>
      <c r="B2" s="132" t="s">
        <v>187</v>
      </c>
      <c r="C2" s="132" t="s">
        <v>558</v>
      </c>
      <c r="D2" s="132" t="s">
        <v>202</v>
      </c>
      <c r="E2" s="132" t="s">
        <v>166</v>
      </c>
      <c r="F2" s="132" t="s">
        <v>559</v>
      </c>
      <c r="G2" s="170" t="s">
        <v>203</v>
      </c>
      <c r="H2" s="132" t="s">
        <v>560</v>
      </c>
      <c r="I2" s="132" t="s">
        <v>561</v>
      </c>
      <c r="J2" s="132" t="s">
        <v>204</v>
      </c>
      <c r="K2" s="132" t="s">
        <v>562</v>
      </c>
      <c r="R2" s="132" t="s">
        <v>206</v>
      </c>
      <c r="S2" s="132" t="s">
        <v>207</v>
      </c>
      <c r="U2" s="132" t="s">
        <v>475</v>
      </c>
      <c r="V2" s="132" t="s">
        <v>493</v>
      </c>
      <c r="W2" s="132" t="s">
        <v>476</v>
      </c>
      <c r="X2" s="132" t="s">
        <v>477</v>
      </c>
      <c r="Y2" s="132" t="s">
        <v>478</v>
      </c>
      <c r="Z2" s="132" t="s">
        <v>479</v>
      </c>
      <c r="AA2" s="132" t="s">
        <v>480</v>
      </c>
      <c r="AB2" s="132" t="s">
        <v>481</v>
      </c>
      <c r="AC2" s="132" t="s">
        <v>482</v>
      </c>
      <c r="AD2" s="132" t="s">
        <v>483</v>
      </c>
      <c r="AE2" s="132" t="s">
        <v>484</v>
      </c>
      <c r="AF2" s="132" t="s">
        <v>485</v>
      </c>
      <c r="AH2" s="132" t="s">
        <v>504</v>
      </c>
      <c r="AI2" s="132" t="s">
        <v>505</v>
      </c>
      <c r="AJ2" s="132" t="s">
        <v>506</v>
      </c>
      <c r="AK2" s="132" t="s">
        <v>507</v>
      </c>
      <c r="AL2" s="132" t="s">
        <v>508</v>
      </c>
      <c r="AM2" s="132" t="s">
        <v>511</v>
      </c>
      <c r="AN2" s="132" t="s">
        <v>509</v>
      </c>
      <c r="AO2" s="132" t="s">
        <v>510</v>
      </c>
      <c r="AP2" s="132" t="s">
        <v>512</v>
      </c>
      <c r="AQ2" s="132" t="s">
        <v>513</v>
      </c>
      <c r="AR2" s="132" t="s">
        <v>514</v>
      </c>
      <c r="AS2" s="132" t="s">
        <v>515</v>
      </c>
      <c r="AT2" s="132" t="s">
        <v>516</v>
      </c>
      <c r="AU2" s="132" t="s">
        <v>517</v>
      </c>
      <c r="AV2" s="132" t="s">
        <v>518</v>
      </c>
      <c r="AW2" s="132" t="s">
        <v>519</v>
      </c>
      <c r="AX2" s="132" t="s">
        <v>520</v>
      </c>
      <c r="AY2" s="132" t="s">
        <v>521</v>
      </c>
      <c r="AZ2" s="132" t="s">
        <v>522</v>
      </c>
      <c r="BA2" s="132" t="s">
        <v>523</v>
      </c>
      <c r="BB2" s="132" t="s">
        <v>524</v>
      </c>
      <c r="BC2" s="132" t="s">
        <v>525</v>
      </c>
      <c r="BD2" s="132" t="s">
        <v>526</v>
      </c>
      <c r="BE2" s="132" t="s">
        <v>527</v>
      </c>
      <c r="BF2" s="132" t="s">
        <v>528</v>
      </c>
      <c r="BG2" s="132" t="s">
        <v>529</v>
      </c>
      <c r="BH2" s="132" t="s">
        <v>530</v>
      </c>
      <c r="BI2" s="132" t="s">
        <v>531</v>
      </c>
      <c r="BJ2" s="132" t="s">
        <v>532</v>
      </c>
      <c r="BK2" s="132" t="s">
        <v>533</v>
      </c>
      <c r="BL2" s="132" t="s">
        <v>534</v>
      </c>
      <c r="BM2" s="132" t="s">
        <v>535</v>
      </c>
      <c r="BN2" s="132" t="s">
        <v>536</v>
      </c>
      <c r="BO2" s="132" t="s">
        <v>537</v>
      </c>
      <c r="BP2" s="132" t="s">
        <v>538</v>
      </c>
      <c r="BQ2" s="132" t="s">
        <v>539</v>
      </c>
      <c r="BR2" s="132" t="s">
        <v>540</v>
      </c>
      <c r="BS2" s="132" t="s">
        <v>541</v>
      </c>
      <c r="BT2" s="132" t="s">
        <v>542</v>
      </c>
      <c r="BU2" s="132" t="s">
        <v>543</v>
      </c>
    </row>
    <row r="3" spans="1:576" hidden="1" x14ac:dyDescent="0.25">
      <c r="AH3" s="95">
        <v>2500</v>
      </c>
      <c r="AI3" s="95">
        <v>1900</v>
      </c>
      <c r="AJ3" s="95">
        <v>1650</v>
      </c>
      <c r="AK3" s="95">
        <v>1580</v>
      </c>
      <c r="AL3" s="95">
        <v>2250</v>
      </c>
      <c r="AM3" s="95">
        <v>1650</v>
      </c>
      <c r="AN3" s="95">
        <v>1400</v>
      </c>
      <c r="AO3" s="95">
        <v>1340</v>
      </c>
      <c r="AP3" s="95">
        <v>2000</v>
      </c>
      <c r="AQ3" s="95">
        <v>1400</v>
      </c>
      <c r="AR3" s="95">
        <v>1150</v>
      </c>
      <c r="AS3" s="95">
        <v>1100</v>
      </c>
      <c r="AT3" s="95">
        <v>1750</v>
      </c>
      <c r="AU3" s="95">
        <v>1150</v>
      </c>
      <c r="AV3" s="95">
        <v>900</v>
      </c>
      <c r="AW3" s="95">
        <v>860</v>
      </c>
      <c r="AX3" s="95">
        <v>1200</v>
      </c>
      <c r="AY3" s="95">
        <v>900</v>
      </c>
      <c r="AZ3" s="95">
        <v>650</v>
      </c>
      <c r="BA3" s="95">
        <v>620</v>
      </c>
      <c r="BB3" s="95">
        <v>5355</v>
      </c>
      <c r="BC3" s="95">
        <v>4935</v>
      </c>
      <c r="BD3" s="95">
        <v>6300</v>
      </c>
      <c r="BE3" s="95">
        <v>5880</v>
      </c>
      <c r="BF3" s="95">
        <v>4725</v>
      </c>
      <c r="BG3" s="95">
        <v>4305</v>
      </c>
      <c r="BH3" s="95">
        <v>5670</v>
      </c>
      <c r="BI3" s="95">
        <v>5250</v>
      </c>
      <c r="BJ3" s="95">
        <v>4095</v>
      </c>
      <c r="BK3" s="95">
        <v>3780</v>
      </c>
      <c r="BL3" s="95">
        <v>5040</v>
      </c>
      <c r="BM3" s="95">
        <v>4620</v>
      </c>
      <c r="BN3" s="95">
        <v>3465</v>
      </c>
      <c r="BO3" s="95">
        <v>3150</v>
      </c>
      <c r="BP3" s="95">
        <v>4410</v>
      </c>
      <c r="BQ3" s="95">
        <v>4095</v>
      </c>
      <c r="BR3" s="95">
        <v>3045</v>
      </c>
      <c r="BS3" s="95">
        <v>2835</v>
      </c>
      <c r="BT3" s="95">
        <v>3885</v>
      </c>
      <c r="BU3" s="95">
        <v>3570</v>
      </c>
    </row>
    <row r="4" spans="1:576" ht="15.75" thickBot="1" x14ac:dyDescent="0.3"/>
    <row r="5" spans="1:576" ht="53.25" thickBot="1" x14ac:dyDescent="0.3">
      <c r="C5" s="96" t="s">
        <v>464</v>
      </c>
      <c r="D5" s="213">
        <f>SUMIF(C:C,$C$10,D:D)</f>
        <v>122873598.566</v>
      </c>
    </row>
    <row r="6" spans="1:576" x14ac:dyDescent="0.25">
      <c r="C6" s="117"/>
      <c r="D6" s="117"/>
      <c r="E6" s="117"/>
      <c r="F6" s="117"/>
      <c r="G6" s="86"/>
      <c r="H6" s="117"/>
      <c r="I6" s="117"/>
    </row>
    <row r="7" spans="1:576" x14ac:dyDescent="0.25">
      <c r="C7" s="117"/>
      <c r="D7" s="117"/>
      <c r="E7" s="117"/>
      <c r="F7" s="117"/>
      <c r="G7" s="86"/>
      <c r="H7" s="117"/>
      <c r="I7" s="117"/>
    </row>
    <row r="8" spans="1:576" x14ac:dyDescent="0.25">
      <c r="C8" s="117"/>
      <c r="D8" s="117"/>
      <c r="E8" s="117"/>
      <c r="F8" s="117"/>
      <c r="G8" s="86"/>
      <c r="H8" s="117"/>
      <c r="I8" s="117"/>
      <c r="K8" s="95" t="s">
        <v>549</v>
      </c>
    </row>
    <row r="9" spans="1:576" ht="15.75" thickBot="1" x14ac:dyDescent="0.3">
      <c r="C9" s="117"/>
      <c r="D9" s="117"/>
      <c r="E9" s="117"/>
      <c r="F9" s="117"/>
      <c r="G9" s="86"/>
      <c r="H9" s="117"/>
      <c r="I9" s="433"/>
      <c r="K9" s="187" t="s">
        <v>550</v>
      </c>
    </row>
    <row r="10" spans="1:576" ht="15.75" thickBot="1" x14ac:dyDescent="0.3">
      <c r="C10" s="167" t="s">
        <v>53</v>
      </c>
      <c r="D10" s="118">
        <f>SUM(F17:F81)</f>
        <v>122873598.566</v>
      </c>
      <c r="F10" s="69"/>
      <c r="G10" s="87"/>
      <c r="H10" s="69"/>
      <c r="I10" s="117"/>
    </row>
    <row r="11" spans="1:576" x14ac:dyDescent="0.25">
      <c r="B11" s="103"/>
      <c r="C11" s="69"/>
      <c r="D11" s="31"/>
      <c r="E11" s="103"/>
      <c r="F11" s="103"/>
      <c r="G11" s="103"/>
      <c r="H11" s="84"/>
      <c r="I11" s="494"/>
      <c r="J11" s="84"/>
      <c r="K11" s="122"/>
    </row>
    <row r="12" spans="1:576" x14ac:dyDescent="0.25">
      <c r="B12" s="103"/>
      <c r="C12" s="69"/>
      <c r="D12" s="31"/>
      <c r="E12" s="103"/>
      <c r="F12" s="103"/>
      <c r="G12" s="103"/>
      <c r="H12" s="84"/>
      <c r="I12" s="494"/>
      <c r="J12" s="84"/>
      <c r="K12" s="122"/>
    </row>
    <row r="13" spans="1:576" ht="15.75" x14ac:dyDescent="0.25">
      <c r="B13" s="103"/>
      <c r="C13" s="217" t="s">
        <v>471</v>
      </c>
      <c r="D13" s="218"/>
      <c r="E13" s="103"/>
      <c r="F13" s="103"/>
      <c r="G13" s="103"/>
      <c r="H13" s="84"/>
      <c r="I13" s="494"/>
      <c r="J13" s="84"/>
      <c r="K13" s="122"/>
    </row>
    <row r="14" spans="1:576" ht="18.75" x14ac:dyDescent="0.25">
      <c r="B14" s="103"/>
      <c r="C14" s="220" t="e">
        <f>IFERROR(VLOOKUP(D13,#REF!,2,FALSE),IFERROR(VLOOKUP(D13,#REF!,2,FALSE),IFERROR(VLOOKUP(D13,#REF!,2,FALSE),IFERROR(VLOOKUP(D13,'Docencia y Recursos Humanos '!$F:$G,2,FALSE),IFERROR(VLOOKUP(D13,Estudiantes!$E:$F,2,FALSE),IFERROR(VLOOKUP(D13,'Gestion Administrativa'!$E:$F,2,FALSE),IFERROR(VLOOKUP(D13,#REF!,2,FALSE),IFERROR(VLOOKUP(D13,#REF!,2,FALSE),IFERROR(VLOOKUP(D13,#REF!,2,FALSE),IFERROR(VLOOKUP(D13,#REF!,2,FALSE),IFERROR(VLOOKUP(D13,#REF!,2,FALSE),VLOOKUP(D13,#REF!,2,0))))))))))))</f>
        <v>#REF!</v>
      </c>
      <c r="D14" s="31"/>
      <c r="E14" s="103"/>
      <c r="F14" s="103"/>
      <c r="G14" s="495"/>
      <c r="H14" s="84"/>
      <c r="I14" s="433"/>
      <c r="J14" s="84"/>
      <c r="K14" s="122"/>
    </row>
    <row r="15" spans="1:576" ht="15.75" thickBot="1" x14ac:dyDescent="0.3">
      <c r="F15" s="103"/>
      <c r="G15" s="84"/>
      <c r="H15" s="84"/>
      <c r="I15" s="84"/>
    </row>
    <row r="16" spans="1:576" ht="30.75" thickBot="1" x14ac:dyDescent="0.3">
      <c r="C16" s="139" t="s">
        <v>44</v>
      </c>
      <c r="D16" s="139" t="s">
        <v>55</v>
      </c>
      <c r="E16" s="146" t="s">
        <v>57</v>
      </c>
      <c r="F16" s="145" t="s">
        <v>27</v>
      </c>
      <c r="G16" s="143" t="s">
        <v>208</v>
      </c>
      <c r="H16" s="146" t="s">
        <v>46</v>
      </c>
      <c r="I16" s="143" t="s">
        <v>209</v>
      </c>
      <c r="J16" s="143" t="s">
        <v>491</v>
      </c>
      <c r="K16" s="143" t="s">
        <v>492</v>
      </c>
    </row>
    <row r="17" spans="2:11" x14ac:dyDescent="0.25">
      <c r="C17" s="233"/>
      <c r="D17" s="234"/>
      <c r="E17" s="232">
        <v>620</v>
      </c>
      <c r="F17" s="107">
        <f t="shared" ref="F17:F48" si="0">D17*E17</f>
        <v>0</v>
      </c>
      <c r="G17" s="171" t="s">
        <v>207</v>
      </c>
      <c r="H17" s="152" t="s">
        <v>335</v>
      </c>
      <c r="I17" s="140" t="str">
        <f>VLOOKUP(H17,Presupuesto!$B$8:$C$583,2,0)</f>
        <v>AGUINALDO Y DECIMOCUARTO MES (11500-00)</v>
      </c>
      <c r="J17" s="231" t="s">
        <v>202</v>
      </c>
      <c r="K17" s="108" t="s">
        <v>475</v>
      </c>
    </row>
    <row r="18" spans="2:11" x14ac:dyDescent="0.25">
      <c r="C18" s="151" t="s">
        <v>1642</v>
      </c>
      <c r="D18" s="168">
        <v>1</v>
      </c>
      <c r="E18" s="133">
        <v>500000</v>
      </c>
      <c r="F18" s="107">
        <f t="shared" si="0"/>
        <v>500000</v>
      </c>
      <c r="G18" s="171" t="s">
        <v>207</v>
      </c>
      <c r="H18" s="152" t="s">
        <v>987</v>
      </c>
      <c r="I18" s="140" t="str">
        <f>VLOOKUP(H18,Presupuesto!$B$8:$C$583,2,0)</f>
        <v>REUNIONES Y EVENTOS ESPECIALES</v>
      </c>
      <c r="J18" s="108" t="s">
        <v>187</v>
      </c>
      <c r="K18" s="108" t="s">
        <v>484</v>
      </c>
    </row>
    <row r="19" spans="2:11" ht="47.25" x14ac:dyDescent="0.25">
      <c r="C19" s="461" t="s">
        <v>1656</v>
      </c>
      <c r="D19" s="168">
        <v>18</v>
      </c>
      <c r="E19" s="133">
        <v>4000</v>
      </c>
      <c r="F19" s="107">
        <f t="shared" si="0"/>
        <v>72000</v>
      </c>
      <c r="G19" s="171" t="s">
        <v>207</v>
      </c>
      <c r="H19" s="152" t="s">
        <v>896</v>
      </c>
      <c r="I19" s="140" t="str">
        <f>VLOOKUP(H19,Presupuesto!$B$8:$C$583,2,0)</f>
        <v>ESTUDIOS INVESTISTACIàN Y ANALISIS DE FACTIBILIDAD</v>
      </c>
      <c r="J19" s="108" t="s">
        <v>201</v>
      </c>
      <c r="K19" s="108" t="s">
        <v>477</v>
      </c>
    </row>
    <row r="20" spans="2:11" ht="48" thickBot="1" x14ac:dyDescent="0.3">
      <c r="C20" s="461" t="s">
        <v>1658</v>
      </c>
      <c r="D20" s="168">
        <v>1</v>
      </c>
      <c r="E20" s="133">
        <v>45000</v>
      </c>
      <c r="F20" s="107">
        <f t="shared" si="0"/>
        <v>45000</v>
      </c>
      <c r="G20" s="171" t="s">
        <v>207</v>
      </c>
      <c r="H20" s="152" t="s">
        <v>333</v>
      </c>
      <c r="I20" s="140" t="str">
        <f>VLOOKUP(H20,Presupuesto!$B$8:$C$583,2,0)</f>
        <v>RESTRIBUCIONES A PERSONAL DIRECTIVO Y DE CONTROL (11300-00)</v>
      </c>
      <c r="J20" s="108" t="s">
        <v>201</v>
      </c>
      <c r="K20" s="108" t="s">
        <v>475</v>
      </c>
    </row>
    <row r="21" spans="2:11" ht="45" customHeight="1" x14ac:dyDescent="0.25">
      <c r="B21" s="794" t="s">
        <v>1722</v>
      </c>
      <c r="C21" s="151" t="s">
        <v>1709</v>
      </c>
      <c r="D21" s="168">
        <v>30</v>
      </c>
      <c r="E21" s="462">
        <v>16500</v>
      </c>
      <c r="F21" s="107">
        <f t="shared" si="0"/>
        <v>495000</v>
      </c>
      <c r="G21" s="171" t="s">
        <v>207</v>
      </c>
      <c r="H21" s="152" t="s">
        <v>417</v>
      </c>
      <c r="I21" s="140" t="str">
        <f>VLOOKUP(H21,Presupuesto!$B$8:$C$583,2,0)</f>
        <v>EQUIPOS PARA COMPUTACION</v>
      </c>
      <c r="J21" s="108" t="s">
        <v>559</v>
      </c>
      <c r="K21" s="108" t="s">
        <v>493</v>
      </c>
    </row>
    <row r="22" spans="2:11" x14ac:dyDescent="0.25">
      <c r="B22" s="794"/>
      <c r="C22" s="151" t="s">
        <v>1710</v>
      </c>
      <c r="D22" s="463">
        <v>30</v>
      </c>
      <c r="E22" s="464">
        <v>370.92</v>
      </c>
      <c r="F22" s="107">
        <f t="shared" si="0"/>
        <v>11127.6</v>
      </c>
      <c r="G22" s="171" t="s">
        <v>207</v>
      </c>
      <c r="H22" s="152" t="s">
        <v>417</v>
      </c>
      <c r="I22" s="140" t="str">
        <f>VLOOKUP(H22,Presupuesto!$B$8:$C$583,2,0)</f>
        <v>EQUIPOS PARA COMPUTACION</v>
      </c>
      <c r="J22" s="108" t="s">
        <v>559</v>
      </c>
      <c r="K22" s="108" t="s">
        <v>478</v>
      </c>
    </row>
    <row r="23" spans="2:11" x14ac:dyDescent="0.25">
      <c r="B23" s="794"/>
      <c r="C23" s="151" t="s">
        <v>1711</v>
      </c>
      <c r="D23" s="463">
        <v>30</v>
      </c>
      <c r="E23" s="464">
        <v>176.88</v>
      </c>
      <c r="F23" s="107">
        <f t="shared" si="0"/>
        <v>5306.4</v>
      </c>
      <c r="G23" s="171" t="s">
        <v>207</v>
      </c>
      <c r="H23" s="152" t="s">
        <v>417</v>
      </c>
      <c r="I23" s="140" t="str">
        <f>VLOOKUP(H23,Presupuesto!$B$8:$C$583,2,0)</f>
        <v>EQUIPOS PARA COMPUTACION</v>
      </c>
      <c r="J23" s="108" t="s">
        <v>559</v>
      </c>
      <c r="K23" s="108" t="s">
        <v>478</v>
      </c>
    </row>
    <row r="24" spans="2:11" x14ac:dyDescent="0.25">
      <c r="B24" s="794"/>
      <c r="C24" s="151" t="s">
        <v>1712</v>
      </c>
      <c r="D24" s="168">
        <v>1</v>
      </c>
      <c r="E24" s="465">
        <v>22600</v>
      </c>
      <c r="F24" s="107">
        <f t="shared" si="0"/>
        <v>22600</v>
      </c>
      <c r="G24" s="171" t="s">
        <v>207</v>
      </c>
      <c r="H24" s="152" t="s">
        <v>417</v>
      </c>
      <c r="I24" s="140" t="str">
        <f>VLOOKUP(H24,Presupuesto!$B$8:$C$583,2,0)</f>
        <v>EQUIPOS PARA COMPUTACION</v>
      </c>
      <c r="J24" s="108" t="s">
        <v>559</v>
      </c>
      <c r="K24" s="108" t="s">
        <v>478</v>
      </c>
    </row>
    <row r="25" spans="2:11" x14ac:dyDescent="0.25">
      <c r="B25" s="794"/>
      <c r="C25" s="151" t="s">
        <v>1713</v>
      </c>
      <c r="D25" s="168">
        <v>1</v>
      </c>
      <c r="E25" s="465">
        <v>35204.400000000001</v>
      </c>
      <c r="F25" s="107">
        <f t="shared" si="0"/>
        <v>35204.400000000001</v>
      </c>
      <c r="G25" s="171" t="s">
        <v>207</v>
      </c>
      <c r="H25" s="152" t="s">
        <v>417</v>
      </c>
      <c r="I25" s="140" t="str">
        <f>VLOOKUP(H25,Presupuesto!$B$8:$C$583,2,0)</f>
        <v>EQUIPOS PARA COMPUTACION</v>
      </c>
      <c r="J25" s="108" t="s">
        <v>559</v>
      </c>
      <c r="K25" s="108" t="s">
        <v>478</v>
      </c>
    </row>
    <row r="26" spans="2:11" x14ac:dyDescent="0.25">
      <c r="B26" s="794"/>
      <c r="C26" s="151" t="s">
        <v>1714</v>
      </c>
      <c r="D26" s="168">
        <v>1</v>
      </c>
      <c r="E26" s="465">
        <v>14800</v>
      </c>
      <c r="F26" s="107">
        <f t="shared" si="0"/>
        <v>14800</v>
      </c>
      <c r="G26" s="171" t="s">
        <v>207</v>
      </c>
      <c r="H26" s="152" t="s">
        <v>417</v>
      </c>
      <c r="I26" s="140" t="str">
        <f>VLOOKUP(H26,Presupuesto!$B$8:$C$583,2,0)</f>
        <v>EQUIPOS PARA COMPUTACION</v>
      </c>
      <c r="J26" s="108" t="s">
        <v>559</v>
      </c>
      <c r="K26" s="108" t="s">
        <v>478</v>
      </c>
    </row>
    <row r="27" spans="2:11" x14ac:dyDescent="0.25">
      <c r="B27" s="794"/>
      <c r="C27" s="151" t="s">
        <v>1715</v>
      </c>
      <c r="D27" s="168">
        <v>30</v>
      </c>
      <c r="E27" s="465">
        <v>1890.68</v>
      </c>
      <c r="F27" s="107">
        <f t="shared" si="0"/>
        <v>56720.4</v>
      </c>
      <c r="G27" s="171" t="s">
        <v>207</v>
      </c>
      <c r="H27" s="152" t="s">
        <v>417</v>
      </c>
      <c r="I27" s="140" t="str">
        <f>VLOOKUP(H27,Presupuesto!$B$8:$C$583,2,0)</f>
        <v>EQUIPOS PARA COMPUTACION</v>
      </c>
      <c r="J27" s="108" t="s">
        <v>559</v>
      </c>
      <c r="K27" s="108" t="s">
        <v>478</v>
      </c>
    </row>
    <row r="28" spans="2:11" x14ac:dyDescent="0.25">
      <c r="B28" s="794"/>
      <c r="C28" s="151" t="s">
        <v>1716</v>
      </c>
      <c r="D28" s="168">
        <v>1</v>
      </c>
      <c r="E28" s="465">
        <v>1584</v>
      </c>
      <c r="F28" s="107">
        <f t="shared" si="0"/>
        <v>1584</v>
      </c>
      <c r="G28" s="171" t="s">
        <v>207</v>
      </c>
      <c r="H28" s="152" t="s">
        <v>417</v>
      </c>
      <c r="I28" s="140" t="str">
        <f>VLOOKUP(H28,Presupuesto!$B$8:$C$583,2,0)</f>
        <v>EQUIPOS PARA COMPUTACION</v>
      </c>
      <c r="J28" s="108" t="s">
        <v>559</v>
      </c>
      <c r="K28" s="108" t="s">
        <v>478</v>
      </c>
    </row>
    <row r="29" spans="2:11" x14ac:dyDescent="0.25">
      <c r="B29" s="794"/>
      <c r="C29" s="151" t="s">
        <v>1717</v>
      </c>
      <c r="D29" s="168">
        <v>1</v>
      </c>
      <c r="E29" s="465">
        <v>1441</v>
      </c>
      <c r="F29" s="107">
        <f t="shared" si="0"/>
        <v>1441</v>
      </c>
      <c r="G29" s="171" t="s">
        <v>207</v>
      </c>
      <c r="H29" s="152" t="s">
        <v>417</v>
      </c>
      <c r="I29" s="140" t="str">
        <f>VLOOKUP(H29,Presupuesto!$B$8:$C$583,2,0)</f>
        <v>EQUIPOS PARA COMPUTACION</v>
      </c>
      <c r="J29" s="108" t="s">
        <v>559</v>
      </c>
      <c r="K29" s="108" t="s">
        <v>478</v>
      </c>
    </row>
    <row r="30" spans="2:11" x14ac:dyDescent="0.25">
      <c r="B30" s="794"/>
      <c r="C30" s="151" t="s">
        <v>1718</v>
      </c>
      <c r="D30" s="168">
        <v>1</v>
      </c>
      <c r="E30" s="465">
        <v>16469.376</v>
      </c>
      <c r="F30" s="107">
        <f t="shared" si="0"/>
        <v>16469.376</v>
      </c>
      <c r="G30" s="171" t="s">
        <v>207</v>
      </c>
      <c r="H30" s="152" t="s">
        <v>417</v>
      </c>
      <c r="I30" s="140" t="str">
        <f>VLOOKUP(H30,Presupuesto!$B$8:$C$583,2,0)</f>
        <v>EQUIPOS PARA COMPUTACION</v>
      </c>
      <c r="J30" s="108" t="s">
        <v>559</v>
      </c>
      <c r="K30" s="108" t="s">
        <v>478</v>
      </c>
    </row>
    <row r="31" spans="2:11" x14ac:dyDescent="0.25">
      <c r="B31" s="794"/>
      <c r="C31" s="151" t="s">
        <v>1719</v>
      </c>
      <c r="D31" s="168">
        <v>1</v>
      </c>
      <c r="E31" s="465">
        <v>4293.5200000000004</v>
      </c>
      <c r="F31" s="107">
        <f t="shared" si="0"/>
        <v>4293.5200000000004</v>
      </c>
      <c r="G31" s="171" t="s">
        <v>207</v>
      </c>
      <c r="H31" s="152" t="s">
        <v>417</v>
      </c>
      <c r="I31" s="140" t="str">
        <f>VLOOKUP(H31,Presupuesto!$B$8:$C$583,2,0)</f>
        <v>EQUIPOS PARA COMPUTACION</v>
      </c>
      <c r="J31" s="108" t="s">
        <v>559</v>
      </c>
      <c r="K31" s="108" t="s">
        <v>478</v>
      </c>
    </row>
    <row r="32" spans="2:11" x14ac:dyDescent="0.25">
      <c r="B32" s="794"/>
      <c r="C32" s="151" t="s">
        <v>1720</v>
      </c>
      <c r="D32" s="168">
        <v>1</v>
      </c>
      <c r="E32" s="465">
        <v>53921.67</v>
      </c>
      <c r="F32" s="107">
        <f t="shared" si="0"/>
        <v>53921.67</v>
      </c>
      <c r="G32" s="171" t="s">
        <v>207</v>
      </c>
      <c r="H32" s="152" t="s">
        <v>417</v>
      </c>
      <c r="I32" s="140" t="str">
        <f>VLOOKUP(H32,Presupuesto!$B$8:$C$583,2,0)</f>
        <v>EQUIPOS PARA COMPUTACION</v>
      </c>
      <c r="J32" s="108" t="s">
        <v>559</v>
      </c>
      <c r="K32" s="108" t="s">
        <v>478</v>
      </c>
    </row>
    <row r="33" spans="2:11" ht="15.75" thickBot="1" x14ac:dyDescent="0.3">
      <c r="B33" s="794"/>
      <c r="C33" s="151" t="s">
        <v>1721</v>
      </c>
      <c r="D33" s="168">
        <v>16</v>
      </c>
      <c r="E33" s="465">
        <v>2048</v>
      </c>
      <c r="F33" s="107">
        <f t="shared" si="0"/>
        <v>32768</v>
      </c>
      <c r="G33" s="171" t="s">
        <v>207</v>
      </c>
      <c r="H33" s="152" t="s">
        <v>417</v>
      </c>
      <c r="I33" s="140" t="str">
        <f>VLOOKUP(H33,Presupuesto!$B$8:$C$583,2,0)</f>
        <v>EQUIPOS PARA COMPUTACION</v>
      </c>
      <c r="J33" s="108" t="s">
        <v>559</v>
      </c>
      <c r="K33" s="108" t="s">
        <v>478</v>
      </c>
    </row>
    <row r="34" spans="2:11" x14ac:dyDescent="0.25">
      <c r="B34" s="794"/>
      <c r="C34" s="151" t="s">
        <v>1723</v>
      </c>
      <c r="D34" s="168">
        <v>8</v>
      </c>
      <c r="E34" s="467">
        <v>35204.400000000001</v>
      </c>
      <c r="F34" s="468">
        <f t="shared" si="0"/>
        <v>281635.20000000001</v>
      </c>
      <c r="G34" s="171" t="s">
        <v>207</v>
      </c>
      <c r="H34" s="152" t="s">
        <v>417</v>
      </c>
      <c r="I34" s="140" t="str">
        <f>VLOOKUP(H34,Presupuesto!$B$8:$C$583,2,0)</f>
        <v>EQUIPOS PARA COMPUTACION</v>
      </c>
      <c r="J34" s="108" t="s">
        <v>559</v>
      </c>
      <c r="K34" s="108" t="s">
        <v>478</v>
      </c>
    </row>
    <row r="35" spans="2:11" x14ac:dyDescent="0.25">
      <c r="B35" s="794"/>
      <c r="C35" s="151" t="s">
        <v>1724</v>
      </c>
      <c r="D35" s="168">
        <v>4</v>
      </c>
      <c r="E35" s="465">
        <v>800</v>
      </c>
      <c r="F35" s="468">
        <f t="shared" si="0"/>
        <v>3200</v>
      </c>
      <c r="G35" s="171" t="s">
        <v>207</v>
      </c>
      <c r="H35" s="152" t="s">
        <v>417</v>
      </c>
      <c r="I35" s="140" t="str">
        <f>VLOOKUP(H35,Presupuesto!$B$8:$C$583,2,0)</f>
        <v>EQUIPOS PARA COMPUTACION</v>
      </c>
      <c r="J35" s="108" t="s">
        <v>559</v>
      </c>
      <c r="K35" s="108" t="s">
        <v>478</v>
      </c>
    </row>
    <row r="36" spans="2:11" x14ac:dyDescent="0.25">
      <c r="B36" s="794"/>
      <c r="C36" s="151" t="s">
        <v>1725</v>
      </c>
      <c r="D36" s="168">
        <v>4</v>
      </c>
      <c r="E36" s="133">
        <v>23000</v>
      </c>
      <c r="F36" s="107">
        <f t="shared" si="0"/>
        <v>92000</v>
      </c>
      <c r="G36" s="171" t="s">
        <v>207</v>
      </c>
      <c r="H36" s="152" t="s">
        <v>417</v>
      </c>
      <c r="I36" s="140" t="str">
        <f>VLOOKUP(H36,Presupuesto!$B$8:$C$583,2,0)</f>
        <v>EQUIPOS PARA COMPUTACION</v>
      </c>
      <c r="J36" s="108" t="s">
        <v>559</v>
      </c>
      <c r="K36" s="108" t="s">
        <v>478</v>
      </c>
    </row>
    <row r="37" spans="2:11" ht="30" x14ac:dyDescent="0.25">
      <c r="B37" s="795" t="s">
        <v>1734</v>
      </c>
      <c r="C37" s="434" t="s">
        <v>1998</v>
      </c>
      <c r="D37" s="168">
        <v>5</v>
      </c>
      <c r="E37" s="133">
        <v>10000</v>
      </c>
      <c r="F37" s="496">
        <f t="shared" si="0"/>
        <v>50000</v>
      </c>
      <c r="G37" s="497" t="s">
        <v>207</v>
      </c>
      <c r="H37" s="154" t="s">
        <v>1200</v>
      </c>
      <c r="I37" s="140" t="str">
        <f>VLOOKUP(H37,Presupuesto!$B$8:$C$583,2,0)</f>
        <v>OTROS</v>
      </c>
      <c r="J37" s="108" t="s">
        <v>559</v>
      </c>
      <c r="K37" s="108" t="s">
        <v>493</v>
      </c>
    </row>
    <row r="38" spans="2:11" x14ac:dyDescent="0.25">
      <c r="B38" s="795"/>
      <c r="C38" s="151" t="s">
        <v>1740</v>
      </c>
      <c r="D38" s="168">
        <v>5</v>
      </c>
      <c r="E38" s="133">
        <v>4000</v>
      </c>
      <c r="F38" s="107">
        <f t="shared" si="0"/>
        <v>20000</v>
      </c>
      <c r="G38" s="171" t="s">
        <v>207</v>
      </c>
      <c r="H38" s="152" t="s">
        <v>1200</v>
      </c>
      <c r="I38" s="140" t="str">
        <f>VLOOKUP(H38,Presupuesto!$B$8:$C$583,2,0)</f>
        <v>OTROS</v>
      </c>
      <c r="J38" s="108" t="s">
        <v>559</v>
      </c>
      <c r="K38" s="108" t="s">
        <v>493</v>
      </c>
    </row>
    <row r="39" spans="2:11" x14ac:dyDescent="0.25">
      <c r="B39" s="795"/>
      <c r="C39" s="151" t="s">
        <v>1741</v>
      </c>
      <c r="D39" s="168">
        <v>1</v>
      </c>
      <c r="E39" s="133">
        <v>33000</v>
      </c>
      <c r="F39" s="107">
        <f t="shared" si="0"/>
        <v>33000</v>
      </c>
      <c r="G39" s="171" t="s">
        <v>207</v>
      </c>
      <c r="H39" s="152" t="s">
        <v>422</v>
      </c>
      <c r="I39" s="140" t="str">
        <f>VLOOKUP(H39,Presupuesto!$B$8:$C$583,2,0)</f>
        <v>CONSTRUCCIONES ADICIONES Y MEJORA DE EDIF (47100-00)</v>
      </c>
      <c r="J39" s="108" t="s">
        <v>559</v>
      </c>
      <c r="K39" s="108" t="s">
        <v>493</v>
      </c>
    </row>
    <row r="40" spans="2:11" x14ac:dyDescent="0.25">
      <c r="B40" s="796" t="s">
        <v>1787</v>
      </c>
      <c r="C40" s="153" t="s">
        <v>1786</v>
      </c>
      <c r="D40" s="161">
        <v>1</v>
      </c>
      <c r="E40" s="128">
        <v>15000</v>
      </c>
      <c r="F40" s="107">
        <f t="shared" si="0"/>
        <v>15000</v>
      </c>
      <c r="G40" s="171" t="s">
        <v>207</v>
      </c>
      <c r="H40" s="154" t="s">
        <v>1024</v>
      </c>
      <c r="I40" s="140" t="str">
        <f>VLOOKUP(H40,Presupuesto!$B$8:$C$583,2,0)</f>
        <v>PRODUCTOS DE ARTES GRAFICAS</v>
      </c>
      <c r="J40" s="108" t="s">
        <v>562</v>
      </c>
      <c r="K40" s="108" t="s">
        <v>493</v>
      </c>
    </row>
    <row r="41" spans="2:11" x14ac:dyDescent="0.25">
      <c r="B41" s="796"/>
      <c r="C41" s="153" t="s">
        <v>1788</v>
      </c>
      <c r="D41" s="161">
        <v>7</v>
      </c>
      <c r="E41" s="128">
        <v>20000</v>
      </c>
      <c r="F41" s="107">
        <f t="shared" si="0"/>
        <v>140000</v>
      </c>
      <c r="G41" s="171" t="s">
        <v>207</v>
      </c>
      <c r="H41" s="154" t="s">
        <v>985</v>
      </c>
      <c r="I41" s="140" t="str">
        <f>VLOOKUP(H41,Presupuesto!$B$8:$C$583,2,0)</f>
        <v>SERVICIOS CEREMONIAL Y PROTOCOLO</v>
      </c>
      <c r="J41" s="108" t="s">
        <v>562</v>
      </c>
      <c r="K41" s="108" t="s">
        <v>493</v>
      </c>
    </row>
    <row r="42" spans="2:11" x14ac:dyDescent="0.25">
      <c r="B42" s="796"/>
      <c r="C42" s="153" t="s">
        <v>1788</v>
      </c>
      <c r="D42" s="161">
        <v>4</v>
      </c>
      <c r="E42" s="128">
        <v>40000</v>
      </c>
      <c r="F42" s="107">
        <f t="shared" si="0"/>
        <v>160000</v>
      </c>
      <c r="G42" s="171" t="s">
        <v>207</v>
      </c>
      <c r="H42" s="154" t="s">
        <v>987</v>
      </c>
      <c r="I42" s="140" t="str">
        <f>VLOOKUP(H42,Presupuesto!$B$8:$C$583,2,0)</f>
        <v>REUNIONES Y EVENTOS ESPECIALES</v>
      </c>
      <c r="J42" s="108" t="s">
        <v>562</v>
      </c>
      <c r="K42" s="108" t="s">
        <v>493</v>
      </c>
    </row>
    <row r="43" spans="2:11" ht="78.75" x14ac:dyDescent="0.25">
      <c r="C43" s="513" t="s">
        <v>1819</v>
      </c>
      <c r="D43" s="161">
        <v>21</v>
      </c>
      <c r="E43" s="128">
        <v>30000</v>
      </c>
      <c r="F43" s="107">
        <f t="shared" si="0"/>
        <v>630000</v>
      </c>
      <c r="G43" s="171" t="s">
        <v>207</v>
      </c>
      <c r="H43" s="154" t="s">
        <v>779</v>
      </c>
      <c r="I43" s="140" t="str">
        <f>VLOOKUP(H43,Presupuesto!$B$8:$C$583,2,0)</f>
        <v>SERVICIOS DE PROFESIONALES Y TECNICOS</v>
      </c>
      <c r="J43" s="108" t="str">
        <f>$J$17</f>
        <v>Docencia y Recursos Humanos</v>
      </c>
      <c r="K43" s="108" t="s">
        <v>493</v>
      </c>
    </row>
    <row r="44" spans="2:11" x14ac:dyDescent="0.25">
      <c r="C44" s="153" t="s">
        <v>1837</v>
      </c>
      <c r="D44" s="161">
        <v>1</v>
      </c>
      <c r="E44" s="128">
        <v>31655</v>
      </c>
      <c r="F44" s="107">
        <f t="shared" si="0"/>
        <v>31655</v>
      </c>
      <c r="G44" s="171" t="s">
        <v>207</v>
      </c>
      <c r="H44" s="152" t="s">
        <v>896</v>
      </c>
      <c r="I44" s="140" t="str">
        <f>VLOOKUP(H44,Presupuesto!$B$8:$C$583,2,0)</f>
        <v>ESTUDIOS INVESTISTACIàN Y ANALISIS DE FACTIBILIDAD</v>
      </c>
      <c r="J44" s="108" t="s">
        <v>561</v>
      </c>
      <c r="K44" s="108" t="s">
        <v>493</v>
      </c>
    </row>
    <row r="45" spans="2:11" x14ac:dyDescent="0.25">
      <c r="C45" s="151" t="s">
        <v>1897</v>
      </c>
      <c r="D45" s="168">
        <v>1</v>
      </c>
      <c r="E45" s="133">
        <v>5535000</v>
      </c>
      <c r="F45" s="107">
        <f t="shared" si="0"/>
        <v>5535000</v>
      </c>
      <c r="G45" s="171" t="s">
        <v>207</v>
      </c>
      <c r="H45" s="546" t="s">
        <v>1200</v>
      </c>
      <c r="I45" s="140" t="str">
        <f>VLOOKUP(H45,Presupuesto!$B$8:$C$583,2,0)</f>
        <v>OTROS</v>
      </c>
      <c r="J45" s="108" t="s">
        <v>561</v>
      </c>
      <c r="K45" s="108" t="s">
        <v>1889</v>
      </c>
    </row>
    <row r="46" spans="2:11" x14ac:dyDescent="0.25">
      <c r="C46" s="151" t="s">
        <v>1898</v>
      </c>
      <c r="D46" s="168">
        <v>2</v>
      </c>
      <c r="E46" s="133">
        <v>6000</v>
      </c>
      <c r="F46" s="107">
        <f t="shared" si="0"/>
        <v>12000</v>
      </c>
      <c r="G46" s="171" t="s">
        <v>207</v>
      </c>
      <c r="H46" s="546" t="s">
        <v>886</v>
      </c>
      <c r="I46" s="140" t="str">
        <f>VLOOKUP(H46,Presupuesto!$B$8:$C$583,2,0)</f>
        <v>MANTENIMIENTO Y REPARACION DE OTROS EQUIPOS</v>
      </c>
      <c r="J46" s="108" t="s">
        <v>559</v>
      </c>
      <c r="K46" s="108" t="s">
        <v>1889</v>
      </c>
    </row>
    <row r="47" spans="2:11" x14ac:dyDescent="0.25">
      <c r="C47" s="151" t="s">
        <v>1898</v>
      </c>
      <c r="D47" s="168">
        <v>2</v>
      </c>
      <c r="E47" s="133">
        <v>6000</v>
      </c>
      <c r="F47" s="107">
        <f t="shared" si="0"/>
        <v>12000</v>
      </c>
      <c r="G47" s="171" t="s">
        <v>207</v>
      </c>
      <c r="H47" s="546" t="s">
        <v>886</v>
      </c>
      <c r="I47" s="140" t="str">
        <f>VLOOKUP(H47,Presupuesto!$B$8:$C$583,2,0)</f>
        <v>MANTENIMIENTO Y REPARACION DE OTROS EQUIPOS</v>
      </c>
      <c r="J47" s="108" t="s">
        <v>559</v>
      </c>
      <c r="K47" s="108" t="s">
        <v>1889</v>
      </c>
    </row>
    <row r="48" spans="2:11" x14ac:dyDescent="0.25">
      <c r="C48" s="151" t="s">
        <v>1898</v>
      </c>
      <c r="D48" s="168">
        <v>2</v>
      </c>
      <c r="E48" s="133">
        <v>6000</v>
      </c>
      <c r="F48" s="107">
        <f t="shared" si="0"/>
        <v>12000</v>
      </c>
      <c r="G48" s="171" t="s">
        <v>207</v>
      </c>
      <c r="H48" s="546" t="s">
        <v>886</v>
      </c>
      <c r="I48" s="140" t="str">
        <f>VLOOKUP(H48,Presupuesto!$B$8:$C$583,2,0)</f>
        <v>MANTENIMIENTO Y REPARACION DE OTROS EQUIPOS</v>
      </c>
      <c r="J48" s="108" t="s">
        <v>559</v>
      </c>
      <c r="K48" s="108" t="s">
        <v>1889</v>
      </c>
    </row>
    <row r="49" spans="3:12" x14ac:dyDescent="0.25">
      <c r="C49" s="545" t="s">
        <v>1912</v>
      </c>
      <c r="D49" s="546">
        <v>1</v>
      </c>
      <c r="E49" s="547">
        <v>3276740</v>
      </c>
      <c r="F49" s="140">
        <f t="shared" ref="F49:F54" si="1">D49*E49</f>
        <v>3276740</v>
      </c>
      <c r="G49" s="171" t="s">
        <v>207</v>
      </c>
      <c r="H49" s="152" t="s">
        <v>417</v>
      </c>
      <c r="I49" s="140" t="str">
        <f>VLOOKUP(H49,Presupuesto!$B$8:$C$583,2,0)</f>
        <v>EQUIPOS PARA COMPUTACION</v>
      </c>
      <c r="J49" s="108" t="s">
        <v>561</v>
      </c>
      <c r="K49" s="108" t="s">
        <v>1889</v>
      </c>
    </row>
    <row r="50" spans="3:12" x14ac:dyDescent="0.25">
      <c r="C50" s="545" t="s">
        <v>1913</v>
      </c>
      <c r="D50" s="546">
        <v>1</v>
      </c>
      <c r="E50" s="545">
        <v>8051500</v>
      </c>
      <c r="F50" s="95">
        <f t="shared" si="1"/>
        <v>8051500</v>
      </c>
      <c r="G50" s="171" t="s">
        <v>207</v>
      </c>
      <c r="H50" s="546" t="s">
        <v>1208</v>
      </c>
      <c r="I50" s="140" t="str">
        <f>VLOOKUP(H50,Presupuesto!$B$8:$C$583,2,0)</f>
        <v>EQUIPO MEDICO Y LABORATORIO</v>
      </c>
      <c r="J50" s="108" t="s">
        <v>561</v>
      </c>
      <c r="K50" s="108" t="s">
        <v>1889</v>
      </c>
    </row>
    <row r="51" spans="3:12" x14ac:dyDescent="0.25">
      <c r="C51" s="548" t="s">
        <v>1914</v>
      </c>
      <c r="D51" s="549">
        <v>1</v>
      </c>
      <c r="E51" s="547">
        <v>4500000</v>
      </c>
      <c r="F51" s="544">
        <f t="shared" si="1"/>
        <v>4500000</v>
      </c>
      <c r="G51" s="171" t="s">
        <v>207</v>
      </c>
      <c r="H51" s="546" t="s">
        <v>1230</v>
      </c>
      <c r="I51" s="140" t="str">
        <f>VLOOKUP(H51,Presupuesto!$B$8:$C$583,2,0)</f>
        <v>EQUIPO EDUCACIONAL Y RECREATIVO</v>
      </c>
      <c r="J51" s="108" t="s">
        <v>561</v>
      </c>
      <c r="K51" s="108" t="s">
        <v>1889</v>
      </c>
    </row>
    <row r="52" spans="3:12" x14ac:dyDescent="0.25">
      <c r="C52" s="548" t="s">
        <v>1916</v>
      </c>
      <c r="D52" s="549">
        <v>1</v>
      </c>
      <c r="E52" s="547">
        <v>861500</v>
      </c>
      <c r="F52" s="544">
        <f t="shared" si="1"/>
        <v>861500</v>
      </c>
      <c r="G52" s="171" t="s">
        <v>207</v>
      </c>
      <c r="H52" s="546" t="s">
        <v>1230</v>
      </c>
      <c r="I52" s="140" t="str">
        <f>VLOOKUP(H52,Presupuesto!$B$8:$C$583,2,0)</f>
        <v>EQUIPO EDUCACIONAL Y RECREATIVO</v>
      </c>
      <c r="J52" s="108" t="s">
        <v>561</v>
      </c>
      <c r="K52" s="108" t="s">
        <v>1889</v>
      </c>
    </row>
    <row r="53" spans="3:12" x14ac:dyDescent="0.25">
      <c r="C53" s="548" t="s">
        <v>1917</v>
      </c>
      <c r="D53" s="549">
        <v>1</v>
      </c>
      <c r="E53" s="547">
        <v>3575350</v>
      </c>
      <c r="F53" s="544">
        <f t="shared" si="1"/>
        <v>3575350</v>
      </c>
      <c r="G53" s="171" t="s">
        <v>207</v>
      </c>
      <c r="H53" s="546" t="s">
        <v>1230</v>
      </c>
      <c r="I53" s="140" t="str">
        <f>VLOOKUP(H53,Presupuesto!$B$8:$C$583,2,0)</f>
        <v>EQUIPO EDUCACIONAL Y RECREATIVO</v>
      </c>
      <c r="J53" s="108" t="s">
        <v>561</v>
      </c>
      <c r="K53" s="488" t="s">
        <v>477</v>
      </c>
    </row>
    <row r="54" spans="3:12" ht="30.75" thickBot="1" x14ac:dyDescent="0.3">
      <c r="C54" s="550" t="s">
        <v>1918</v>
      </c>
      <c r="D54" s="549">
        <v>1</v>
      </c>
      <c r="E54" s="547">
        <v>90000000</v>
      </c>
      <c r="F54" s="142">
        <f t="shared" si="1"/>
        <v>90000000</v>
      </c>
      <c r="G54" s="171" t="s">
        <v>207</v>
      </c>
      <c r="H54" s="546" t="s">
        <v>1208</v>
      </c>
      <c r="I54" s="140" t="str">
        <f>VLOOKUP(H54,Presupuesto!$B$8:$C$583,2,0)</f>
        <v>EQUIPO MEDICO Y LABORATORIO</v>
      </c>
      <c r="J54" s="108" t="s">
        <v>561</v>
      </c>
      <c r="K54" s="134" t="s">
        <v>484</v>
      </c>
    </row>
    <row r="55" spans="3:12" ht="15.75" thickBot="1" x14ac:dyDescent="0.3">
      <c r="C55" s="548" t="s">
        <v>1921</v>
      </c>
      <c r="D55" s="549">
        <v>1</v>
      </c>
      <c r="E55" s="547">
        <v>100000</v>
      </c>
      <c r="F55" s="142">
        <f t="shared" ref="F55:F80" si="2">D55*E55</f>
        <v>100000</v>
      </c>
      <c r="G55" s="171" t="s">
        <v>207</v>
      </c>
      <c r="H55" s="546" t="s">
        <v>1208</v>
      </c>
      <c r="I55" s="140" t="str">
        <f>VLOOKUP(H55,Presupuesto!$B$8:$C$583,2,0)</f>
        <v>EQUIPO MEDICO Y LABORATORIO</v>
      </c>
      <c r="J55" s="108" t="s">
        <v>561</v>
      </c>
      <c r="K55" s="134" t="s">
        <v>484</v>
      </c>
    </row>
    <row r="56" spans="3:12" ht="15.75" thickBot="1" x14ac:dyDescent="0.3">
      <c r="C56" s="548" t="s">
        <v>1923</v>
      </c>
      <c r="D56" s="549">
        <v>3</v>
      </c>
      <c r="E56" s="547">
        <v>80000</v>
      </c>
      <c r="F56" s="142">
        <f t="shared" si="2"/>
        <v>240000</v>
      </c>
      <c r="G56" s="171" t="s">
        <v>207</v>
      </c>
      <c r="H56" s="546" t="s">
        <v>1208</v>
      </c>
      <c r="I56" s="140" t="str">
        <f>VLOOKUP(H56,Presupuesto!$B$8:$C$583,2,0)</f>
        <v>EQUIPO MEDICO Y LABORATORIO</v>
      </c>
      <c r="J56" s="108" t="s">
        <v>561</v>
      </c>
      <c r="K56" s="134" t="s">
        <v>484</v>
      </c>
    </row>
    <row r="57" spans="3:12" ht="15.75" thickBot="1" x14ac:dyDescent="0.3">
      <c r="C57" s="548" t="s">
        <v>1922</v>
      </c>
      <c r="D57" s="549">
        <v>30</v>
      </c>
      <c r="E57" s="547">
        <v>11500</v>
      </c>
      <c r="F57" s="142">
        <f t="shared" si="2"/>
        <v>345000</v>
      </c>
      <c r="G57" s="171" t="s">
        <v>207</v>
      </c>
      <c r="H57" s="546" t="s">
        <v>1208</v>
      </c>
      <c r="I57" s="140" t="str">
        <f>VLOOKUP(H57,Presupuesto!$B$8:$C$583,2,0)</f>
        <v>EQUIPO MEDICO Y LABORATORIO</v>
      </c>
      <c r="J57" s="108" t="s">
        <v>561</v>
      </c>
      <c r="K57" s="134" t="s">
        <v>484</v>
      </c>
    </row>
    <row r="58" spans="3:12" ht="15.75" thickBot="1" x14ac:dyDescent="0.3">
      <c r="C58" s="548" t="s">
        <v>1924</v>
      </c>
      <c r="D58" s="549">
        <v>1</v>
      </c>
      <c r="E58" s="547">
        <v>1000000</v>
      </c>
      <c r="F58" s="142">
        <f t="shared" si="2"/>
        <v>1000000</v>
      </c>
      <c r="G58" s="171" t="s">
        <v>207</v>
      </c>
      <c r="H58" s="546" t="s">
        <v>1208</v>
      </c>
      <c r="I58" s="140" t="str">
        <f>VLOOKUP(H58,Presupuesto!$B$8:$C$583,2,0)</f>
        <v>EQUIPO MEDICO Y LABORATORIO</v>
      </c>
      <c r="J58" s="108" t="s">
        <v>561</v>
      </c>
      <c r="K58" s="134" t="s">
        <v>484</v>
      </c>
    </row>
    <row r="59" spans="3:12" ht="30.75" thickBot="1" x14ac:dyDescent="0.3">
      <c r="C59" s="550" t="s">
        <v>1988</v>
      </c>
      <c r="D59" s="549">
        <v>10</v>
      </c>
      <c r="E59" s="547">
        <v>20000</v>
      </c>
      <c r="F59" s="142">
        <f t="shared" si="2"/>
        <v>200000</v>
      </c>
      <c r="G59" s="171" t="s">
        <v>207</v>
      </c>
      <c r="H59" s="546" t="s">
        <v>910</v>
      </c>
      <c r="I59" s="140" t="str">
        <f>VLOOKUP(H59,Presupuesto!$B$8:$C$583,2,0)</f>
        <v>OTROS SERVICIOS TECNICOS Y PROFESIONALES</v>
      </c>
      <c r="J59" s="108" t="s">
        <v>561</v>
      </c>
      <c r="K59" s="134" t="s">
        <v>477</v>
      </c>
    </row>
    <row r="60" spans="3:12" ht="15.75" thickBot="1" x14ac:dyDescent="0.3">
      <c r="C60" s="548" t="s">
        <v>1989</v>
      </c>
      <c r="D60" s="549">
        <v>1</v>
      </c>
      <c r="E60" s="547">
        <v>1060000</v>
      </c>
      <c r="F60" s="142">
        <f t="shared" si="2"/>
        <v>1060000</v>
      </c>
      <c r="G60" s="171" t="s">
        <v>207</v>
      </c>
      <c r="H60" s="546" t="s">
        <v>896</v>
      </c>
      <c r="I60" s="140" t="str">
        <f>VLOOKUP(H60,Presupuesto!$B$8:$C$583,2,0)</f>
        <v>ESTUDIOS INVESTISTACIàN Y ANALISIS DE FACTIBILIDAD</v>
      </c>
      <c r="J60" s="108" t="s">
        <v>561</v>
      </c>
      <c r="K60" s="134" t="s">
        <v>493</v>
      </c>
    </row>
    <row r="61" spans="3:12" ht="15.75" thickBot="1" x14ac:dyDescent="0.3">
      <c r="C61" s="548" t="s">
        <v>1991</v>
      </c>
      <c r="D61" s="549">
        <v>1</v>
      </c>
      <c r="E61" s="547">
        <v>245380</v>
      </c>
      <c r="F61" s="142">
        <f t="shared" si="2"/>
        <v>245380</v>
      </c>
      <c r="G61" s="171" t="s">
        <v>207</v>
      </c>
      <c r="H61" s="546" t="s">
        <v>1200</v>
      </c>
      <c r="I61" s="140" t="str">
        <f>VLOOKUP(H61,Presupuesto!$B$8:$C$583,2,0)</f>
        <v>OTROS</v>
      </c>
      <c r="J61" s="116" t="s">
        <v>187</v>
      </c>
      <c r="K61" s="134" t="s">
        <v>478</v>
      </c>
    </row>
    <row r="62" spans="3:12" ht="15.75" thickBot="1" x14ac:dyDescent="0.3">
      <c r="C62" s="548" t="s">
        <v>1992</v>
      </c>
      <c r="D62" s="549">
        <v>1</v>
      </c>
      <c r="E62" s="547">
        <v>273050</v>
      </c>
      <c r="F62" s="142">
        <f t="shared" si="2"/>
        <v>273050</v>
      </c>
      <c r="G62" s="171" t="s">
        <v>207</v>
      </c>
      <c r="H62" s="546" t="s">
        <v>1200</v>
      </c>
      <c r="I62" s="140" t="str">
        <f>VLOOKUP(H62,Presupuesto!$B$8:$C$583,2,0)</f>
        <v>OTROS</v>
      </c>
      <c r="J62" s="116" t="s">
        <v>187</v>
      </c>
      <c r="K62" s="134" t="s">
        <v>1993</v>
      </c>
    </row>
    <row r="63" spans="3:12" ht="15.75" thickBot="1" x14ac:dyDescent="0.3">
      <c r="C63" s="548" t="s">
        <v>1995</v>
      </c>
      <c r="D63" s="549">
        <v>1</v>
      </c>
      <c r="E63" s="547">
        <v>100000</v>
      </c>
      <c r="F63" s="142">
        <f t="shared" si="2"/>
        <v>100000</v>
      </c>
      <c r="G63" s="171" t="s">
        <v>207</v>
      </c>
      <c r="H63" s="546" t="s">
        <v>1200</v>
      </c>
      <c r="I63" s="140" t="str">
        <f>VLOOKUP(H63,Presupuesto!$B$8:$C$583,2,0)</f>
        <v>OTROS</v>
      </c>
      <c r="J63" s="116" t="str">
        <f>$J$20</f>
        <v>Desarrollo Curricular</v>
      </c>
      <c r="K63" s="134" t="s">
        <v>475</v>
      </c>
    </row>
    <row r="64" spans="3:12" ht="45" x14ac:dyDescent="0.25">
      <c r="C64" s="603" t="s">
        <v>2012</v>
      </c>
      <c r="D64" s="168">
        <v>1</v>
      </c>
      <c r="E64" s="133">
        <v>30000</v>
      </c>
      <c r="F64" s="604">
        <f t="shared" si="2"/>
        <v>30000</v>
      </c>
      <c r="G64" s="171" t="s">
        <v>207</v>
      </c>
      <c r="H64" s="152" t="s">
        <v>375</v>
      </c>
      <c r="I64" s="140" t="str">
        <f>VLOOKUP(H64,[5]Presupuesto!$B$8:$C$583,2,0)</f>
        <v>PUBLICIDAD Y PROPAGANDA</v>
      </c>
      <c r="J64" s="108" t="s">
        <v>558</v>
      </c>
      <c r="K64" s="108" t="s">
        <v>493</v>
      </c>
      <c r="L64" s="108"/>
    </row>
    <row r="65" spans="3:12" ht="30" x14ac:dyDescent="0.25">
      <c r="C65" s="603" t="s">
        <v>2013</v>
      </c>
      <c r="D65" s="168">
        <v>1</v>
      </c>
      <c r="E65" s="133">
        <v>15500</v>
      </c>
      <c r="F65" s="604">
        <f t="shared" si="2"/>
        <v>15500</v>
      </c>
      <c r="G65" s="171" t="s">
        <v>207</v>
      </c>
      <c r="H65" s="152" t="s">
        <v>375</v>
      </c>
      <c r="I65" s="140" t="str">
        <f>VLOOKUP(H65,[5]Presupuesto!$B$8:$C$583,2,0)</f>
        <v>PUBLICIDAD Y PROPAGANDA</v>
      </c>
      <c r="J65" s="108" t="s">
        <v>558</v>
      </c>
      <c r="K65" s="108" t="s">
        <v>493</v>
      </c>
      <c r="L65" s="108"/>
    </row>
    <row r="66" spans="3:12" ht="30" x14ac:dyDescent="0.25">
      <c r="C66" s="603" t="s">
        <v>2014</v>
      </c>
      <c r="D66" s="168">
        <v>1</v>
      </c>
      <c r="E66" s="133">
        <v>90000</v>
      </c>
      <c r="F66" s="605">
        <f>200*450</f>
        <v>90000</v>
      </c>
      <c r="G66" s="171" t="s">
        <v>207</v>
      </c>
      <c r="H66" s="152" t="s">
        <v>1238</v>
      </c>
      <c r="I66" s="140" t="str">
        <f>VLOOKUP(H66,[5]Presupuesto!$B$8:$C$583,2,0)</f>
        <v>LIBROS, REVISTAS Y OTROS ELEMENTOS COLECCIONABLES</v>
      </c>
      <c r="J66" s="108" t="s">
        <v>558</v>
      </c>
      <c r="K66" s="108" t="s">
        <v>493</v>
      </c>
      <c r="L66" s="108"/>
    </row>
    <row r="67" spans="3:12" ht="45" x14ac:dyDescent="0.25">
      <c r="C67" s="675" t="s">
        <v>2048</v>
      </c>
      <c r="D67" s="676">
        <v>1</v>
      </c>
      <c r="E67" s="677">
        <v>1200</v>
      </c>
      <c r="F67" s="685">
        <f t="shared" si="2"/>
        <v>1200</v>
      </c>
      <c r="G67" s="598" t="s">
        <v>207</v>
      </c>
      <c r="H67" s="683" t="s">
        <v>896</v>
      </c>
      <c r="I67" s="544" t="str">
        <f>VLOOKUP(H67,Presupuesto!$B$8:$C$583,2,0)</f>
        <v>ESTUDIOS INVESTISTACIàN Y ANALISIS DE FACTIBILIDAD</v>
      </c>
      <c r="J67" s="678" t="s">
        <v>561</v>
      </c>
      <c r="K67" s="599" t="s">
        <v>475</v>
      </c>
    </row>
    <row r="68" spans="3:12" ht="60" x14ac:dyDescent="0.25">
      <c r="C68" s="681" t="s">
        <v>2049</v>
      </c>
      <c r="D68" s="682">
        <v>1</v>
      </c>
      <c r="E68" s="677">
        <v>25400</v>
      </c>
      <c r="F68" s="685">
        <f t="shared" ref="F68" si="3">D68*E68</f>
        <v>25400</v>
      </c>
      <c r="G68" s="598" t="s">
        <v>207</v>
      </c>
      <c r="H68" s="687" t="s">
        <v>987</v>
      </c>
      <c r="I68" s="685" t="str">
        <f>VLOOKUP(H68,Presupuesto!$B$8:$C$583,2,0)</f>
        <v>REUNIONES Y EVENTOS ESPECIALES</v>
      </c>
      <c r="J68" s="678" t="s">
        <v>561</v>
      </c>
      <c r="K68" s="665" t="s">
        <v>475</v>
      </c>
    </row>
    <row r="69" spans="3:12" ht="60.75" thickBot="1" x14ac:dyDescent="0.3">
      <c r="C69" s="688" t="s">
        <v>2050</v>
      </c>
      <c r="D69" s="679">
        <v>1</v>
      </c>
      <c r="E69" s="686">
        <v>111177</v>
      </c>
      <c r="F69" s="685">
        <f t="shared" si="2"/>
        <v>111177</v>
      </c>
      <c r="G69" s="598" t="s">
        <v>207</v>
      </c>
      <c r="H69" s="684" t="s">
        <v>1200</v>
      </c>
      <c r="I69" s="140" t="str">
        <f>VLOOKUP(H69,Presupuesto!$B$8:$C$583,2,0)</f>
        <v>OTROS</v>
      </c>
      <c r="J69" s="678" t="s">
        <v>561</v>
      </c>
      <c r="K69" s="639" t="s">
        <v>475</v>
      </c>
    </row>
    <row r="70" spans="3:12" ht="30.75" thickBot="1" x14ac:dyDescent="0.3">
      <c r="C70" s="688" t="s">
        <v>2051</v>
      </c>
      <c r="D70" s="549">
        <v>1</v>
      </c>
      <c r="E70" s="547">
        <v>8075</v>
      </c>
      <c r="F70" s="680">
        <f t="shared" si="2"/>
        <v>8075</v>
      </c>
      <c r="G70" s="598" t="s">
        <v>207</v>
      </c>
      <c r="H70" s="684" t="s">
        <v>1200</v>
      </c>
      <c r="I70" s="140" t="str">
        <f>VLOOKUP(H70,Presupuesto!$B$8:$C$583,2,0)</f>
        <v>OTROS</v>
      </c>
      <c r="J70" s="116" t="s">
        <v>202</v>
      </c>
      <c r="K70" s="639" t="s">
        <v>475</v>
      </c>
    </row>
    <row r="71" spans="3:12" ht="30.75" thickBot="1" x14ac:dyDescent="0.3">
      <c r="C71" s="688" t="s">
        <v>2062</v>
      </c>
      <c r="D71" s="682">
        <v>2</v>
      </c>
      <c r="E71" s="686">
        <v>4000</v>
      </c>
      <c r="F71" s="680">
        <f t="shared" si="2"/>
        <v>8000</v>
      </c>
      <c r="G71" s="598" t="s">
        <v>207</v>
      </c>
      <c r="H71" s="683" t="s">
        <v>896</v>
      </c>
      <c r="I71" s="544" t="str">
        <f>VLOOKUP(H71,Presupuesto!$B$8:$C$583,2,0)</f>
        <v>ESTUDIOS INVESTISTACIàN Y ANALISIS DE FACTIBILIDAD</v>
      </c>
      <c r="J71" s="116" t="s">
        <v>203</v>
      </c>
      <c r="K71" s="639" t="s">
        <v>475</v>
      </c>
    </row>
    <row r="72" spans="3:12" x14ac:dyDescent="0.25">
      <c r="C72" s="151" t="s">
        <v>2065</v>
      </c>
      <c r="D72" s="168">
        <v>80</v>
      </c>
      <c r="E72" s="133">
        <v>2000</v>
      </c>
      <c r="F72" s="107">
        <f t="shared" si="2"/>
        <v>160000</v>
      </c>
      <c r="G72" s="171" t="s">
        <v>207</v>
      </c>
      <c r="H72" s="623" t="s">
        <v>1060</v>
      </c>
      <c r="I72" s="140" t="str">
        <f>VLOOKUP(H72,[7]Presupuesto!$B$8:$C$583,2,0)</f>
        <v>ELEMENTOS Y COMPUESTOS QUIMICOS</v>
      </c>
      <c r="J72" s="108" t="s">
        <v>166</v>
      </c>
      <c r="K72" s="108" t="s">
        <v>493</v>
      </c>
    </row>
    <row r="73" spans="3:12" x14ac:dyDescent="0.25">
      <c r="C73" s="151" t="s">
        <v>2066</v>
      </c>
      <c r="D73" s="168">
        <v>4</v>
      </c>
      <c r="E73" s="133">
        <v>50000</v>
      </c>
      <c r="F73" s="107">
        <f t="shared" si="2"/>
        <v>200000</v>
      </c>
      <c r="G73" s="171" t="s">
        <v>207</v>
      </c>
      <c r="H73" s="623" t="s">
        <v>1208</v>
      </c>
      <c r="I73" s="140" t="str">
        <f>VLOOKUP(H73,[7]Presupuesto!$B$8:$C$583,2,0)</f>
        <v>EQUIPO MEDICO Y LABORATORIO</v>
      </c>
      <c r="J73" s="108" t="s">
        <v>166</v>
      </c>
      <c r="K73" s="108" t="s">
        <v>493</v>
      </c>
    </row>
    <row r="74" spans="3:12" ht="15.75" thickBot="1" x14ac:dyDescent="0.3">
      <c r="C74" s="688"/>
      <c r="D74" s="682"/>
      <c r="E74" s="686"/>
      <c r="F74" s="680"/>
      <c r="G74" s="698"/>
      <c r="H74" s="684"/>
      <c r="I74" s="140"/>
      <c r="J74" s="589"/>
      <c r="K74" s="639"/>
    </row>
    <row r="75" spans="3:12" ht="15.75" thickBot="1" x14ac:dyDescent="0.3">
      <c r="C75" s="688"/>
      <c r="D75" s="682"/>
      <c r="E75" s="686"/>
      <c r="F75" s="680"/>
      <c r="G75" s="698"/>
      <c r="H75" s="684"/>
      <c r="I75" s="140"/>
      <c r="J75" s="589"/>
      <c r="K75" s="639"/>
    </row>
    <row r="76" spans="3:12" ht="19.5" thickBot="1" x14ac:dyDescent="0.3">
      <c r="C76" s="697"/>
      <c r="D76" s="549"/>
      <c r="E76" s="547"/>
      <c r="F76" s="142">
        <f t="shared" si="2"/>
        <v>0</v>
      </c>
      <c r="G76" s="172"/>
      <c r="H76" s="192"/>
      <c r="I76" s="140" t="e">
        <f>VLOOKUP(H76,Presupuesto!$B$8:$C$583,2,0)</f>
        <v>#N/A</v>
      </c>
      <c r="J76" s="116"/>
      <c r="K76" s="134" t="s">
        <v>475</v>
      </c>
    </row>
    <row r="77" spans="3:12" ht="19.5" thickBot="1" x14ac:dyDescent="0.3">
      <c r="C77" s="697"/>
      <c r="D77" s="682"/>
      <c r="E77" s="686"/>
      <c r="F77" s="696"/>
      <c r="G77" s="695"/>
      <c r="H77" s="623"/>
      <c r="I77" s="140"/>
      <c r="J77" s="589"/>
      <c r="K77" s="602"/>
    </row>
    <row r="78" spans="3:12" ht="19.5" thickBot="1" x14ac:dyDescent="0.3">
      <c r="C78" s="697"/>
      <c r="D78" s="682"/>
      <c r="E78" s="686"/>
      <c r="F78" s="696"/>
      <c r="G78" s="695"/>
      <c r="H78" s="623"/>
      <c r="I78" s="140"/>
      <c r="J78" s="589"/>
      <c r="K78" s="602"/>
    </row>
    <row r="79" spans="3:12" ht="15.75" thickBot="1" x14ac:dyDescent="0.3">
      <c r="C79" s="548"/>
      <c r="D79" s="549"/>
      <c r="E79" s="547"/>
      <c r="F79" s="142">
        <f t="shared" si="2"/>
        <v>0</v>
      </c>
      <c r="G79" s="172"/>
      <c r="H79" s="192"/>
      <c r="I79" s="140" t="e">
        <f>VLOOKUP(H79,Presupuesto!$B$8:$C$583,2,0)</f>
        <v>#N/A</v>
      </c>
      <c r="J79" s="116"/>
      <c r="K79" s="134" t="s">
        <v>475</v>
      </c>
    </row>
    <row r="80" spans="3:12" ht="15.75" thickBot="1" x14ac:dyDescent="0.3">
      <c r="C80" s="548"/>
      <c r="D80" s="549"/>
      <c r="E80" s="547"/>
      <c r="F80" s="142">
        <f t="shared" si="2"/>
        <v>0</v>
      </c>
      <c r="G80" s="172"/>
      <c r="H80" s="192"/>
      <c r="I80" s="140" t="e">
        <f>VLOOKUP(H80,Presupuesto!$B$8:$C$583,2,0)</f>
        <v>#N/A</v>
      </c>
      <c r="J80" s="116"/>
      <c r="K80" s="134" t="s">
        <v>475</v>
      </c>
    </row>
  </sheetData>
  <mergeCells count="3">
    <mergeCell ref="B21:B36"/>
    <mergeCell ref="B37:B39"/>
    <mergeCell ref="B40:B42"/>
  </mergeCells>
  <dataValidations count="7">
    <dataValidation type="list" allowBlank="1" showInputMessage="1" showErrorMessage="1" errorTitle="¡Ingreso Inválido!" error="Verifique el valor ingresado." promptTitle="Ingrese el Objeto de Gasto" prompt="Ingrese el Objeto de Gasto" sqref="G14 H17:H36 H38:H80">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Verifique el valor ingresado." promptTitle="Objeto de Gasto" prompt="Ingrese el Objeto de Gasto." sqref="H37">
      <formula1>$A$1:$VD$1</formula1>
    </dataValidation>
    <dataValidation type="list" allowBlank="1" showInputMessage="1" showErrorMessage="1" errorTitle="¡Ingreso Inválido!" error="Seleccione una opción de la lista." promptTitle="Tipo de Presupuesto" prompt="Seleccione una opción de la lista." sqref="G17:G80">
      <formula1>$R$2:$S$2</formula1>
    </dataValidation>
    <dataValidation type="list" allowBlank="1" showInputMessage="1" showErrorMessage="1" errorTitle="¡Ingreso Inválido!" error="Seleccione una opción de la lista" promptTitle="Mes Requerido" prompt="Seleccione el mes en el que requiere el recurso." sqref="K17:K80">
      <formula1>$U$2:$AF$2</formula1>
    </dataValidation>
    <dataValidation type="list" allowBlank="1" showInputMessage="1" showErrorMessage="1" errorTitle="¡Ingreso Inválido!" error="Seleccione una opción de la lista." promptTitle="Dimensión Estratégica" prompt="Seleccione una opción de la lista." sqref="J17:J80">
      <formula1>$A$2:$K$2</formula1>
    </dataValidation>
    <dataValidation type="list" allowBlank="1" showInputMessage="1" showErrorMessage="1" errorTitle="¡Ingreso Inválido!" error="Seleccione una opción de la lista." promptTitle="Proyecto" prompt="Seleccione una opción." sqref="L64:L66">
      <formula1>$M$2:$O$2</formula1>
    </dataValidation>
  </dataValidation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13" zoomScale="86" zoomScaleNormal="86" workbookViewId="0">
      <selection activeCell="H13" sqref="H13"/>
    </sheetView>
  </sheetViews>
  <sheetFormatPr baseColWidth="10" defaultColWidth="11.5703125" defaultRowHeight="15" x14ac:dyDescent="0.25"/>
  <cols>
    <col min="1" max="1" width="1.85546875" style="95" customWidth="1"/>
    <col min="2" max="2" width="17" style="95" customWidth="1"/>
    <col min="3" max="3" width="48.85546875" style="95" customWidth="1"/>
    <col min="4" max="4" width="26.85546875" style="95" bestFit="1" customWidth="1"/>
    <col min="5" max="5" width="13.85546875" style="95" customWidth="1"/>
    <col min="6" max="6" width="21.85546875" style="95" customWidth="1"/>
    <col min="7" max="7" width="16.5703125" style="85" customWidth="1"/>
    <col min="8" max="8" width="24.140625" style="95" bestFit="1" customWidth="1"/>
    <col min="9" max="9" width="36" style="95" bestFit="1" customWidth="1"/>
    <col min="10" max="10" width="28.140625" style="95" bestFit="1" customWidth="1"/>
    <col min="11" max="11" width="19.85546875" style="95" bestFit="1" customWidth="1"/>
    <col min="12" max="12" width="12.7109375" style="95" bestFit="1" customWidth="1"/>
    <col min="13" max="16384" width="11.5703125" style="95"/>
  </cols>
  <sheetData>
    <row r="1" spans="1:576" ht="26.25" hidden="1" x14ac:dyDescent="0.25">
      <c r="A1" s="198"/>
      <c r="B1" s="201"/>
      <c r="C1" s="192" t="s">
        <v>332</v>
      </c>
      <c r="D1" s="192" t="s">
        <v>701</v>
      </c>
      <c r="E1" s="192" t="s">
        <v>703</v>
      </c>
      <c r="F1" s="192" t="s">
        <v>705</v>
      </c>
      <c r="G1" s="192" t="s">
        <v>707</v>
      </c>
      <c r="H1" s="192" t="s">
        <v>709</v>
      </c>
      <c r="I1" s="192" t="s">
        <v>711</v>
      </c>
      <c r="J1" s="192" t="s">
        <v>333</v>
      </c>
      <c r="K1" s="192" t="s">
        <v>714</v>
      </c>
      <c r="L1" s="192" t="s">
        <v>334</v>
      </c>
      <c r="M1" s="192" t="s">
        <v>716</v>
      </c>
      <c r="N1" s="192" t="s">
        <v>718</v>
      </c>
      <c r="O1" s="192" t="s">
        <v>720</v>
      </c>
      <c r="P1" s="192" t="s">
        <v>335</v>
      </c>
      <c r="Q1" s="192" t="s">
        <v>721</v>
      </c>
      <c r="R1" s="192" t="s">
        <v>724</v>
      </c>
      <c r="S1" s="192" t="s">
        <v>336</v>
      </c>
      <c r="T1" s="192" t="s">
        <v>726</v>
      </c>
      <c r="U1" s="192" t="s">
        <v>337</v>
      </c>
      <c r="V1" s="192" t="s">
        <v>727</v>
      </c>
      <c r="W1" s="192" t="s">
        <v>728</v>
      </c>
      <c r="X1" s="192" t="s">
        <v>732</v>
      </c>
      <c r="Y1" s="192" t="s">
        <v>329</v>
      </c>
      <c r="Z1" s="192" t="s">
        <v>747</v>
      </c>
      <c r="AA1" s="201"/>
      <c r="AB1" s="192" t="s">
        <v>749</v>
      </c>
      <c r="AC1" s="192" t="s">
        <v>339</v>
      </c>
      <c r="AD1" s="192" t="s">
        <v>751</v>
      </c>
      <c r="AE1" s="192" t="s">
        <v>753</v>
      </c>
      <c r="AF1" s="192" t="s">
        <v>340</v>
      </c>
      <c r="AG1" s="192" t="s">
        <v>755</v>
      </c>
      <c r="AH1" s="192" t="s">
        <v>757</v>
      </c>
      <c r="AI1" s="192" t="s">
        <v>341</v>
      </c>
      <c r="AJ1" s="192" t="s">
        <v>758</v>
      </c>
      <c r="AK1" s="192" t="s">
        <v>760</v>
      </c>
      <c r="AL1" s="192" t="s">
        <v>761</v>
      </c>
      <c r="AM1" s="192" t="s">
        <v>762</v>
      </c>
      <c r="AN1" s="192" t="s">
        <v>764</v>
      </c>
      <c r="AO1" s="192" t="s">
        <v>766</v>
      </c>
      <c r="AP1" s="192" t="s">
        <v>767</v>
      </c>
      <c r="AQ1" s="192" t="s">
        <v>342</v>
      </c>
      <c r="AR1" s="192" t="s">
        <v>769</v>
      </c>
      <c r="AS1" s="192" t="s">
        <v>771</v>
      </c>
      <c r="AT1" s="192" t="s">
        <v>773</v>
      </c>
      <c r="AU1" s="192" t="s">
        <v>775</v>
      </c>
      <c r="AV1" s="192" t="s">
        <v>777</v>
      </c>
      <c r="AW1" s="192" t="s">
        <v>779</v>
      </c>
      <c r="AX1" s="192" t="s">
        <v>781</v>
      </c>
      <c r="AY1" s="192" t="s">
        <v>783</v>
      </c>
      <c r="AZ1" s="201"/>
      <c r="BA1" s="192" t="s">
        <v>344</v>
      </c>
      <c r="BB1" s="192" t="s">
        <v>805</v>
      </c>
      <c r="BC1" s="192" t="s">
        <v>345</v>
      </c>
      <c r="BD1" s="192" t="s">
        <v>807</v>
      </c>
      <c r="BE1" s="192" t="s">
        <v>809</v>
      </c>
      <c r="BF1" s="201"/>
      <c r="BG1" s="192" t="s">
        <v>347</v>
      </c>
      <c r="BH1" s="192" t="s">
        <v>811</v>
      </c>
      <c r="BI1" s="192" t="s">
        <v>348</v>
      </c>
      <c r="BJ1" s="192" t="s">
        <v>813</v>
      </c>
      <c r="BK1" s="192" t="s">
        <v>815</v>
      </c>
      <c r="BL1" s="192" t="s">
        <v>817</v>
      </c>
      <c r="BM1" s="201"/>
      <c r="BN1" s="192" t="s">
        <v>823</v>
      </c>
      <c r="BO1" s="192" t="s">
        <v>825</v>
      </c>
      <c r="BP1" s="192" t="s">
        <v>350</v>
      </c>
      <c r="BQ1" s="192" t="s">
        <v>819</v>
      </c>
      <c r="BR1" s="192" t="s">
        <v>821</v>
      </c>
      <c r="BS1" s="192" t="s">
        <v>351</v>
      </c>
      <c r="BT1" s="192" t="s">
        <v>827</v>
      </c>
      <c r="BU1" s="192" t="s">
        <v>352</v>
      </c>
      <c r="BV1" s="192" t="s">
        <v>828</v>
      </c>
      <c r="BW1" s="189"/>
      <c r="BX1" s="201"/>
      <c r="BY1" s="192" t="s">
        <v>353</v>
      </c>
      <c r="BZ1" s="192" t="s">
        <v>733</v>
      </c>
      <c r="CA1" s="192" t="s">
        <v>735</v>
      </c>
      <c r="CB1" s="192" t="s">
        <v>737</v>
      </c>
      <c r="CC1" s="192" t="s">
        <v>354</v>
      </c>
      <c r="CD1" s="192" t="s">
        <v>739</v>
      </c>
      <c r="CE1" s="192" t="s">
        <v>741</v>
      </c>
      <c r="CF1" s="192" t="s">
        <v>743</v>
      </c>
      <c r="CG1" s="192" t="s">
        <v>745</v>
      </c>
      <c r="CH1" s="189"/>
      <c r="CI1" s="201"/>
      <c r="CJ1" s="192" t="s">
        <v>355</v>
      </c>
      <c r="CK1" s="192" t="s">
        <v>785</v>
      </c>
      <c r="CL1" s="192" t="s">
        <v>787</v>
      </c>
      <c r="CM1" s="192" t="s">
        <v>789</v>
      </c>
      <c r="CN1" s="192" t="s">
        <v>791</v>
      </c>
      <c r="CO1" s="192" t="s">
        <v>793</v>
      </c>
      <c r="CP1" s="192" t="s">
        <v>795</v>
      </c>
      <c r="CQ1" s="192" t="s">
        <v>797</v>
      </c>
      <c r="CR1" s="192" t="s">
        <v>799</v>
      </c>
      <c r="CS1" s="192" t="s">
        <v>801</v>
      </c>
      <c r="CT1" s="192" t="s">
        <v>803</v>
      </c>
      <c r="CU1" s="189"/>
      <c r="CV1" s="201"/>
      <c r="CW1" s="192" t="s">
        <v>829</v>
      </c>
      <c r="CX1" s="192" t="s">
        <v>830</v>
      </c>
      <c r="CY1" s="192" t="s">
        <v>832</v>
      </c>
      <c r="CZ1" s="192" t="s">
        <v>358</v>
      </c>
      <c r="DA1" s="192" t="s">
        <v>834</v>
      </c>
      <c r="DB1" s="192" t="s">
        <v>836</v>
      </c>
      <c r="DC1" s="192" t="s">
        <v>838</v>
      </c>
      <c r="DD1" s="192" t="s">
        <v>840</v>
      </c>
      <c r="DE1" s="192" t="s">
        <v>842</v>
      </c>
      <c r="DF1" s="192" t="s">
        <v>844</v>
      </c>
      <c r="DG1" s="201"/>
      <c r="DH1" s="192" t="s">
        <v>360</v>
      </c>
      <c r="DI1" s="192" t="s">
        <v>846</v>
      </c>
      <c r="DJ1" s="192" t="s">
        <v>361</v>
      </c>
      <c r="DK1" s="192" t="s">
        <v>848</v>
      </c>
      <c r="DL1" s="192" t="s">
        <v>850</v>
      </c>
      <c r="DM1" s="192" t="s">
        <v>852</v>
      </c>
      <c r="DN1" s="192" t="s">
        <v>854</v>
      </c>
      <c r="DO1" s="192" t="s">
        <v>856</v>
      </c>
      <c r="DP1" s="192" t="s">
        <v>858</v>
      </c>
      <c r="DQ1" s="192" t="s">
        <v>860</v>
      </c>
      <c r="DR1" s="192" t="s">
        <v>362</v>
      </c>
      <c r="DS1" s="192" t="s">
        <v>862</v>
      </c>
      <c r="DT1" s="192" t="s">
        <v>864</v>
      </c>
      <c r="DU1" s="192" t="s">
        <v>866</v>
      </c>
      <c r="DV1" s="201"/>
      <c r="DW1" s="192" t="s">
        <v>868</v>
      </c>
      <c r="DX1" s="192" t="s">
        <v>364</v>
      </c>
      <c r="DY1" s="192" t="s">
        <v>870</v>
      </c>
      <c r="DZ1" s="192" t="s">
        <v>365</v>
      </c>
      <c r="EA1" s="192" t="s">
        <v>872</v>
      </c>
      <c r="EB1" s="192" t="s">
        <v>874</v>
      </c>
      <c r="EC1" s="192" t="s">
        <v>876</v>
      </c>
      <c r="ED1" s="192" t="s">
        <v>878</v>
      </c>
      <c r="EE1" s="192" t="s">
        <v>880</v>
      </c>
      <c r="EF1" s="192" t="s">
        <v>882</v>
      </c>
      <c r="EG1" s="192" t="s">
        <v>884</v>
      </c>
      <c r="EH1" s="192" t="s">
        <v>886</v>
      </c>
      <c r="EI1" s="192" t="s">
        <v>888</v>
      </c>
      <c r="EJ1" s="192" t="s">
        <v>890</v>
      </c>
      <c r="EK1" s="192" t="s">
        <v>892</v>
      </c>
      <c r="EL1" s="201"/>
      <c r="EM1" s="192" t="s">
        <v>894</v>
      </c>
      <c r="EN1" s="192" t="s">
        <v>367</v>
      </c>
      <c r="EO1" s="192" t="s">
        <v>896</v>
      </c>
      <c r="EP1" s="192" t="s">
        <v>898</v>
      </c>
      <c r="EQ1" s="192" t="s">
        <v>368</v>
      </c>
      <c r="ER1" s="192" t="s">
        <v>900</v>
      </c>
      <c r="ES1" s="192" t="s">
        <v>902</v>
      </c>
      <c r="ET1" s="192" t="s">
        <v>369</v>
      </c>
      <c r="EU1" s="192" t="s">
        <v>904</v>
      </c>
      <c r="EV1" s="192" t="s">
        <v>906</v>
      </c>
      <c r="EW1" s="192" t="s">
        <v>908</v>
      </c>
      <c r="EX1" s="192" t="s">
        <v>370</v>
      </c>
      <c r="EY1" s="192" t="s">
        <v>910</v>
      </c>
      <c r="EZ1" s="192" t="s">
        <v>912</v>
      </c>
      <c r="FA1" s="201"/>
      <c r="FB1" s="192" t="s">
        <v>372</v>
      </c>
      <c r="FC1" s="192" t="s">
        <v>914</v>
      </c>
      <c r="FD1" s="192" t="s">
        <v>916</v>
      </c>
      <c r="FE1" s="192" t="s">
        <v>918</v>
      </c>
      <c r="FF1" s="192" t="s">
        <v>920</v>
      </c>
      <c r="FG1" s="192" t="s">
        <v>373</v>
      </c>
      <c r="FH1" s="192" t="s">
        <v>922</v>
      </c>
      <c r="FI1" s="192" t="s">
        <v>924</v>
      </c>
      <c r="FJ1" s="192" t="s">
        <v>926</v>
      </c>
      <c r="FK1" s="192" t="s">
        <v>928</v>
      </c>
      <c r="FL1" s="192" t="s">
        <v>930</v>
      </c>
      <c r="FM1" s="192" t="s">
        <v>374</v>
      </c>
      <c r="FN1" s="192" t="s">
        <v>933</v>
      </c>
      <c r="FO1" s="192" t="s">
        <v>375</v>
      </c>
      <c r="FP1" s="192" t="s">
        <v>936</v>
      </c>
      <c r="FQ1" s="192" t="s">
        <v>937</v>
      </c>
      <c r="FR1" s="192" t="s">
        <v>939</v>
      </c>
      <c r="FS1" s="192" t="s">
        <v>376</v>
      </c>
      <c r="FT1" s="192" t="s">
        <v>942</v>
      </c>
      <c r="FU1" s="192" t="s">
        <v>943</v>
      </c>
      <c r="FV1" s="192" t="s">
        <v>945</v>
      </c>
      <c r="FW1" s="192" t="s">
        <v>377</v>
      </c>
      <c r="FX1" s="192" t="s">
        <v>948</v>
      </c>
      <c r="FY1" s="192" t="s">
        <v>950</v>
      </c>
      <c r="FZ1" s="192" t="s">
        <v>952</v>
      </c>
      <c r="GA1" s="201"/>
      <c r="GB1" s="192" t="s">
        <v>379</v>
      </c>
      <c r="GC1" s="192" t="s">
        <v>380</v>
      </c>
      <c r="GD1" s="201"/>
      <c r="GE1" s="192" t="s">
        <v>382</v>
      </c>
      <c r="GF1" s="192" t="s">
        <v>975</v>
      </c>
      <c r="GG1" s="192" t="s">
        <v>977</v>
      </c>
      <c r="GH1" s="192" t="s">
        <v>979</v>
      </c>
      <c r="GI1" s="192" t="s">
        <v>981</v>
      </c>
      <c r="GJ1" s="192" t="s">
        <v>983</v>
      </c>
      <c r="GK1" s="201"/>
      <c r="GL1" s="192" t="s">
        <v>384</v>
      </c>
      <c r="GM1" s="192" t="s">
        <v>985</v>
      </c>
      <c r="GN1" s="192" t="s">
        <v>987</v>
      </c>
      <c r="GO1" s="192" t="s">
        <v>989</v>
      </c>
      <c r="GP1" s="192" t="s">
        <v>991</v>
      </c>
      <c r="GQ1" s="192" t="s">
        <v>993</v>
      </c>
      <c r="GR1" s="192" t="s">
        <v>995</v>
      </c>
      <c r="GS1" s="189"/>
      <c r="GT1" s="201"/>
      <c r="GU1" s="192" t="s">
        <v>385</v>
      </c>
      <c r="GV1" s="192" t="s">
        <v>954</v>
      </c>
      <c r="GW1" s="192" t="s">
        <v>956</v>
      </c>
      <c r="GX1" s="192" t="s">
        <v>958</v>
      </c>
      <c r="GY1" s="192" t="s">
        <v>960</v>
      </c>
      <c r="GZ1" s="192" t="s">
        <v>962</v>
      </c>
      <c r="HA1" s="192" t="s">
        <v>964</v>
      </c>
      <c r="HB1" s="201"/>
      <c r="HC1" s="192" t="s">
        <v>386</v>
      </c>
      <c r="HD1" s="192" t="s">
        <v>966</v>
      </c>
      <c r="HE1" s="192" t="s">
        <v>968</v>
      </c>
      <c r="HF1" s="192" t="s">
        <v>969</v>
      </c>
      <c r="HG1" s="192" t="s">
        <v>387</v>
      </c>
      <c r="HH1" s="192" t="s">
        <v>972</v>
      </c>
      <c r="HI1" s="192" t="s">
        <v>973</v>
      </c>
      <c r="HJ1" s="189"/>
      <c r="HK1" s="201"/>
      <c r="HL1" s="192" t="s">
        <v>390</v>
      </c>
      <c r="HM1" s="192" t="s">
        <v>997</v>
      </c>
      <c r="HN1" s="192" t="s">
        <v>999</v>
      </c>
      <c r="HO1" s="192" t="s">
        <v>1001</v>
      </c>
      <c r="HP1" s="192" t="s">
        <v>1003</v>
      </c>
      <c r="HQ1" s="192" t="s">
        <v>391</v>
      </c>
      <c r="HR1" s="192" t="s">
        <v>1006</v>
      </c>
      <c r="HS1" s="201"/>
      <c r="HT1" s="192" t="s">
        <v>1008</v>
      </c>
      <c r="HU1" s="192" t="s">
        <v>1010</v>
      </c>
      <c r="HV1" s="192" t="s">
        <v>393</v>
      </c>
      <c r="HW1" s="192" t="s">
        <v>1013</v>
      </c>
      <c r="HX1" s="192" t="s">
        <v>1015</v>
      </c>
      <c r="HY1" s="192" t="s">
        <v>1016</v>
      </c>
      <c r="HZ1" s="192" t="s">
        <v>1018</v>
      </c>
      <c r="IA1" s="201"/>
      <c r="IB1" s="192" t="s">
        <v>1020</v>
      </c>
      <c r="IC1" s="192" t="s">
        <v>1022</v>
      </c>
      <c r="ID1" s="192" t="s">
        <v>1024</v>
      </c>
      <c r="IE1" s="192" t="s">
        <v>395</v>
      </c>
      <c r="IF1" s="192" t="s">
        <v>1026</v>
      </c>
      <c r="IG1" s="192" t="s">
        <v>1028</v>
      </c>
      <c r="IH1" s="192" t="s">
        <v>396</v>
      </c>
      <c r="II1" s="192" t="s">
        <v>1030</v>
      </c>
      <c r="IJ1" s="192" t="s">
        <v>1032</v>
      </c>
      <c r="IK1" s="192" t="s">
        <v>397</v>
      </c>
      <c r="IL1" s="192" t="s">
        <v>1034</v>
      </c>
      <c r="IM1" s="192" t="s">
        <v>1036</v>
      </c>
      <c r="IN1" s="192" t="s">
        <v>1038</v>
      </c>
      <c r="IO1" s="192" t="s">
        <v>1040</v>
      </c>
      <c r="IP1" s="192" t="s">
        <v>398</v>
      </c>
      <c r="IQ1" s="192" t="s">
        <v>1042</v>
      </c>
      <c r="IR1" s="201"/>
      <c r="IS1" s="192" t="s">
        <v>1050</v>
      </c>
      <c r="IT1" s="192" t="s">
        <v>1052</v>
      </c>
      <c r="IU1" s="192" t="s">
        <v>400</v>
      </c>
      <c r="IV1" s="192" t="s">
        <v>1054</v>
      </c>
      <c r="IW1" s="192" t="s">
        <v>1056</v>
      </c>
      <c r="IX1" s="192" t="s">
        <v>1058</v>
      </c>
      <c r="IY1" s="201"/>
      <c r="IZ1" s="192" t="s">
        <v>1060</v>
      </c>
      <c r="JA1" s="192" t="s">
        <v>402</v>
      </c>
      <c r="JB1" s="192" t="s">
        <v>1063</v>
      </c>
      <c r="JC1" s="192" t="s">
        <v>1065</v>
      </c>
      <c r="JD1" s="192" t="s">
        <v>1067</v>
      </c>
      <c r="JE1" s="192" t="s">
        <v>1069</v>
      </c>
      <c r="JF1" s="192" t="s">
        <v>1071</v>
      </c>
      <c r="JG1" s="192" t="s">
        <v>1073</v>
      </c>
      <c r="JH1" s="192" t="s">
        <v>403</v>
      </c>
      <c r="JI1" s="192" t="s">
        <v>1076</v>
      </c>
      <c r="JJ1" s="192" t="s">
        <v>1078</v>
      </c>
      <c r="JK1" s="192" t="s">
        <v>1080</v>
      </c>
      <c r="JL1" s="192" t="s">
        <v>1082</v>
      </c>
      <c r="JM1" s="192" t="s">
        <v>1084</v>
      </c>
      <c r="JN1" s="192" t="s">
        <v>1086</v>
      </c>
      <c r="JO1" s="192" t="s">
        <v>1088</v>
      </c>
      <c r="JP1" s="192" t="s">
        <v>1090</v>
      </c>
      <c r="JQ1" s="192" t="s">
        <v>404</v>
      </c>
      <c r="JR1" s="192" t="s">
        <v>1093</v>
      </c>
      <c r="JS1" s="192" t="s">
        <v>1095</v>
      </c>
      <c r="JT1" s="192" t="s">
        <v>1097</v>
      </c>
      <c r="JU1" s="192" t="s">
        <v>1099</v>
      </c>
      <c r="JV1" s="192" t="s">
        <v>1100</v>
      </c>
      <c r="JW1" s="192" t="s">
        <v>1102</v>
      </c>
      <c r="JX1" s="192" t="s">
        <v>1104</v>
      </c>
      <c r="JY1" s="192" t="s">
        <v>1106</v>
      </c>
      <c r="JZ1" s="192" t="s">
        <v>1108</v>
      </c>
      <c r="KA1" s="192" t="s">
        <v>1110</v>
      </c>
      <c r="KB1" s="192" t="s">
        <v>1112</v>
      </c>
      <c r="KC1" s="192" t="s">
        <v>1114</v>
      </c>
      <c r="KD1" s="192" t="s">
        <v>1116</v>
      </c>
      <c r="KE1" s="192" t="s">
        <v>1118</v>
      </c>
      <c r="KF1" s="192" t="s">
        <v>1120</v>
      </c>
      <c r="KG1" s="192" t="s">
        <v>1122</v>
      </c>
      <c r="KH1" s="192" t="s">
        <v>1124</v>
      </c>
      <c r="KI1" s="192" t="s">
        <v>1126</v>
      </c>
      <c r="KJ1" s="192" t="s">
        <v>1128</v>
      </c>
      <c r="KK1" s="192" t="s">
        <v>1130</v>
      </c>
      <c r="KL1" s="192" t="s">
        <v>1132</v>
      </c>
      <c r="KM1" s="192" t="s">
        <v>1134</v>
      </c>
      <c r="KN1" s="192" t="s">
        <v>1136</v>
      </c>
      <c r="KO1" s="192" t="s">
        <v>1138</v>
      </c>
      <c r="KP1" s="192" t="s">
        <v>1140</v>
      </c>
      <c r="KQ1" s="192" t="s">
        <v>1142</v>
      </c>
      <c r="KR1" s="201"/>
      <c r="KS1" s="192" t="s">
        <v>1144</v>
      </c>
      <c r="KT1" s="192" t="s">
        <v>406</v>
      </c>
      <c r="KU1" s="192" t="s">
        <v>1147</v>
      </c>
      <c r="KV1" s="192" t="s">
        <v>1149</v>
      </c>
      <c r="KW1" s="192" t="s">
        <v>1151</v>
      </c>
      <c r="KX1" s="192" t="s">
        <v>1153</v>
      </c>
      <c r="KY1" s="192" t="s">
        <v>407</v>
      </c>
      <c r="KZ1" s="192" t="s">
        <v>1156</v>
      </c>
      <c r="LA1" s="192" t="s">
        <v>1158</v>
      </c>
      <c r="LB1" s="192" t="s">
        <v>1160</v>
      </c>
      <c r="LC1" s="192" t="s">
        <v>1162</v>
      </c>
      <c r="LD1" s="192" t="s">
        <v>1164</v>
      </c>
      <c r="LE1" s="192" t="s">
        <v>1166</v>
      </c>
      <c r="LF1" s="192" t="s">
        <v>1168</v>
      </c>
      <c r="LG1" s="189"/>
      <c r="LH1" s="201"/>
      <c r="LI1" s="192" t="s">
        <v>408</v>
      </c>
      <c r="LJ1" s="192" t="s">
        <v>1044</v>
      </c>
      <c r="LK1" s="192" t="s">
        <v>1046</v>
      </c>
      <c r="LL1" s="192" t="s">
        <v>1048</v>
      </c>
      <c r="LM1" s="189"/>
      <c r="LN1" s="201"/>
      <c r="LO1" s="192" t="s">
        <v>411</v>
      </c>
      <c r="LP1" s="192" t="s">
        <v>412</v>
      </c>
      <c r="LQ1" s="201"/>
      <c r="LR1" s="192" t="s">
        <v>414</v>
      </c>
      <c r="LS1" s="192" t="s">
        <v>1188</v>
      </c>
      <c r="LT1" s="192" t="s">
        <v>1190</v>
      </c>
      <c r="LU1" s="192" t="s">
        <v>1191</v>
      </c>
      <c r="LV1" s="192" t="s">
        <v>1193</v>
      </c>
      <c r="LW1" s="192" t="s">
        <v>1194</v>
      </c>
      <c r="LX1" s="192" t="s">
        <v>1196</v>
      </c>
      <c r="LY1" s="192" t="s">
        <v>1198</v>
      </c>
      <c r="LZ1" s="192" t="s">
        <v>1200</v>
      </c>
      <c r="MA1" s="192" t="s">
        <v>1202</v>
      </c>
      <c r="MB1" s="192" t="s">
        <v>415</v>
      </c>
      <c r="MC1" s="192" t="s">
        <v>1205</v>
      </c>
      <c r="MD1" s="192" t="s">
        <v>1206</v>
      </c>
      <c r="ME1" s="192" t="s">
        <v>1208</v>
      </c>
      <c r="MF1" s="192" t="s">
        <v>416</v>
      </c>
      <c r="MG1" s="192" t="s">
        <v>1211</v>
      </c>
      <c r="MH1" s="192" t="s">
        <v>1212</v>
      </c>
      <c r="MI1" s="192" t="s">
        <v>1214</v>
      </c>
      <c r="MJ1" s="192" t="s">
        <v>1216</v>
      </c>
      <c r="MK1" s="192" t="s">
        <v>417</v>
      </c>
      <c r="ML1" s="192" t="s">
        <v>1219</v>
      </c>
      <c r="MM1" s="192" t="s">
        <v>1221</v>
      </c>
      <c r="MN1" s="192" t="s">
        <v>1223</v>
      </c>
      <c r="MO1" s="192" t="s">
        <v>1225</v>
      </c>
      <c r="MP1" s="192" t="s">
        <v>418</v>
      </c>
      <c r="MQ1" s="192" t="s">
        <v>1228</v>
      </c>
      <c r="MR1" s="192" t="s">
        <v>1230</v>
      </c>
      <c r="MS1" s="192" t="s">
        <v>1232</v>
      </c>
      <c r="MT1" s="192" t="s">
        <v>1234</v>
      </c>
      <c r="MU1" s="192" t="s">
        <v>1236</v>
      </c>
      <c r="MV1" s="192" t="s">
        <v>1238</v>
      </c>
      <c r="MW1" s="192" t="s">
        <v>1240</v>
      </c>
      <c r="MX1" s="192" t="s">
        <v>1242</v>
      </c>
      <c r="MY1" s="192" t="s">
        <v>1244</v>
      </c>
      <c r="MZ1" s="192" t="s">
        <v>1246</v>
      </c>
      <c r="NA1" s="192" t="s">
        <v>1248</v>
      </c>
      <c r="NB1" s="192" t="s">
        <v>1249</v>
      </c>
      <c r="NC1" s="201"/>
      <c r="ND1" s="192" t="s">
        <v>420</v>
      </c>
      <c r="NE1" s="192" t="s">
        <v>1251</v>
      </c>
      <c r="NF1" s="192" t="s">
        <v>1253</v>
      </c>
      <c r="NG1" s="192" t="s">
        <v>1255</v>
      </c>
      <c r="NH1" s="192" t="s">
        <v>1257</v>
      </c>
      <c r="NI1" s="201"/>
      <c r="NJ1" s="192" t="s">
        <v>422</v>
      </c>
      <c r="NK1" s="192" t="s">
        <v>1258</v>
      </c>
      <c r="NL1" s="192" t="s">
        <v>423</v>
      </c>
      <c r="NM1" s="192" t="s">
        <v>1260</v>
      </c>
      <c r="NN1" s="192" t="s">
        <v>1262</v>
      </c>
      <c r="NO1" s="192" t="s">
        <v>424</v>
      </c>
      <c r="NP1" s="192" t="s">
        <v>1264</v>
      </c>
      <c r="NQ1" s="192" t="s">
        <v>1266</v>
      </c>
      <c r="NR1" s="189"/>
      <c r="NS1" s="201"/>
      <c r="NT1" s="192" t="s">
        <v>425</v>
      </c>
      <c r="NU1" s="192" t="s">
        <v>1170</v>
      </c>
      <c r="NV1" s="192" t="s">
        <v>1172</v>
      </c>
      <c r="NW1" s="192" t="s">
        <v>1174</v>
      </c>
      <c r="NX1" s="192" t="s">
        <v>1176</v>
      </c>
      <c r="NY1" s="192" t="s">
        <v>426</v>
      </c>
      <c r="NZ1" s="192" t="s">
        <v>1178</v>
      </c>
      <c r="OA1" s="192" t="s">
        <v>427</v>
      </c>
      <c r="OB1" s="192" t="s">
        <v>1180</v>
      </c>
      <c r="OC1" s="201"/>
      <c r="OD1" s="192" t="s">
        <v>1182</v>
      </c>
      <c r="OE1" s="192" t="s">
        <v>428</v>
      </c>
      <c r="OF1" s="189"/>
      <c r="OG1" s="201"/>
      <c r="OH1" s="192" t="s">
        <v>1184</v>
      </c>
      <c r="OI1" s="192" t="s">
        <v>1186</v>
      </c>
      <c r="OJ1" s="192" t="s">
        <v>429</v>
      </c>
      <c r="OK1" s="189"/>
      <c r="OL1" s="201"/>
      <c r="OM1" s="192" t="s">
        <v>432</v>
      </c>
      <c r="ON1" s="192" t="s">
        <v>1268</v>
      </c>
      <c r="OO1" s="192" t="s">
        <v>1270</v>
      </c>
      <c r="OP1" s="192" t="s">
        <v>433</v>
      </c>
      <c r="OQ1" s="192" t="s">
        <v>434</v>
      </c>
      <c r="OR1" s="192" t="s">
        <v>1368</v>
      </c>
      <c r="OS1" s="192" t="s">
        <v>1370</v>
      </c>
      <c r="OT1" s="192" t="s">
        <v>1372</v>
      </c>
      <c r="OU1" s="192" t="s">
        <v>1374</v>
      </c>
      <c r="OV1" s="192" t="s">
        <v>1376</v>
      </c>
      <c r="OW1" s="201"/>
      <c r="OX1" s="192" t="s">
        <v>436</v>
      </c>
      <c r="OY1" s="192" t="s">
        <v>1378</v>
      </c>
      <c r="OZ1" s="192" t="s">
        <v>1380</v>
      </c>
      <c r="PA1" s="192" t="s">
        <v>1382</v>
      </c>
      <c r="PB1" s="192" t="s">
        <v>1384</v>
      </c>
      <c r="PC1" s="192" t="s">
        <v>1386</v>
      </c>
      <c r="PD1" s="192" t="s">
        <v>1388</v>
      </c>
      <c r="PE1" s="201"/>
      <c r="PF1" s="192" t="s">
        <v>1390</v>
      </c>
      <c r="PG1" s="192" t="s">
        <v>438</v>
      </c>
      <c r="PH1" s="201"/>
      <c r="PI1" s="192" t="s">
        <v>440</v>
      </c>
      <c r="PJ1" s="192" t="s">
        <v>1420</v>
      </c>
      <c r="PK1" s="192" t="s">
        <v>1422</v>
      </c>
      <c r="PL1" s="201"/>
      <c r="PM1" s="192" t="s">
        <v>442</v>
      </c>
      <c r="PN1" s="192" t="s">
        <v>1424</v>
      </c>
      <c r="PO1" s="192" t="s">
        <v>1425</v>
      </c>
      <c r="PP1" s="192" t="s">
        <v>1426</v>
      </c>
      <c r="PQ1" s="192" t="s">
        <v>1427</v>
      </c>
      <c r="PR1" s="192" t="s">
        <v>1429</v>
      </c>
      <c r="PS1" s="192" t="s">
        <v>1430</v>
      </c>
      <c r="PT1" s="192" t="s">
        <v>1432</v>
      </c>
      <c r="PU1" s="192" t="s">
        <v>1433</v>
      </c>
      <c r="PV1" s="189"/>
      <c r="PW1" s="201"/>
      <c r="PX1" s="192" t="s">
        <v>443</v>
      </c>
      <c r="PY1" s="192" t="s">
        <v>1272</v>
      </c>
      <c r="PZ1" s="192" t="s">
        <v>1274</v>
      </c>
      <c r="QA1" s="192" t="s">
        <v>1276</v>
      </c>
      <c r="QB1" s="192" t="s">
        <v>1278</v>
      </c>
      <c r="QC1" s="192" t="s">
        <v>1280</v>
      </c>
      <c r="QD1" s="192" t="s">
        <v>1282</v>
      </c>
      <c r="QE1" s="192" t="s">
        <v>1284</v>
      </c>
      <c r="QF1" s="192" t="s">
        <v>1286</v>
      </c>
      <c r="QG1" s="192" t="s">
        <v>1288</v>
      </c>
      <c r="QH1" s="192" t="s">
        <v>1290</v>
      </c>
      <c r="QI1" s="192" t="s">
        <v>1292</v>
      </c>
      <c r="QJ1" s="192" t="s">
        <v>1294</v>
      </c>
      <c r="QK1" s="192" t="s">
        <v>1296</v>
      </c>
      <c r="QL1" s="192" t="s">
        <v>1298</v>
      </c>
      <c r="QM1" s="192" t="s">
        <v>1300</v>
      </c>
      <c r="QN1" s="192" t="s">
        <v>1302</v>
      </c>
      <c r="QO1" s="192" t="s">
        <v>1304</v>
      </c>
      <c r="QP1" s="192" t="s">
        <v>1306</v>
      </c>
      <c r="QQ1" s="192" t="s">
        <v>1308</v>
      </c>
      <c r="QR1" s="192" t="s">
        <v>1310</v>
      </c>
      <c r="QS1" s="192" t="s">
        <v>1312</v>
      </c>
      <c r="QT1" s="192" t="s">
        <v>1314</v>
      </c>
      <c r="QU1" s="192" t="s">
        <v>444</v>
      </c>
      <c r="QV1" s="192" t="s">
        <v>1317</v>
      </c>
      <c r="QW1" s="192" t="s">
        <v>1319</v>
      </c>
      <c r="QX1" s="192" t="s">
        <v>1320</v>
      </c>
      <c r="QY1" s="192" t="s">
        <v>1322</v>
      </c>
      <c r="QZ1" s="192" t="s">
        <v>1324</v>
      </c>
      <c r="RA1" s="192" t="s">
        <v>1326</v>
      </c>
      <c r="RB1" s="192" t="s">
        <v>1328</v>
      </c>
      <c r="RC1" s="192" t="s">
        <v>1330</v>
      </c>
      <c r="RD1" s="192" t="s">
        <v>1332</v>
      </c>
      <c r="RE1" s="192" t="s">
        <v>1334</v>
      </c>
      <c r="RF1" s="192" t="s">
        <v>1336</v>
      </c>
      <c r="RG1" s="192" t="s">
        <v>1338</v>
      </c>
      <c r="RH1" s="192" t="s">
        <v>1340</v>
      </c>
      <c r="RI1" s="192" t="s">
        <v>1342</v>
      </c>
      <c r="RJ1" s="192" t="s">
        <v>1344</v>
      </c>
      <c r="RK1" s="192" t="s">
        <v>1346</v>
      </c>
      <c r="RL1" s="192" t="s">
        <v>1348</v>
      </c>
      <c r="RM1" s="192" t="s">
        <v>1350</v>
      </c>
      <c r="RN1" s="192" t="s">
        <v>1352</v>
      </c>
      <c r="RO1" s="192" t="s">
        <v>1354</v>
      </c>
      <c r="RP1" s="192" t="s">
        <v>1356</v>
      </c>
      <c r="RQ1" s="192" t="s">
        <v>1358</v>
      </c>
      <c r="RR1" s="192" t="s">
        <v>1360</v>
      </c>
      <c r="RS1" s="192" t="s">
        <v>1362</v>
      </c>
      <c r="RT1" s="192" t="s">
        <v>1364</v>
      </c>
      <c r="RU1" s="192" t="s">
        <v>1366</v>
      </c>
      <c r="RV1" s="189"/>
      <c r="RW1" s="201"/>
      <c r="RX1" s="192" t="s">
        <v>445</v>
      </c>
      <c r="RY1" s="192" t="s">
        <v>1392</v>
      </c>
      <c r="RZ1" s="192" t="s">
        <v>1394</v>
      </c>
      <c r="SA1" s="192" t="s">
        <v>1396</v>
      </c>
      <c r="SB1" s="192" t="s">
        <v>1398</v>
      </c>
      <c r="SC1" s="192" t="s">
        <v>1400</v>
      </c>
      <c r="SD1" s="192" t="s">
        <v>1402</v>
      </c>
      <c r="SE1" s="192" t="s">
        <v>1404</v>
      </c>
      <c r="SF1" s="192" t="s">
        <v>1406</v>
      </c>
      <c r="SG1" s="192" t="s">
        <v>1408</v>
      </c>
      <c r="SH1" s="192" t="s">
        <v>1410</v>
      </c>
      <c r="SI1" s="192" t="s">
        <v>1412</v>
      </c>
      <c r="SJ1" s="192" t="s">
        <v>1414</v>
      </c>
      <c r="SK1" s="192" t="s">
        <v>1416</v>
      </c>
      <c r="SL1" s="192" t="s">
        <v>1418</v>
      </c>
      <c r="SM1" s="189"/>
      <c r="SN1" s="201"/>
      <c r="SO1" s="192" t="s">
        <v>448</v>
      </c>
      <c r="SP1" s="192" t="s">
        <v>1435</v>
      </c>
      <c r="SQ1" s="192" t="s">
        <v>1437</v>
      </c>
      <c r="SR1" s="192" t="s">
        <v>449</v>
      </c>
      <c r="SS1" s="192" t="s">
        <v>1439</v>
      </c>
      <c r="ST1" s="192" t="s">
        <v>1441</v>
      </c>
      <c r="SU1" s="192" t="s">
        <v>1443</v>
      </c>
      <c r="SV1" s="192" t="s">
        <v>1445</v>
      </c>
      <c r="SW1" s="201"/>
      <c r="SX1" s="192" t="s">
        <v>451</v>
      </c>
      <c r="SY1" s="192" t="s">
        <v>1447</v>
      </c>
      <c r="SZ1" s="192" t="s">
        <v>1449</v>
      </c>
      <c r="TA1" s="192" t="s">
        <v>1451</v>
      </c>
      <c r="TB1" s="192" t="s">
        <v>1453</v>
      </c>
      <c r="TC1" s="192" t="s">
        <v>1455</v>
      </c>
      <c r="TD1" s="192" t="s">
        <v>1457</v>
      </c>
      <c r="TE1" s="192" t="s">
        <v>1459</v>
      </c>
      <c r="TF1" s="192" t="s">
        <v>1461</v>
      </c>
      <c r="TG1" s="192" t="s">
        <v>1463</v>
      </c>
      <c r="TH1" s="192" t="s">
        <v>1465</v>
      </c>
      <c r="TI1" s="192" t="s">
        <v>1467</v>
      </c>
      <c r="TJ1" s="192" t="s">
        <v>1469</v>
      </c>
      <c r="TK1" s="192" t="s">
        <v>1471</v>
      </c>
      <c r="TL1" s="192" t="s">
        <v>1473</v>
      </c>
      <c r="TM1" s="192" t="s">
        <v>1475</v>
      </c>
      <c r="TN1" s="189"/>
      <c r="TO1" s="201"/>
      <c r="TP1" s="192" t="s">
        <v>454</v>
      </c>
      <c r="TQ1" s="192" t="s">
        <v>1477</v>
      </c>
      <c r="TR1" s="192" t="s">
        <v>1479</v>
      </c>
      <c r="TS1" s="192" t="s">
        <v>1481</v>
      </c>
      <c r="TT1" s="192" t="s">
        <v>1483</v>
      </c>
      <c r="TU1" s="192" t="s">
        <v>1485</v>
      </c>
      <c r="TV1" s="192" t="s">
        <v>455</v>
      </c>
      <c r="TW1" s="192" t="s">
        <v>1487</v>
      </c>
      <c r="TX1" s="192" t="s">
        <v>1489</v>
      </c>
      <c r="TY1" s="192" t="s">
        <v>1491</v>
      </c>
      <c r="TZ1" s="192" t="s">
        <v>1493</v>
      </c>
      <c r="UA1" s="192" t="s">
        <v>1495</v>
      </c>
      <c r="UB1" s="192" t="s">
        <v>1497</v>
      </c>
      <c r="UC1" s="201"/>
      <c r="UD1" s="192" t="s">
        <v>457</v>
      </c>
      <c r="UE1" s="189"/>
      <c r="UF1" s="201"/>
      <c r="UG1" s="192" t="s">
        <v>458</v>
      </c>
      <c r="UH1" s="192" t="s">
        <v>1499</v>
      </c>
      <c r="UI1" s="192" t="s">
        <v>1501</v>
      </c>
      <c r="UJ1" s="192" t="s">
        <v>1502</v>
      </c>
      <c r="UK1" s="192" t="s">
        <v>1504</v>
      </c>
      <c r="UL1" s="192" t="s">
        <v>1506</v>
      </c>
      <c r="UM1" s="192" t="s">
        <v>1508</v>
      </c>
      <c r="UN1" s="192" t="s">
        <v>1510</v>
      </c>
      <c r="UO1" s="192" t="s">
        <v>1512</v>
      </c>
      <c r="UP1" s="192" t="s">
        <v>1514</v>
      </c>
      <c r="UQ1" s="192" t="s">
        <v>1516</v>
      </c>
      <c r="UR1" s="192" t="s">
        <v>1518</v>
      </c>
      <c r="US1" s="192" t="s">
        <v>1520</v>
      </c>
      <c r="UT1" s="192" t="s">
        <v>1522</v>
      </c>
      <c r="UU1" s="192" t="s">
        <v>1524</v>
      </c>
      <c r="UV1" s="192" t="s">
        <v>1526</v>
      </c>
      <c r="UW1" s="192" t="s">
        <v>1528</v>
      </c>
      <c r="UX1" s="189"/>
      <c r="UY1" s="192" t="s">
        <v>1532</v>
      </c>
      <c r="UZ1" s="192" t="s">
        <v>1534</v>
      </c>
      <c r="VA1" s="192" t="s">
        <v>1536</v>
      </c>
      <c r="VB1" s="192" t="s">
        <v>1538</v>
      </c>
      <c r="VC1" s="192" t="s">
        <v>1540</v>
      </c>
      <c r="VD1" s="195"/>
    </row>
    <row r="2" spans="1:576" s="132" customFormat="1" hidden="1" x14ac:dyDescent="0.25">
      <c r="A2" s="132" t="s">
        <v>201</v>
      </c>
      <c r="B2" s="132" t="s">
        <v>187</v>
      </c>
      <c r="C2" s="132" t="s">
        <v>558</v>
      </c>
      <c r="D2" s="132" t="s">
        <v>202</v>
      </c>
      <c r="E2" s="132" t="s">
        <v>166</v>
      </c>
      <c r="F2" s="132" t="s">
        <v>559</v>
      </c>
      <c r="G2" s="170" t="s">
        <v>203</v>
      </c>
      <c r="H2" s="132" t="s">
        <v>560</v>
      </c>
      <c r="I2" s="132" t="s">
        <v>561</v>
      </c>
      <c r="J2" s="132" t="s">
        <v>204</v>
      </c>
      <c r="K2" s="132" t="s">
        <v>562</v>
      </c>
      <c r="R2" s="132" t="s">
        <v>206</v>
      </c>
      <c r="S2" s="132" t="s">
        <v>207</v>
      </c>
      <c r="U2" s="132" t="s">
        <v>475</v>
      </c>
      <c r="V2" s="132" t="s">
        <v>493</v>
      </c>
      <c r="W2" s="132" t="s">
        <v>476</v>
      </c>
      <c r="X2" s="132" t="s">
        <v>477</v>
      </c>
      <c r="Y2" s="132" t="s">
        <v>478</v>
      </c>
      <c r="Z2" s="132" t="s">
        <v>479</v>
      </c>
      <c r="AA2" s="132" t="s">
        <v>480</v>
      </c>
      <c r="AB2" s="132" t="s">
        <v>481</v>
      </c>
      <c r="AC2" s="132" t="s">
        <v>482</v>
      </c>
      <c r="AD2" s="132" t="s">
        <v>483</v>
      </c>
      <c r="AE2" s="132" t="s">
        <v>484</v>
      </c>
      <c r="AF2" s="132" t="s">
        <v>485</v>
      </c>
      <c r="AH2" s="132" t="s">
        <v>504</v>
      </c>
      <c r="AI2" s="132" t="s">
        <v>505</v>
      </c>
      <c r="AJ2" s="132" t="s">
        <v>506</v>
      </c>
      <c r="AK2" s="132" t="s">
        <v>507</v>
      </c>
      <c r="AL2" s="132" t="s">
        <v>508</v>
      </c>
      <c r="AM2" s="132" t="s">
        <v>511</v>
      </c>
      <c r="AN2" s="132" t="s">
        <v>509</v>
      </c>
      <c r="AO2" s="132" t="s">
        <v>510</v>
      </c>
      <c r="AP2" s="132" t="s">
        <v>512</v>
      </c>
      <c r="AQ2" s="132" t="s">
        <v>513</v>
      </c>
      <c r="AR2" s="132" t="s">
        <v>514</v>
      </c>
      <c r="AS2" s="132" t="s">
        <v>515</v>
      </c>
      <c r="AT2" s="132" t="s">
        <v>516</v>
      </c>
      <c r="AU2" s="132" t="s">
        <v>517</v>
      </c>
      <c r="AV2" s="132" t="s">
        <v>518</v>
      </c>
      <c r="AW2" s="132" t="s">
        <v>519</v>
      </c>
      <c r="AX2" s="132" t="s">
        <v>520</v>
      </c>
      <c r="AY2" s="132" t="s">
        <v>521</v>
      </c>
      <c r="AZ2" s="132" t="s">
        <v>522</v>
      </c>
      <c r="BA2" s="132" t="s">
        <v>523</v>
      </c>
      <c r="BB2" s="132" t="s">
        <v>524</v>
      </c>
      <c r="BC2" s="132" t="s">
        <v>525</v>
      </c>
      <c r="BD2" s="132" t="s">
        <v>526</v>
      </c>
      <c r="BE2" s="132" t="s">
        <v>527</v>
      </c>
      <c r="BF2" s="132" t="s">
        <v>528</v>
      </c>
      <c r="BG2" s="132" t="s">
        <v>529</v>
      </c>
      <c r="BH2" s="132" t="s">
        <v>530</v>
      </c>
      <c r="BI2" s="132" t="s">
        <v>531</v>
      </c>
      <c r="BJ2" s="132" t="s">
        <v>532</v>
      </c>
      <c r="BK2" s="132" t="s">
        <v>533</v>
      </c>
      <c r="BL2" s="132" t="s">
        <v>534</v>
      </c>
      <c r="BM2" s="132" t="s">
        <v>535</v>
      </c>
      <c r="BN2" s="132" t="s">
        <v>536</v>
      </c>
      <c r="BO2" s="132" t="s">
        <v>537</v>
      </c>
      <c r="BP2" s="132" t="s">
        <v>538</v>
      </c>
      <c r="BQ2" s="132" t="s">
        <v>539</v>
      </c>
      <c r="BR2" s="132" t="s">
        <v>540</v>
      </c>
      <c r="BS2" s="132" t="s">
        <v>541</v>
      </c>
      <c r="BT2" s="132" t="s">
        <v>542</v>
      </c>
      <c r="BU2" s="132" t="s">
        <v>543</v>
      </c>
    </row>
    <row r="3" spans="1:576" hidden="1" x14ac:dyDescent="0.25">
      <c r="AH3" s="95">
        <v>2500</v>
      </c>
      <c r="AI3" s="95">
        <v>1900</v>
      </c>
      <c r="AJ3" s="95">
        <v>1650</v>
      </c>
      <c r="AK3" s="95">
        <v>1580</v>
      </c>
      <c r="AL3" s="95">
        <v>2250</v>
      </c>
      <c r="AM3" s="95">
        <v>1650</v>
      </c>
      <c r="AN3" s="95">
        <v>1400</v>
      </c>
      <c r="AO3" s="95">
        <v>1340</v>
      </c>
      <c r="AP3" s="95">
        <v>2000</v>
      </c>
      <c r="AQ3" s="95">
        <v>1400</v>
      </c>
      <c r="AR3" s="95">
        <v>1150</v>
      </c>
      <c r="AS3" s="95">
        <v>1100</v>
      </c>
      <c r="AT3" s="95">
        <v>1750</v>
      </c>
      <c r="AU3" s="95">
        <v>1150</v>
      </c>
      <c r="AV3" s="95">
        <v>900</v>
      </c>
      <c r="AW3" s="95">
        <v>860</v>
      </c>
      <c r="AX3" s="95">
        <v>1200</v>
      </c>
      <c r="AY3" s="95">
        <v>900</v>
      </c>
      <c r="AZ3" s="95">
        <v>650</v>
      </c>
      <c r="BA3" s="95">
        <v>620</v>
      </c>
      <c r="BB3" s="95">
        <v>5355</v>
      </c>
      <c r="BC3" s="95">
        <v>4935</v>
      </c>
      <c r="BD3" s="95">
        <v>6300</v>
      </c>
      <c r="BE3" s="95">
        <v>5880</v>
      </c>
      <c r="BF3" s="95">
        <v>4725</v>
      </c>
      <c r="BG3" s="95">
        <v>4305</v>
      </c>
      <c r="BH3" s="95">
        <v>5670</v>
      </c>
      <c r="BI3" s="95">
        <v>5250</v>
      </c>
      <c r="BJ3" s="95">
        <v>4095</v>
      </c>
      <c r="BK3" s="95">
        <v>3780</v>
      </c>
      <c r="BL3" s="95">
        <v>5040</v>
      </c>
      <c r="BM3" s="95">
        <v>4620</v>
      </c>
      <c r="BN3" s="95">
        <v>3465</v>
      </c>
      <c r="BO3" s="95">
        <v>3150</v>
      </c>
      <c r="BP3" s="95">
        <v>4410</v>
      </c>
      <c r="BQ3" s="95">
        <v>4095</v>
      </c>
      <c r="BR3" s="95">
        <v>3045</v>
      </c>
      <c r="BS3" s="95">
        <v>2835</v>
      </c>
      <c r="BT3" s="95">
        <v>3885</v>
      </c>
      <c r="BU3" s="95">
        <v>3570</v>
      </c>
    </row>
    <row r="4" spans="1:576" ht="15.75" thickBot="1" x14ac:dyDescent="0.3"/>
    <row r="5" spans="1:576" ht="27" thickBot="1" x14ac:dyDescent="0.3">
      <c r="C5" s="96" t="s">
        <v>467</v>
      </c>
      <c r="D5" s="213">
        <f>SUMIF(C:C,$C$10,D:D)</f>
        <v>12568425</v>
      </c>
    </row>
    <row r="6" spans="1:576" x14ac:dyDescent="0.25">
      <c r="C6" s="117"/>
      <c r="D6" s="117"/>
      <c r="E6" s="117"/>
      <c r="F6" s="117"/>
      <c r="G6" s="86"/>
      <c r="H6" s="117"/>
      <c r="I6" s="117"/>
    </row>
    <row r="7" spans="1:576" x14ac:dyDescent="0.25">
      <c r="C7" s="117"/>
      <c r="D7" s="117"/>
      <c r="E7" s="117"/>
      <c r="F7" s="117"/>
      <c r="G7" s="86"/>
      <c r="H7" s="117"/>
      <c r="I7" s="117"/>
    </row>
    <row r="8" spans="1:576" x14ac:dyDescent="0.25">
      <c r="C8" s="117"/>
      <c r="D8" s="117"/>
      <c r="E8" s="117"/>
      <c r="F8" s="117"/>
      <c r="G8" s="86"/>
      <c r="H8" s="117"/>
      <c r="I8" s="117"/>
    </row>
    <row r="9" spans="1:576" ht="15.75" thickBot="1" x14ac:dyDescent="0.3">
      <c r="C9" s="117"/>
      <c r="D9" s="117"/>
      <c r="E9" s="117"/>
      <c r="F9" s="117"/>
      <c r="G9" s="86"/>
      <c r="H9" s="117"/>
      <c r="I9" s="117"/>
      <c r="K9" s="187"/>
    </row>
    <row r="10" spans="1:576" ht="15.75" thickBot="1" x14ac:dyDescent="0.3">
      <c r="C10" s="167" t="s">
        <v>53</v>
      </c>
      <c r="D10" s="118">
        <f>SUM(F17:F51)</f>
        <v>12568425</v>
      </c>
      <c r="F10" s="69"/>
      <c r="G10" s="87"/>
      <c r="H10" s="69"/>
      <c r="I10" s="69"/>
    </row>
    <row r="11" spans="1:576" x14ac:dyDescent="0.25">
      <c r="B11" s="103"/>
      <c r="C11" s="69"/>
      <c r="D11" s="31"/>
      <c r="E11" s="103"/>
      <c r="F11" s="103"/>
      <c r="G11" s="103"/>
      <c r="H11" s="84"/>
      <c r="I11" s="84"/>
      <c r="J11" s="84"/>
      <c r="K11" s="122"/>
    </row>
    <row r="12" spans="1:576" x14ac:dyDescent="0.25">
      <c r="B12" s="103"/>
      <c r="C12" s="69"/>
      <c r="D12" s="31"/>
      <c r="E12" s="103"/>
      <c r="F12" s="103"/>
      <c r="G12" s="103"/>
      <c r="H12" s="84"/>
      <c r="I12" s="84"/>
      <c r="J12" s="84"/>
      <c r="K12" s="122"/>
    </row>
    <row r="13" spans="1:576" ht="15.75" x14ac:dyDescent="0.25">
      <c r="B13" s="103"/>
      <c r="C13" s="217" t="s">
        <v>471</v>
      </c>
      <c r="D13" s="218"/>
      <c r="E13" s="103"/>
      <c r="F13" s="103"/>
      <c r="G13" s="103"/>
      <c r="H13" s="84"/>
      <c r="I13" s="84"/>
      <c r="J13" s="84"/>
      <c r="K13" s="122"/>
    </row>
    <row r="14" spans="1:576" ht="18.75" x14ac:dyDescent="0.25">
      <c r="B14" s="103"/>
      <c r="C14" s="220" t="e">
        <f>IFERROR(VLOOKUP(D13,#REF!,2,FALSE),IFERROR(VLOOKUP(D13,#REF!,2,FALSE),IFERROR(VLOOKUP(D13,#REF!,2,FALSE),IFERROR(VLOOKUP(D13,'Docencia y Recursos Humanos '!$F:$G,2,FALSE),IFERROR(VLOOKUP(D13,Estudiantes!$E:$F,2,FALSE),IFERROR(VLOOKUP(D13,'Gestion Administrativa'!$E:$F,2,FALSE),IFERROR(VLOOKUP(D13,#REF!,2,FALSE),IFERROR(VLOOKUP(D13,#REF!,2,FALSE),IFERROR(VLOOKUP(D13,#REF!,2,FALSE),IFERROR(VLOOKUP(D13,#REF!,2,FALSE),IFERROR(VLOOKUP(D13,#REF!,2,FALSE),VLOOKUP(D13,#REF!,2,0))))))))))))</f>
        <v>#REF!</v>
      </c>
      <c r="D14" s="31"/>
      <c r="E14" s="103"/>
      <c r="F14" s="103"/>
      <c r="G14" s="103"/>
      <c r="H14" s="84"/>
      <c r="I14" s="84"/>
      <c r="J14" s="84"/>
      <c r="K14" s="122"/>
    </row>
    <row r="15" spans="1:576" ht="15.75" thickBot="1" x14ac:dyDescent="0.3">
      <c r="F15" s="103"/>
      <c r="G15" s="84"/>
      <c r="H15" s="84"/>
      <c r="I15" s="84"/>
    </row>
    <row r="16" spans="1:576" ht="30.75" thickBot="1" x14ac:dyDescent="0.3">
      <c r="C16" s="139" t="s">
        <v>44</v>
      </c>
      <c r="D16" s="144" t="s">
        <v>55</v>
      </c>
      <c r="E16" s="146" t="s">
        <v>57</v>
      </c>
      <c r="F16" s="145" t="s">
        <v>27</v>
      </c>
      <c r="G16" s="143" t="s">
        <v>208</v>
      </c>
      <c r="H16" s="146" t="s">
        <v>46</v>
      </c>
      <c r="I16" s="143" t="s">
        <v>209</v>
      </c>
      <c r="J16" s="143" t="s">
        <v>491</v>
      </c>
      <c r="K16" s="143" t="s">
        <v>492</v>
      </c>
      <c r="L16" s="143" t="s">
        <v>551</v>
      </c>
    </row>
    <row r="17" spans="3:12" x14ac:dyDescent="0.25">
      <c r="C17" s="151" t="s">
        <v>1824</v>
      </c>
      <c r="D17" s="168">
        <v>2</v>
      </c>
      <c r="E17" s="125">
        <v>791070</v>
      </c>
      <c r="F17" s="107">
        <f t="shared" ref="F17:F51" si="0">D17*E17</f>
        <v>1582140</v>
      </c>
      <c r="G17" s="171" t="s">
        <v>207</v>
      </c>
      <c r="H17" s="152" t="s">
        <v>1288</v>
      </c>
      <c r="I17" s="140" t="str">
        <f>VLOOKUP(H17,Presupuesto!$B$8:$C$583,2,0)</f>
        <v>BECAS PROFESIONALIZANTES DOCENTE (PLAN DE REFORMA)</v>
      </c>
      <c r="J17" s="231" t="s">
        <v>202</v>
      </c>
      <c r="K17" s="108" t="s">
        <v>475</v>
      </c>
      <c r="L17" s="108"/>
    </row>
    <row r="18" spans="3:12" ht="15.75" thickBot="1" x14ac:dyDescent="0.3">
      <c r="C18" s="151" t="s">
        <v>1825</v>
      </c>
      <c r="D18" s="168">
        <v>4</v>
      </c>
      <c r="E18" s="133">
        <v>1017090</v>
      </c>
      <c r="F18" s="107">
        <f t="shared" si="0"/>
        <v>4068360</v>
      </c>
      <c r="G18" s="171" t="s">
        <v>207</v>
      </c>
      <c r="H18" s="152" t="s">
        <v>1288</v>
      </c>
      <c r="I18" s="140" t="str">
        <f>VLOOKUP(H18,Presupuesto!$B$8:$C$583,2,0)</f>
        <v>BECAS PROFESIONALIZANTES DOCENTE (PLAN DE REFORMA)</v>
      </c>
      <c r="J18" s="108" t="str">
        <f>$J$17</f>
        <v>Docencia y Recursos Humanos</v>
      </c>
      <c r="K18" s="108" t="s">
        <v>475</v>
      </c>
      <c r="L18" s="108"/>
    </row>
    <row r="19" spans="3:12" x14ac:dyDescent="0.25">
      <c r="C19" s="434" t="s">
        <v>1890</v>
      </c>
      <c r="D19" s="168">
        <v>3</v>
      </c>
      <c r="E19" s="125">
        <v>784000</v>
      </c>
      <c r="F19" s="107">
        <f t="shared" si="0"/>
        <v>2352000</v>
      </c>
      <c r="G19" s="171" t="s">
        <v>207</v>
      </c>
      <c r="H19" s="192" t="s">
        <v>1272</v>
      </c>
      <c r="I19" s="140" t="str">
        <f>VLOOKUP(H19,Presupuesto!$B$8:$C$583,2,0)</f>
        <v>BECAS</v>
      </c>
      <c r="J19" s="108" t="str">
        <f>$J$17</f>
        <v>Docencia y Recursos Humanos</v>
      </c>
      <c r="K19" s="108" t="s">
        <v>493</v>
      </c>
      <c r="L19" s="108"/>
    </row>
    <row r="20" spans="3:12" ht="30" x14ac:dyDescent="0.25">
      <c r="C20" s="434" t="s">
        <v>1899</v>
      </c>
      <c r="D20" s="168">
        <v>4</v>
      </c>
      <c r="E20" s="133">
        <v>100000</v>
      </c>
      <c r="F20" s="107">
        <f t="shared" si="0"/>
        <v>400000</v>
      </c>
      <c r="G20" s="171" t="s">
        <v>207</v>
      </c>
      <c r="H20" s="192" t="s">
        <v>1278</v>
      </c>
      <c r="I20" s="140" t="str">
        <f>VLOOKUP(H20,Presupuesto!$B$8:$C$583,2,0)</f>
        <v>BECAS DE ACTUALIZACION Y CAPACITACION DOCENTE</v>
      </c>
      <c r="J20" s="108" t="str">
        <f>$J$17</f>
        <v>Docencia y Recursos Humanos</v>
      </c>
      <c r="K20" s="108" t="s">
        <v>493</v>
      </c>
      <c r="L20" s="108"/>
    </row>
    <row r="21" spans="3:12" x14ac:dyDescent="0.25">
      <c r="C21" s="151" t="s">
        <v>1900</v>
      </c>
      <c r="D21" s="168">
        <v>4</v>
      </c>
      <c r="E21" s="133">
        <v>50000</v>
      </c>
      <c r="F21" s="107">
        <f t="shared" si="0"/>
        <v>200000</v>
      </c>
      <c r="G21" s="171" t="s">
        <v>207</v>
      </c>
      <c r="H21" s="192" t="s">
        <v>1278</v>
      </c>
      <c r="I21" s="140" t="str">
        <f>VLOOKUP(H21,Presupuesto!$B$8:$C$583,2,0)</f>
        <v>BECAS DE ACTUALIZACION Y CAPACITACION DOCENTE</v>
      </c>
      <c r="J21" s="108" t="str">
        <f>$J$17</f>
        <v>Docencia y Recursos Humanos</v>
      </c>
      <c r="K21" s="108" t="s">
        <v>493</v>
      </c>
      <c r="L21" s="108"/>
    </row>
    <row r="22" spans="3:12" x14ac:dyDescent="0.25">
      <c r="C22" s="151" t="s">
        <v>1901</v>
      </c>
      <c r="D22" s="168">
        <v>5</v>
      </c>
      <c r="E22" s="133">
        <v>5745</v>
      </c>
      <c r="F22" s="107">
        <f t="shared" si="0"/>
        <v>28725</v>
      </c>
      <c r="G22" s="171" t="s">
        <v>207</v>
      </c>
      <c r="H22" s="192" t="s">
        <v>1278</v>
      </c>
      <c r="I22" s="140" t="str">
        <f>VLOOKUP(H22,[10]Presupuesto!$B$8:$C$585,2,0)</f>
        <v>BECAS DE ACTUALIZACION Y CAPACITACION DOCENTE</v>
      </c>
      <c r="J22" s="231" t="s">
        <v>202</v>
      </c>
      <c r="K22" s="108" t="s">
        <v>1889</v>
      </c>
      <c r="L22" s="108"/>
    </row>
    <row r="23" spans="3:12" ht="15.75" thickBot="1" x14ac:dyDescent="0.3">
      <c r="C23" s="151" t="s">
        <v>1902</v>
      </c>
      <c r="D23" s="168">
        <v>11</v>
      </c>
      <c r="E23" s="133">
        <v>30000</v>
      </c>
      <c r="F23" s="107">
        <f t="shared" si="0"/>
        <v>330000</v>
      </c>
      <c r="G23" s="171" t="s">
        <v>207</v>
      </c>
      <c r="H23" s="192" t="s">
        <v>1278</v>
      </c>
      <c r="I23" s="140" t="str">
        <f>VLOOKUP(H23,[10]Presupuesto!$B$8:$C$585,2,0)</f>
        <v>BECAS DE ACTUALIZACION Y CAPACITACION DOCENTE</v>
      </c>
      <c r="J23" s="108" t="str">
        <f>'5. ACTIVIDADES ESPECIALES'!$J$17</f>
        <v>Docencia y Recursos Humanos</v>
      </c>
      <c r="K23" s="108" t="s">
        <v>1889</v>
      </c>
      <c r="L23" s="108"/>
    </row>
    <row r="24" spans="3:12" x14ac:dyDescent="0.25">
      <c r="C24" s="151" t="s">
        <v>2019</v>
      </c>
      <c r="D24" s="168">
        <v>3</v>
      </c>
      <c r="E24" s="125">
        <v>80000</v>
      </c>
      <c r="F24" s="107">
        <f t="shared" si="0"/>
        <v>240000</v>
      </c>
      <c r="G24" s="171" t="s">
        <v>207</v>
      </c>
      <c r="H24" s="192" t="s">
        <v>1278</v>
      </c>
      <c r="I24" s="140" t="str">
        <f>VLOOKUP(H24,[5]Presupuesto!$B$8:$C$583,2,0)</f>
        <v>BECAS DE ACTUALIZACION Y CAPACITACION DOCENTE</v>
      </c>
      <c r="J24" s="231" t="s">
        <v>202</v>
      </c>
      <c r="K24" s="108" t="s">
        <v>475</v>
      </c>
      <c r="L24" s="108"/>
    </row>
    <row r="25" spans="3:12" x14ac:dyDescent="0.25">
      <c r="C25" s="151" t="s">
        <v>2020</v>
      </c>
      <c r="D25" s="168">
        <v>3</v>
      </c>
      <c r="E25" s="133">
        <v>60000</v>
      </c>
      <c r="F25" s="107">
        <f t="shared" si="0"/>
        <v>180000</v>
      </c>
      <c r="G25" s="171" t="s">
        <v>207</v>
      </c>
      <c r="H25" s="192" t="s">
        <v>1278</v>
      </c>
      <c r="I25" s="140" t="str">
        <f>VLOOKUP(H25,[5]Presupuesto!$B$8:$C$583,2,0)</f>
        <v>BECAS DE ACTUALIZACION Y CAPACITACION DOCENTE</v>
      </c>
      <c r="J25" s="108" t="str">
        <f>$J$17</f>
        <v>Docencia y Recursos Humanos</v>
      </c>
      <c r="K25" s="108" t="s">
        <v>475</v>
      </c>
      <c r="L25" s="108"/>
    </row>
    <row r="26" spans="3:12" x14ac:dyDescent="0.25">
      <c r="C26" s="151" t="s">
        <v>2021</v>
      </c>
      <c r="D26" s="168">
        <v>3</v>
      </c>
      <c r="E26" s="133">
        <v>50000</v>
      </c>
      <c r="F26" s="107">
        <f t="shared" si="0"/>
        <v>150000</v>
      </c>
      <c r="G26" s="171" t="s">
        <v>207</v>
      </c>
      <c r="H26" s="192" t="s">
        <v>1278</v>
      </c>
      <c r="I26" s="140" t="str">
        <f>VLOOKUP(H26,[5]Presupuesto!$B$8:$C$583,2,0)</f>
        <v>BECAS DE ACTUALIZACION Y CAPACITACION DOCENTE</v>
      </c>
      <c r="J26" s="108" t="str">
        <f>$J$17</f>
        <v>Docencia y Recursos Humanos</v>
      </c>
      <c r="K26" s="108" t="s">
        <v>475</v>
      </c>
      <c r="L26" s="108"/>
    </row>
    <row r="27" spans="3:12" x14ac:dyDescent="0.25">
      <c r="C27" s="151" t="s">
        <v>2032</v>
      </c>
      <c r="D27" s="168">
        <v>3</v>
      </c>
      <c r="E27" s="133">
        <f>30000*21</f>
        <v>630000</v>
      </c>
      <c r="F27" s="107">
        <f t="shared" si="0"/>
        <v>1890000</v>
      </c>
      <c r="G27" s="171" t="s">
        <v>207</v>
      </c>
      <c r="H27" s="152" t="s">
        <v>1272</v>
      </c>
      <c r="I27" s="140" t="str">
        <f>VLOOKUP(H27,[6]Presupuesto!$B$8:$C$583,2,0)</f>
        <v>BECAS</v>
      </c>
      <c r="J27" s="108" t="s">
        <v>202</v>
      </c>
      <c r="K27" s="108" t="s">
        <v>475</v>
      </c>
      <c r="L27" s="108" t="s">
        <v>2031</v>
      </c>
    </row>
    <row r="28" spans="3:12" x14ac:dyDescent="0.25">
      <c r="C28" s="151" t="s">
        <v>2033</v>
      </c>
      <c r="D28" s="168">
        <v>3</v>
      </c>
      <c r="E28" s="133">
        <f>500*12</f>
        <v>6000</v>
      </c>
      <c r="F28" s="107">
        <f t="shared" si="0"/>
        <v>18000</v>
      </c>
      <c r="G28" s="171" t="s">
        <v>207</v>
      </c>
      <c r="H28" s="152" t="s">
        <v>830</v>
      </c>
      <c r="I28" s="140" t="str">
        <f>VLOOKUP(H28,[6]Presupuesto!$B$8:$C$583,2,0)</f>
        <v>AGUA</v>
      </c>
      <c r="J28" s="108" t="s">
        <v>202</v>
      </c>
      <c r="K28" s="108" t="s">
        <v>475</v>
      </c>
      <c r="L28" s="108"/>
    </row>
    <row r="29" spans="3:12" x14ac:dyDescent="0.25">
      <c r="C29" s="151" t="s">
        <v>2034</v>
      </c>
      <c r="D29" s="168">
        <v>3</v>
      </c>
      <c r="E29" s="133">
        <f>2500*12</f>
        <v>30000</v>
      </c>
      <c r="F29" s="107">
        <f t="shared" si="0"/>
        <v>90000</v>
      </c>
      <c r="G29" s="171" t="s">
        <v>207</v>
      </c>
      <c r="H29" s="152" t="s">
        <v>1076</v>
      </c>
      <c r="I29" s="140" t="str">
        <f>VLOOKUP(H29,[6]Presupuesto!$B$8:$C$583,2,0)</f>
        <v>GASOLINA</v>
      </c>
      <c r="J29" s="108" t="s">
        <v>202</v>
      </c>
      <c r="K29" s="108" t="s">
        <v>475</v>
      </c>
      <c r="L29" s="108"/>
    </row>
    <row r="30" spans="3:12" x14ac:dyDescent="0.25">
      <c r="C30" s="151" t="s">
        <v>2035</v>
      </c>
      <c r="D30" s="168">
        <v>3</v>
      </c>
      <c r="E30" s="133">
        <f>800*12</f>
        <v>9600</v>
      </c>
      <c r="F30" s="107">
        <f t="shared" si="0"/>
        <v>28800</v>
      </c>
      <c r="G30" s="171" t="s">
        <v>207</v>
      </c>
      <c r="H30" s="152" t="s">
        <v>829</v>
      </c>
      <c r="I30" s="140" t="str">
        <f>VLOOKUP(H30,[6]Presupuesto!$B$8:$C$583,2,0)</f>
        <v>ENERGIA ELECTRICA</v>
      </c>
      <c r="J30" s="108" t="s">
        <v>202</v>
      </c>
      <c r="K30" s="108" t="s">
        <v>475</v>
      </c>
      <c r="L30" s="108"/>
    </row>
    <row r="31" spans="3:12" x14ac:dyDescent="0.25">
      <c r="C31" s="151" t="s">
        <v>2036</v>
      </c>
      <c r="D31" s="168">
        <v>3</v>
      </c>
      <c r="E31" s="133">
        <f>27000*12</f>
        <v>324000</v>
      </c>
      <c r="F31" s="107">
        <f t="shared" si="0"/>
        <v>972000</v>
      </c>
      <c r="G31" s="171" t="s">
        <v>207</v>
      </c>
      <c r="H31" s="152" t="s">
        <v>866</v>
      </c>
      <c r="I31" s="140" t="str">
        <f>VLOOKUP(H31,[6]Presupuesto!$B$8:$C$583,2,0)</f>
        <v>OTROS ALQUILERES</v>
      </c>
      <c r="J31" s="108" t="s">
        <v>202</v>
      </c>
      <c r="K31" s="108" t="s">
        <v>475</v>
      </c>
      <c r="L31" s="108"/>
    </row>
    <row r="32" spans="3:12" x14ac:dyDescent="0.25">
      <c r="C32" s="151" t="s">
        <v>2037</v>
      </c>
      <c r="D32" s="168">
        <v>3</v>
      </c>
      <c r="E32" s="133">
        <v>12800</v>
      </c>
      <c r="F32" s="107">
        <f t="shared" si="0"/>
        <v>38400</v>
      </c>
      <c r="G32" s="171" t="s">
        <v>207</v>
      </c>
      <c r="H32" s="152" t="s">
        <v>960</v>
      </c>
      <c r="I32" s="140" t="str">
        <f>VLOOKUP(H32,[6]Presupuesto!$B$8:$C$583,2,0)</f>
        <v>PASAJES AL EXTERIOR</v>
      </c>
      <c r="J32" s="108" t="s">
        <v>202</v>
      </c>
      <c r="K32" s="108" t="s">
        <v>475</v>
      </c>
      <c r="L32" s="108"/>
    </row>
    <row r="33" spans="3:12" x14ac:dyDescent="0.25">
      <c r="C33" s="151"/>
      <c r="D33" s="168"/>
      <c r="E33" s="133"/>
      <c r="F33" s="107">
        <f t="shared" si="0"/>
        <v>0</v>
      </c>
      <c r="G33" s="171"/>
      <c r="H33" s="152"/>
      <c r="I33" s="140" t="e">
        <f>VLOOKUP(H33,Presupuesto!$B$8:$C$583,2,0)</f>
        <v>#N/A</v>
      </c>
      <c r="J33" s="108" t="str">
        <f t="shared" ref="J33:J50" si="1">$J$17</f>
        <v>Docencia y Recursos Humanos</v>
      </c>
      <c r="K33" s="108" t="s">
        <v>493</v>
      </c>
      <c r="L33" s="108"/>
    </row>
    <row r="34" spans="3:12" x14ac:dyDescent="0.25">
      <c r="C34" s="151"/>
      <c r="D34" s="168"/>
      <c r="E34" s="133"/>
      <c r="F34" s="107">
        <f t="shared" si="0"/>
        <v>0</v>
      </c>
      <c r="G34" s="171"/>
      <c r="H34" s="152"/>
      <c r="I34" s="140" t="e">
        <f>VLOOKUP(H34,Presupuesto!$B$8:$C$583,2,0)</f>
        <v>#N/A</v>
      </c>
      <c r="J34" s="108" t="str">
        <f t="shared" si="1"/>
        <v>Docencia y Recursos Humanos</v>
      </c>
      <c r="K34" s="108" t="s">
        <v>493</v>
      </c>
      <c r="L34" s="108"/>
    </row>
    <row r="35" spans="3:12" x14ac:dyDescent="0.25">
      <c r="C35" s="151"/>
      <c r="D35" s="168"/>
      <c r="E35" s="133"/>
      <c r="F35" s="107">
        <f t="shared" si="0"/>
        <v>0</v>
      </c>
      <c r="G35" s="171"/>
      <c r="H35" s="152"/>
      <c r="I35" s="140" t="e">
        <f>VLOOKUP(H35,Presupuesto!$B$8:$C$583,2,0)</f>
        <v>#N/A</v>
      </c>
      <c r="J35" s="108" t="str">
        <f t="shared" si="1"/>
        <v>Docencia y Recursos Humanos</v>
      </c>
      <c r="K35" s="108" t="s">
        <v>493</v>
      </c>
      <c r="L35" s="108"/>
    </row>
    <row r="36" spans="3:12" x14ac:dyDescent="0.25">
      <c r="C36" s="151"/>
      <c r="D36" s="168"/>
      <c r="E36" s="133"/>
      <c r="F36" s="107">
        <f t="shared" si="0"/>
        <v>0</v>
      </c>
      <c r="G36" s="171"/>
      <c r="H36" s="152"/>
      <c r="I36" s="140" t="e">
        <f>VLOOKUP(H36,Presupuesto!$B$8:$C$583,2,0)</f>
        <v>#N/A</v>
      </c>
      <c r="J36" s="108" t="str">
        <f t="shared" si="1"/>
        <v>Docencia y Recursos Humanos</v>
      </c>
      <c r="K36" s="108" t="s">
        <v>493</v>
      </c>
      <c r="L36" s="108"/>
    </row>
    <row r="37" spans="3:12" x14ac:dyDescent="0.25">
      <c r="C37" s="151"/>
      <c r="D37" s="168"/>
      <c r="E37" s="133"/>
      <c r="F37" s="107">
        <f t="shared" si="0"/>
        <v>0</v>
      </c>
      <c r="G37" s="171"/>
      <c r="H37" s="152"/>
      <c r="I37" s="140" t="e">
        <f>VLOOKUP(H37,Presupuesto!$B$8:$C$583,2,0)</f>
        <v>#N/A</v>
      </c>
      <c r="J37" s="108" t="str">
        <f t="shared" si="1"/>
        <v>Docencia y Recursos Humanos</v>
      </c>
      <c r="K37" s="108" t="s">
        <v>493</v>
      </c>
      <c r="L37" s="108"/>
    </row>
    <row r="38" spans="3:12" x14ac:dyDescent="0.25">
      <c r="C38" s="151"/>
      <c r="D38" s="168"/>
      <c r="E38" s="133"/>
      <c r="F38" s="107">
        <f t="shared" si="0"/>
        <v>0</v>
      </c>
      <c r="G38" s="171"/>
      <c r="H38" s="152"/>
      <c r="I38" s="140" t="e">
        <f>VLOOKUP(H38,Presupuesto!$B$8:$C$583,2,0)</f>
        <v>#N/A</v>
      </c>
      <c r="J38" s="108" t="str">
        <f t="shared" si="1"/>
        <v>Docencia y Recursos Humanos</v>
      </c>
      <c r="K38" s="108" t="s">
        <v>493</v>
      </c>
      <c r="L38" s="108"/>
    </row>
    <row r="39" spans="3:12" x14ac:dyDescent="0.25">
      <c r="C39" s="153"/>
      <c r="D39" s="168"/>
      <c r="E39" s="128"/>
      <c r="F39" s="107">
        <f t="shared" si="0"/>
        <v>0</v>
      </c>
      <c r="G39" s="171"/>
      <c r="H39" s="154"/>
      <c r="I39" s="140" t="e">
        <f>VLOOKUP(H39,Presupuesto!$B$8:$C$583,2,0)</f>
        <v>#N/A</v>
      </c>
      <c r="J39" s="108" t="str">
        <f t="shared" si="1"/>
        <v>Docencia y Recursos Humanos</v>
      </c>
      <c r="K39" s="108" t="s">
        <v>493</v>
      </c>
      <c r="L39" s="108"/>
    </row>
    <row r="40" spans="3:12" x14ac:dyDescent="0.25">
      <c r="C40" s="153"/>
      <c r="D40" s="168"/>
      <c r="E40" s="128"/>
      <c r="F40" s="107">
        <f t="shared" si="0"/>
        <v>0</v>
      </c>
      <c r="G40" s="171"/>
      <c r="H40" s="154"/>
      <c r="I40" s="140" t="e">
        <f>VLOOKUP(H40,Presupuesto!$B$8:$C$583,2,0)</f>
        <v>#N/A</v>
      </c>
      <c r="J40" s="108" t="str">
        <f t="shared" si="1"/>
        <v>Docencia y Recursos Humanos</v>
      </c>
      <c r="K40" s="108" t="s">
        <v>493</v>
      </c>
      <c r="L40" s="108"/>
    </row>
    <row r="41" spans="3:12" x14ac:dyDescent="0.25">
      <c r="C41" s="153"/>
      <c r="D41" s="168"/>
      <c r="E41" s="128"/>
      <c r="F41" s="107">
        <f t="shared" si="0"/>
        <v>0</v>
      </c>
      <c r="G41" s="171"/>
      <c r="H41" s="154"/>
      <c r="I41" s="140" t="e">
        <f>VLOOKUP(H41,Presupuesto!$B$8:$C$583,2,0)</f>
        <v>#N/A</v>
      </c>
      <c r="J41" s="108" t="str">
        <f t="shared" si="1"/>
        <v>Docencia y Recursos Humanos</v>
      </c>
      <c r="K41" s="108" t="s">
        <v>493</v>
      </c>
      <c r="L41" s="108"/>
    </row>
    <row r="42" spans="3:12" x14ac:dyDescent="0.25">
      <c r="C42" s="153"/>
      <c r="D42" s="168"/>
      <c r="E42" s="128"/>
      <c r="F42" s="107">
        <f t="shared" si="0"/>
        <v>0</v>
      </c>
      <c r="G42" s="171"/>
      <c r="H42" s="154"/>
      <c r="I42" s="140" t="e">
        <f>VLOOKUP(H42,Presupuesto!$B$8:$C$583,2,0)</f>
        <v>#N/A</v>
      </c>
      <c r="J42" s="108" t="str">
        <f t="shared" si="1"/>
        <v>Docencia y Recursos Humanos</v>
      </c>
      <c r="K42" s="108" t="s">
        <v>493</v>
      </c>
      <c r="L42" s="108"/>
    </row>
    <row r="43" spans="3:12" x14ac:dyDescent="0.25">
      <c r="C43" s="153"/>
      <c r="D43" s="168"/>
      <c r="E43" s="128"/>
      <c r="F43" s="107">
        <f t="shared" si="0"/>
        <v>0</v>
      </c>
      <c r="G43" s="171"/>
      <c r="H43" s="154"/>
      <c r="I43" s="140" t="e">
        <f>VLOOKUP(H43,Presupuesto!$B$8:$C$583,2,0)</f>
        <v>#N/A</v>
      </c>
      <c r="J43" s="108" t="str">
        <f t="shared" si="1"/>
        <v>Docencia y Recursos Humanos</v>
      </c>
      <c r="K43" s="108" t="s">
        <v>493</v>
      </c>
      <c r="L43" s="108"/>
    </row>
    <row r="44" spans="3:12" x14ac:dyDescent="0.25">
      <c r="C44" s="153"/>
      <c r="D44" s="168"/>
      <c r="E44" s="128"/>
      <c r="F44" s="107">
        <f t="shared" si="0"/>
        <v>0</v>
      </c>
      <c r="G44" s="171"/>
      <c r="H44" s="154"/>
      <c r="I44" s="140" t="e">
        <f>VLOOKUP(H44,Presupuesto!$B$8:$C$583,2,0)</f>
        <v>#N/A</v>
      </c>
      <c r="J44" s="108" t="str">
        <f t="shared" si="1"/>
        <v>Docencia y Recursos Humanos</v>
      </c>
      <c r="K44" s="108" t="s">
        <v>493</v>
      </c>
      <c r="L44" s="108"/>
    </row>
    <row r="45" spans="3:12" x14ac:dyDescent="0.25">
      <c r="C45" s="153"/>
      <c r="D45" s="168"/>
      <c r="E45" s="128"/>
      <c r="F45" s="107">
        <f t="shared" si="0"/>
        <v>0</v>
      </c>
      <c r="G45" s="171"/>
      <c r="H45" s="154"/>
      <c r="I45" s="140" t="e">
        <f>VLOOKUP(H45,Presupuesto!$B$8:$C$583,2,0)</f>
        <v>#N/A</v>
      </c>
      <c r="J45" s="108" t="str">
        <f t="shared" si="1"/>
        <v>Docencia y Recursos Humanos</v>
      </c>
      <c r="K45" s="108" t="s">
        <v>493</v>
      </c>
      <c r="L45" s="108"/>
    </row>
    <row r="46" spans="3:12" x14ac:dyDescent="0.25">
      <c r="C46" s="153"/>
      <c r="D46" s="168"/>
      <c r="E46" s="128"/>
      <c r="F46" s="107">
        <f t="shared" si="0"/>
        <v>0</v>
      </c>
      <c r="G46" s="171"/>
      <c r="H46" s="154"/>
      <c r="I46" s="140" t="e">
        <f>VLOOKUP(H46,Presupuesto!$B$8:$C$583,2,0)</f>
        <v>#N/A</v>
      </c>
      <c r="J46" s="108" t="str">
        <f t="shared" si="1"/>
        <v>Docencia y Recursos Humanos</v>
      </c>
      <c r="K46" s="108" t="s">
        <v>493</v>
      </c>
      <c r="L46" s="108"/>
    </row>
    <row r="47" spans="3:12" x14ac:dyDescent="0.25">
      <c r="C47" s="155"/>
      <c r="D47" s="168"/>
      <c r="E47" s="128"/>
      <c r="F47" s="107">
        <f t="shared" si="0"/>
        <v>0</v>
      </c>
      <c r="G47" s="171"/>
      <c r="H47" s="156"/>
      <c r="I47" s="140" t="e">
        <f>VLOOKUP(H47,Presupuesto!$B$8:$C$583,2,0)</f>
        <v>#N/A</v>
      </c>
      <c r="J47" s="108" t="str">
        <f t="shared" si="1"/>
        <v>Docencia y Recursos Humanos</v>
      </c>
      <c r="K47" s="108" t="s">
        <v>484</v>
      </c>
      <c r="L47" s="108"/>
    </row>
    <row r="48" spans="3:12" x14ac:dyDescent="0.25">
      <c r="C48" s="155"/>
      <c r="D48" s="168"/>
      <c r="E48" s="128"/>
      <c r="F48" s="107">
        <f t="shared" si="0"/>
        <v>0</v>
      </c>
      <c r="G48" s="171"/>
      <c r="H48" s="156"/>
      <c r="I48" s="140" t="e">
        <f>VLOOKUP(H48,Presupuesto!$B$8:$C$583,2,0)</f>
        <v>#N/A</v>
      </c>
      <c r="J48" s="108" t="str">
        <f t="shared" si="1"/>
        <v>Docencia y Recursos Humanos</v>
      </c>
      <c r="K48" s="108" t="s">
        <v>493</v>
      </c>
      <c r="L48" s="108"/>
    </row>
    <row r="49" spans="3:12" x14ac:dyDescent="0.25">
      <c r="C49" s="155"/>
      <c r="D49" s="168"/>
      <c r="E49" s="128"/>
      <c r="F49" s="107">
        <f t="shared" si="0"/>
        <v>0</v>
      </c>
      <c r="G49" s="171"/>
      <c r="H49" s="156"/>
      <c r="I49" s="140" t="e">
        <f>VLOOKUP(H49,Presupuesto!$B$8:$C$583,2,0)</f>
        <v>#N/A</v>
      </c>
      <c r="J49" s="108" t="str">
        <f t="shared" si="1"/>
        <v>Docencia y Recursos Humanos</v>
      </c>
      <c r="K49" s="108" t="s">
        <v>493</v>
      </c>
      <c r="L49" s="108"/>
    </row>
    <row r="50" spans="3:12" x14ac:dyDescent="0.25">
      <c r="C50" s="155"/>
      <c r="D50" s="168"/>
      <c r="E50" s="128"/>
      <c r="F50" s="107">
        <f t="shared" si="0"/>
        <v>0</v>
      </c>
      <c r="G50" s="171"/>
      <c r="H50" s="156"/>
      <c r="I50" s="140" t="e">
        <f>VLOOKUP(H50,Presupuesto!$B$8:$C$583,2,0)</f>
        <v>#N/A</v>
      </c>
      <c r="J50" s="108" t="str">
        <f t="shared" si="1"/>
        <v>Docencia y Recursos Humanos</v>
      </c>
      <c r="K50" s="108" t="s">
        <v>493</v>
      </c>
      <c r="L50" s="108"/>
    </row>
    <row r="51" spans="3:12" ht="15.75" thickBot="1" x14ac:dyDescent="0.3">
      <c r="C51" s="157"/>
      <c r="D51" s="235"/>
      <c r="E51" s="113"/>
      <c r="F51" s="115">
        <f t="shared" si="0"/>
        <v>0</v>
      </c>
      <c r="G51" s="172"/>
      <c r="H51" s="158"/>
      <c r="I51" s="142" t="e">
        <f>VLOOKUP(H51,Presupuesto!$B$8:$C$583,2,0)</f>
        <v>#N/A</v>
      </c>
      <c r="J51" s="116" t="str">
        <f>$J$20</f>
        <v>Docencia y Recursos Humanos</v>
      </c>
      <c r="K51" s="134" t="s">
        <v>475</v>
      </c>
      <c r="L51" s="134"/>
    </row>
    <row r="52" spans="3:12" x14ac:dyDescent="0.25">
      <c r="F52" s="100"/>
      <c r="G52" s="99"/>
      <c r="H52" s="100"/>
      <c r="I52" s="100"/>
    </row>
  </sheetData>
  <dataValidations count="4">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Presupuesto</vt:lpstr>
      <vt:lpstr>Cuadro resumen</vt:lpstr>
      <vt:lpstr>2. CONTRATACION DE PERSONAL</vt:lpstr>
      <vt:lpstr>1. TALLERES SEMINARIOS</vt:lpstr>
      <vt:lpstr>4. EQUIPO TECNOLÓGICOS</vt:lpstr>
      <vt:lpstr>3. EQUIPO DE OFICINA</vt:lpstr>
      <vt:lpstr>5. ACTIVIDADES ESPECIALES</vt:lpstr>
      <vt:lpstr>6. Becas</vt:lpstr>
      <vt:lpstr>7. Infraestructura</vt:lpstr>
      <vt:lpstr>8. Venta de Servicios</vt:lpstr>
      <vt:lpstr>Desarrollo Curricular</vt:lpstr>
      <vt:lpstr>Investigación</vt:lpstr>
      <vt:lpstr>Vinculación Univ. Sociedad</vt:lpstr>
      <vt:lpstr>Hoja1</vt:lpstr>
      <vt:lpstr>Docencia y Recursos Humanos </vt:lpstr>
      <vt:lpstr>Estudiantes</vt:lpstr>
      <vt:lpstr>Gestion Administrativa</vt:lpstr>
      <vt:lpstr>Gestion Academica</vt:lpstr>
      <vt:lpstr>Graduados</vt:lpstr>
      <vt:lpstr>Gestión del Conocimiento</vt:lpstr>
      <vt:lpstr>Gobernabilidad</vt:lpstr>
      <vt:lpstr>Lo Esencial</vt:lpstr>
      <vt:lpstr>Hoja2</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2013-09-23T16:56:00Z</cp:lastPrinted>
  <dcterms:created xsi:type="dcterms:W3CDTF">2010-05-02T01:28:32Z</dcterms:created>
  <dcterms:modified xsi:type="dcterms:W3CDTF">2014-05-14T20:23:52Z</dcterms:modified>
</cp:coreProperties>
</file>